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/>
  <mc:AlternateContent xmlns:mc="http://schemas.openxmlformats.org/markup-compatibility/2006">
    <mc:Choice Requires="x15">
      <x15ac:absPath xmlns:x15ac="http://schemas.microsoft.com/office/spreadsheetml/2010/11/ac" url="D:\09_Firmen\09_Gaudl_Flugzeugvermietung\"/>
    </mc:Choice>
  </mc:AlternateContent>
  <xr:revisionPtr revIDLastSave="0" documentId="13_ncr:1_{1C243C88-29F9-4C24-97F9-97BDBD73A8F4}" xr6:coauthVersionLast="43" xr6:coauthVersionMax="43" xr10:uidLastSave="{00000000-0000-0000-0000-000000000000}"/>
  <bookViews>
    <workbookView xWindow="-98" yWindow="-98" windowWidth="20715" windowHeight="13276" tabRatio="872" activeTab="1" xr2:uid="{00000000-000D-0000-FFFF-FFFF00000000}"/>
  </bookViews>
  <sheets>
    <sheet name="LFZ" sheetId="1" r:id="rId1"/>
    <sheet name="Charterer" sheetId="7" r:id="rId2"/>
    <sheet name="Bord-B. D-EFLF" sheetId="3" r:id="rId3"/>
    <sheet name="Bord-B. D-EOYS" sheetId="10" r:id="rId4"/>
    <sheet name="Bord-B. D-Exxx" sheetId="14" r:id="rId5"/>
    <sheet name="Rabatte19" sheetId="26" r:id="rId6"/>
    <sheet name="FH-Überw." sheetId="8" r:id="rId7"/>
    <sheet name="2016 Rentabilität" sheetId="9" state="hidden" r:id="rId8"/>
    <sheet name="2019 Rentabilität" sheetId="27" r:id="rId9"/>
  </sheets>
  <definedNames>
    <definedName name="_xlnm._FilterDatabase" localSheetId="1" hidden="1">Charterer!$M$2:$M$10</definedName>
    <definedName name="_xlnm.Print_Area" localSheetId="6">'FH-Überw.'!$A$1:$H$39,'FH-Überw.'!$K$1:$R$39</definedName>
    <definedName name="_xlnm.Print_Titles" localSheetId="6">'FH-Überw.'!$1:$5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A9" i="26"/>
  <c r="A10" i="26"/>
  <c r="A11" i="26"/>
  <c r="S333" i="3"/>
  <c r="S334" i="3" s="1"/>
  <c r="S8" i="7"/>
  <c r="S7" i="7"/>
  <c r="S6" i="7"/>
  <c r="S5" i="7"/>
  <c r="O8" i="7"/>
  <c r="O7" i="7"/>
  <c r="O6" i="7"/>
  <c r="O5" i="7"/>
  <c r="M7" i="7"/>
  <c r="M8" i="7"/>
  <c r="M6" i="7"/>
  <c r="M5" i="7"/>
  <c r="R7" i="27" l="1"/>
  <c r="U47" i="27" s="1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Q5" i="27"/>
  <c r="R5" i="27"/>
  <c r="R10" i="27"/>
  <c r="Q10" i="27"/>
  <c r="J29" i="27"/>
  <c r="J20" i="27"/>
  <c r="I20" i="27"/>
  <c r="U39" i="27"/>
  <c r="V39" i="27" s="1"/>
  <c r="T38" i="27"/>
  <c r="V38" i="27" s="1"/>
  <c r="K8" i="8"/>
  <c r="K9" i="8"/>
  <c r="K10" i="8"/>
  <c r="K11" i="8"/>
  <c r="K12" i="8"/>
  <c r="K13" i="8"/>
  <c r="K14" i="8"/>
  <c r="K15" i="8"/>
  <c r="K16" i="8"/>
  <c r="K17" i="8"/>
  <c r="K18" i="8"/>
  <c r="K7" i="8"/>
  <c r="K6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7" i="8"/>
  <c r="A6" i="8"/>
  <c r="B10" i="26"/>
  <c r="C10" i="26"/>
  <c r="F62" i="27"/>
  <c r="E62" i="27"/>
  <c r="D62" i="27"/>
  <c r="C62" i="27"/>
  <c r="V55" i="27"/>
  <c r="O55" i="27"/>
  <c r="L55" i="27"/>
  <c r="K55" i="27"/>
  <c r="H55" i="27"/>
  <c r="V54" i="27"/>
  <c r="O54" i="27"/>
  <c r="L54" i="27"/>
  <c r="K54" i="27"/>
  <c r="H54" i="27"/>
  <c r="T53" i="27"/>
  <c r="O53" i="27"/>
  <c r="L53" i="27"/>
  <c r="K53" i="27"/>
  <c r="H53" i="27"/>
  <c r="T52" i="27"/>
  <c r="O52" i="27"/>
  <c r="L52" i="27"/>
  <c r="K52" i="27"/>
  <c r="H52" i="27"/>
  <c r="T51" i="27"/>
  <c r="O51" i="27"/>
  <c r="L51" i="27"/>
  <c r="K51" i="27"/>
  <c r="H51" i="27"/>
  <c r="O50" i="27"/>
  <c r="L50" i="27"/>
  <c r="K50" i="27"/>
  <c r="H50" i="27"/>
  <c r="O49" i="27"/>
  <c r="L49" i="27"/>
  <c r="K49" i="27"/>
  <c r="H49" i="27"/>
  <c r="V48" i="27"/>
  <c r="O48" i="27"/>
  <c r="L48" i="27"/>
  <c r="K48" i="27"/>
  <c r="H48" i="27"/>
  <c r="N47" i="27"/>
  <c r="M47" i="27"/>
  <c r="L47" i="27"/>
  <c r="J47" i="27"/>
  <c r="I47" i="27"/>
  <c r="K47" i="27" s="1"/>
  <c r="H47" i="27"/>
  <c r="O46" i="27"/>
  <c r="L46" i="27"/>
  <c r="K46" i="27"/>
  <c r="H46" i="27"/>
  <c r="O45" i="27"/>
  <c r="L45" i="27"/>
  <c r="K45" i="27"/>
  <c r="H45" i="27"/>
  <c r="O44" i="27"/>
  <c r="L44" i="27"/>
  <c r="K44" i="27"/>
  <c r="H44" i="27"/>
  <c r="O43" i="27"/>
  <c r="L43" i="27"/>
  <c r="K43" i="27"/>
  <c r="H43" i="27"/>
  <c r="O42" i="27"/>
  <c r="L42" i="27"/>
  <c r="K42" i="27"/>
  <c r="H42" i="27"/>
  <c r="O41" i="27"/>
  <c r="L41" i="27"/>
  <c r="K41" i="27"/>
  <c r="H41" i="27"/>
  <c r="V40" i="27"/>
  <c r="O40" i="27"/>
  <c r="L40" i="27"/>
  <c r="K40" i="27"/>
  <c r="H40" i="27"/>
  <c r="O39" i="27"/>
  <c r="L39" i="27"/>
  <c r="K39" i="27"/>
  <c r="H39" i="27"/>
  <c r="N38" i="27"/>
  <c r="M38" i="27"/>
  <c r="O38" i="27" s="1"/>
  <c r="L38" i="27"/>
  <c r="J38" i="27"/>
  <c r="I38" i="27"/>
  <c r="K38" i="27" s="1"/>
  <c r="H38" i="27"/>
  <c r="U37" i="27"/>
  <c r="T37" i="27"/>
  <c r="V37" i="27" s="1"/>
  <c r="O37" i="27"/>
  <c r="L37" i="27"/>
  <c r="K37" i="27"/>
  <c r="H37" i="27"/>
  <c r="O36" i="27"/>
  <c r="L36" i="27"/>
  <c r="K36" i="27"/>
  <c r="H36" i="27"/>
  <c r="O35" i="27"/>
  <c r="L35" i="27"/>
  <c r="K35" i="27"/>
  <c r="H35" i="27"/>
  <c r="O34" i="27"/>
  <c r="L34" i="27"/>
  <c r="K34" i="27"/>
  <c r="H34" i="27"/>
  <c r="O33" i="27"/>
  <c r="L33" i="27"/>
  <c r="K33" i="27"/>
  <c r="H33" i="27"/>
  <c r="Q32" i="27"/>
  <c r="O32" i="27"/>
  <c r="L32" i="27"/>
  <c r="K32" i="27"/>
  <c r="H32" i="27"/>
  <c r="Q31" i="27"/>
  <c r="O31" i="27"/>
  <c r="L31" i="27"/>
  <c r="K31" i="27"/>
  <c r="H31" i="27"/>
  <c r="Q30" i="27"/>
  <c r="O30" i="27"/>
  <c r="L30" i="27"/>
  <c r="H30" i="27"/>
  <c r="Q29" i="27"/>
  <c r="N29" i="27"/>
  <c r="M29" i="27"/>
  <c r="L29" i="27"/>
  <c r="H29" i="27"/>
  <c r="Q28" i="27"/>
  <c r="O28" i="27"/>
  <c r="K28" i="27"/>
  <c r="H28" i="27"/>
  <c r="Q27" i="27"/>
  <c r="O27" i="27"/>
  <c r="L27" i="27"/>
  <c r="K27" i="27"/>
  <c r="H27" i="27"/>
  <c r="Q26" i="27"/>
  <c r="O26" i="27"/>
  <c r="L26" i="27"/>
  <c r="K26" i="27"/>
  <c r="H26" i="27"/>
  <c r="Q25" i="27"/>
  <c r="O25" i="27"/>
  <c r="L25" i="27"/>
  <c r="K25" i="27"/>
  <c r="H25" i="27"/>
  <c r="Q24" i="27"/>
  <c r="O24" i="27"/>
  <c r="L24" i="27"/>
  <c r="K24" i="27"/>
  <c r="H24" i="27"/>
  <c r="Q23" i="27"/>
  <c r="O23" i="27"/>
  <c r="L23" i="27"/>
  <c r="K23" i="27"/>
  <c r="H23" i="27"/>
  <c r="Q22" i="27"/>
  <c r="O22" i="27"/>
  <c r="L22" i="27"/>
  <c r="K22" i="27"/>
  <c r="H22" i="27"/>
  <c r="Q21" i="27"/>
  <c r="O21" i="27"/>
  <c r="L21" i="27"/>
  <c r="H21" i="27"/>
  <c r="F21" i="27"/>
  <c r="F63" i="27" s="1"/>
  <c r="E21" i="27"/>
  <c r="E63" i="27" s="1"/>
  <c r="D21" i="27"/>
  <c r="D63" i="27" s="1"/>
  <c r="C21" i="27"/>
  <c r="N20" i="27"/>
  <c r="M20" i="27"/>
  <c r="L20" i="27"/>
  <c r="H20" i="27"/>
  <c r="O19" i="27"/>
  <c r="L19" i="27"/>
  <c r="K19" i="27"/>
  <c r="H19" i="27"/>
  <c r="O18" i="27"/>
  <c r="L18" i="27"/>
  <c r="K18" i="27"/>
  <c r="H18" i="27"/>
  <c r="O17" i="27"/>
  <c r="L17" i="27"/>
  <c r="K17" i="27"/>
  <c r="H17" i="27"/>
  <c r="O16" i="27"/>
  <c r="L16" i="27"/>
  <c r="H16" i="27"/>
  <c r="O15" i="27"/>
  <c r="L15" i="27"/>
  <c r="K15" i="27"/>
  <c r="H15" i="27"/>
  <c r="O14" i="27"/>
  <c r="L14" i="27"/>
  <c r="K14" i="27"/>
  <c r="H14" i="27"/>
  <c r="G14" i="27"/>
  <c r="E14" i="27"/>
  <c r="D14" i="27"/>
  <c r="O13" i="27"/>
  <c r="L13" i="27"/>
  <c r="H13" i="27"/>
  <c r="F13" i="27"/>
  <c r="O12" i="27"/>
  <c r="L12" i="27"/>
  <c r="H12" i="27"/>
  <c r="F12" i="27"/>
  <c r="N11" i="27"/>
  <c r="M11" i="27"/>
  <c r="L11" i="27"/>
  <c r="H11" i="27"/>
  <c r="F11" i="27"/>
  <c r="P10" i="27"/>
  <c r="O10" i="27"/>
  <c r="L10" i="27"/>
  <c r="L28" i="27" s="1"/>
  <c r="F10" i="27"/>
  <c r="R9" i="27"/>
  <c r="U41" i="27" s="1"/>
  <c r="Q9" i="27"/>
  <c r="T41" i="27" s="1"/>
  <c r="P9" i="27"/>
  <c r="O9" i="27"/>
  <c r="L9" i="27"/>
  <c r="K9" i="27"/>
  <c r="F9" i="27"/>
  <c r="R8" i="27"/>
  <c r="Q8" i="27"/>
  <c r="P8" i="27"/>
  <c r="O8" i="27"/>
  <c r="L8" i="27"/>
  <c r="K8" i="27"/>
  <c r="F8" i="27"/>
  <c r="Q7" i="27"/>
  <c r="T47" i="27" s="1"/>
  <c r="P7" i="27"/>
  <c r="O7" i="27"/>
  <c r="L7" i="27"/>
  <c r="K7" i="27"/>
  <c r="F7" i="27"/>
  <c r="R6" i="27"/>
  <c r="U46" i="27" s="1"/>
  <c r="Q6" i="27"/>
  <c r="T46" i="27" s="1"/>
  <c r="P6" i="27"/>
  <c r="O6" i="27"/>
  <c r="L6" i="27"/>
  <c r="K6" i="27"/>
  <c r="F6" i="27"/>
  <c r="R25" i="27" s="1"/>
  <c r="T25" i="27" s="1"/>
  <c r="P5" i="27"/>
  <c r="O5" i="27"/>
  <c r="L5" i="27"/>
  <c r="F5" i="27"/>
  <c r="P4" i="27"/>
  <c r="O4" i="27"/>
  <c r="L4" i="27"/>
  <c r="F4" i="27"/>
  <c r="P3" i="27"/>
  <c r="O3" i="27"/>
  <c r="L3" i="27"/>
  <c r="F3" i="27"/>
  <c r="N2" i="27"/>
  <c r="M2" i="27"/>
  <c r="L2" i="27"/>
  <c r="H2" i="27"/>
  <c r="F2" i="27"/>
  <c r="P20" i="26"/>
  <c r="O20" i="26"/>
  <c r="N20" i="26"/>
  <c r="M20" i="26"/>
  <c r="L20" i="26"/>
  <c r="K20" i="26"/>
  <c r="J20" i="26"/>
  <c r="I20" i="26"/>
  <c r="H20" i="26"/>
  <c r="G20" i="26"/>
  <c r="F20" i="26"/>
  <c r="E20" i="26"/>
  <c r="E21" i="26" s="1"/>
  <c r="X19" i="26"/>
  <c r="W19" i="26"/>
  <c r="R19" i="26"/>
  <c r="A19" i="26"/>
  <c r="X18" i="26"/>
  <c r="W18" i="26"/>
  <c r="R18" i="26"/>
  <c r="X17" i="26"/>
  <c r="W17" i="26"/>
  <c r="R17" i="26"/>
  <c r="S17" i="26" s="1"/>
  <c r="X16" i="26"/>
  <c r="W16" i="26"/>
  <c r="R16" i="26"/>
  <c r="X15" i="26"/>
  <c r="W15" i="26"/>
  <c r="R15" i="26"/>
  <c r="X14" i="26"/>
  <c r="W14" i="26"/>
  <c r="R14" i="26"/>
  <c r="S14" i="26" s="1"/>
  <c r="X13" i="26"/>
  <c r="W13" i="26"/>
  <c r="R13" i="26"/>
  <c r="X12" i="26"/>
  <c r="W12" i="26"/>
  <c r="R12" i="26"/>
  <c r="X11" i="26"/>
  <c r="W11" i="26"/>
  <c r="R11" i="26"/>
  <c r="X10" i="26"/>
  <c r="W10" i="26"/>
  <c r="R10" i="26"/>
  <c r="U10" i="26" s="1"/>
  <c r="X9" i="26"/>
  <c r="W9" i="26"/>
  <c r="R9" i="26"/>
  <c r="C9" i="26"/>
  <c r="B9" i="26"/>
  <c r="X8" i="26"/>
  <c r="W8" i="26"/>
  <c r="R8" i="26"/>
  <c r="C8" i="26"/>
  <c r="B8" i="26"/>
  <c r="A8" i="26"/>
  <c r="C7" i="26"/>
  <c r="B7" i="26"/>
  <c r="A7" i="26"/>
  <c r="X6" i="26"/>
  <c r="W6" i="26"/>
  <c r="R6" i="26"/>
  <c r="C6" i="26"/>
  <c r="B6" i="26"/>
  <c r="A6" i="26"/>
  <c r="C5" i="26"/>
  <c r="B5" i="26"/>
  <c r="A5" i="26"/>
  <c r="X4" i="26"/>
  <c r="W4" i="26"/>
  <c r="R4" i="26"/>
  <c r="C4" i="26"/>
  <c r="B4" i="26"/>
  <c r="A4" i="26"/>
  <c r="Z3" i="26"/>
  <c r="X3" i="26"/>
  <c r="D5" i="26" s="1"/>
  <c r="W3" i="26"/>
  <c r="Z2" i="26"/>
  <c r="X3" i="7"/>
  <c r="Z5" i="7"/>
  <c r="Z7" i="7"/>
  <c r="Z8" i="7"/>
  <c r="Z3" i="7"/>
  <c r="X5" i="7"/>
  <c r="X7" i="7"/>
  <c r="X8" i="7"/>
  <c r="Z6" i="7"/>
  <c r="Y4" i="7"/>
  <c r="Z4" i="7" s="1"/>
  <c r="W4" i="7"/>
  <c r="X4" i="7" s="1"/>
  <c r="X6" i="7"/>
  <c r="N415" i="10"/>
  <c r="O352" i="10"/>
  <c r="N352" i="10"/>
  <c r="O424" i="10"/>
  <c r="N424" i="10"/>
  <c r="O406" i="10"/>
  <c r="O397" i="10"/>
  <c r="O388" i="10"/>
  <c r="N388" i="10"/>
  <c r="O379" i="10"/>
  <c r="O370" i="10"/>
  <c r="O361" i="10"/>
  <c r="N361" i="10"/>
  <c r="N425" i="10"/>
  <c r="N397" i="10"/>
  <c r="N398" i="10" s="1"/>
  <c r="N379" i="10"/>
  <c r="N389" i="10" s="1"/>
  <c r="N406" i="10"/>
  <c r="N416" i="10" s="1"/>
  <c r="N370" i="10"/>
  <c r="N343" i="10"/>
  <c r="J405" i="10"/>
  <c r="M405" i="10"/>
  <c r="L405" i="10"/>
  <c r="Q405" i="10" s="1"/>
  <c r="L404" i="10"/>
  <c r="M404" i="10" s="1"/>
  <c r="L403" i="10"/>
  <c r="Q403" i="10" s="1"/>
  <c r="L402" i="10"/>
  <c r="Q402" i="10" s="1"/>
  <c r="M401" i="10"/>
  <c r="L401" i="10"/>
  <c r="Q401" i="10" s="1"/>
  <c r="L400" i="10"/>
  <c r="M400" i="10" s="1"/>
  <c r="M399" i="10"/>
  <c r="J399" i="10" s="1"/>
  <c r="K399" i="10" s="1"/>
  <c r="L399" i="10"/>
  <c r="Q399" i="10" s="1"/>
  <c r="L396" i="10"/>
  <c r="M396" i="10" s="1"/>
  <c r="Q395" i="10"/>
  <c r="L395" i="10"/>
  <c r="M395" i="10" s="1"/>
  <c r="L394" i="10"/>
  <c r="M394" i="10" s="1"/>
  <c r="M393" i="10"/>
  <c r="J393" i="10" s="1"/>
  <c r="L36" i="8" s="1"/>
  <c r="L393" i="10"/>
  <c r="Q393" i="10" s="1"/>
  <c r="L392" i="10"/>
  <c r="M392" i="10" s="1"/>
  <c r="L391" i="10"/>
  <c r="M391" i="10" s="1"/>
  <c r="L390" i="10"/>
  <c r="M390" i="10" s="1"/>
  <c r="Q387" i="10"/>
  <c r="L387" i="10"/>
  <c r="M387" i="10" s="1"/>
  <c r="Q386" i="10"/>
  <c r="M386" i="10"/>
  <c r="K386" i="10" s="1"/>
  <c r="M29" i="8" s="1"/>
  <c r="L386" i="10"/>
  <c r="J386" i="10"/>
  <c r="L29" i="8" s="1"/>
  <c r="L385" i="10"/>
  <c r="M385" i="10" s="1"/>
  <c r="L384" i="10"/>
  <c r="Q384" i="10" s="1"/>
  <c r="Q383" i="10"/>
  <c r="M383" i="10"/>
  <c r="L383" i="10"/>
  <c r="Q382" i="10"/>
  <c r="L382" i="10"/>
  <c r="M382" i="10" s="1"/>
  <c r="L381" i="10"/>
  <c r="M381" i="10" s="1"/>
  <c r="L378" i="10"/>
  <c r="M378" i="10" s="1"/>
  <c r="J378" i="10" s="1"/>
  <c r="L21" i="8" s="1"/>
  <c r="L377" i="10"/>
  <c r="M377" i="10" s="1"/>
  <c r="L376" i="10"/>
  <c r="M376" i="10" s="1"/>
  <c r="L375" i="10"/>
  <c r="M375" i="10" s="1"/>
  <c r="L374" i="10"/>
  <c r="M374" i="10" s="1"/>
  <c r="L373" i="10"/>
  <c r="M373" i="10" s="1"/>
  <c r="M372" i="10"/>
  <c r="J372" i="10" s="1"/>
  <c r="L15" i="8" s="1"/>
  <c r="L372" i="10"/>
  <c r="Q372" i="10" s="1"/>
  <c r="L369" i="10"/>
  <c r="Q369" i="10" s="1"/>
  <c r="L368" i="10"/>
  <c r="M368" i="10" s="1"/>
  <c r="L367" i="10"/>
  <c r="Q367" i="10" s="1"/>
  <c r="L366" i="10"/>
  <c r="M366" i="10" s="1"/>
  <c r="M365" i="10"/>
  <c r="J365" i="10" s="1"/>
  <c r="K365" i="10" s="1"/>
  <c r="M8" i="8" s="1"/>
  <c r="L365" i="10"/>
  <c r="Q365" i="10" s="1"/>
  <c r="L364" i="10"/>
  <c r="M364" i="10" s="1"/>
  <c r="L363" i="10"/>
  <c r="L360" i="10"/>
  <c r="M360" i="10" s="1"/>
  <c r="J360" i="10" s="1"/>
  <c r="L359" i="10"/>
  <c r="M359" i="10" s="1"/>
  <c r="L358" i="10"/>
  <c r="Q358" i="10" s="1"/>
  <c r="L357" i="10"/>
  <c r="M357" i="10" s="1"/>
  <c r="L356" i="10"/>
  <c r="Q356" i="10" s="1"/>
  <c r="L355" i="10"/>
  <c r="M355" i="10" s="1"/>
  <c r="L354" i="10"/>
  <c r="Q354" i="10" s="1"/>
  <c r="J387" i="10" l="1"/>
  <c r="L30" i="8" s="1"/>
  <c r="J396" i="10"/>
  <c r="L39" i="8" s="1"/>
  <c r="J392" i="10"/>
  <c r="L35" i="8" s="1"/>
  <c r="L397" i="10"/>
  <c r="N407" i="10"/>
  <c r="M384" i="10"/>
  <c r="J384" i="10" s="1"/>
  <c r="L27" i="8" s="1"/>
  <c r="Q391" i="10"/>
  <c r="Q392" i="10"/>
  <c r="Q396" i="10"/>
  <c r="Q400" i="10"/>
  <c r="Q407" i="10" s="1"/>
  <c r="U4" i="26"/>
  <c r="S12" i="26"/>
  <c r="T16" i="26"/>
  <c r="O2" i="27"/>
  <c r="O11" i="27"/>
  <c r="O29" i="27"/>
  <c r="R30" i="27" s="1"/>
  <c r="T30" i="27" s="1"/>
  <c r="G62" i="27"/>
  <c r="M403" i="10"/>
  <c r="J403" i="10" s="1"/>
  <c r="K403" i="10" s="1"/>
  <c r="L388" i="10"/>
  <c r="S15" i="26"/>
  <c r="F14" i="27"/>
  <c r="R15" i="27" s="1"/>
  <c r="R26" i="27"/>
  <c r="T26" i="27" s="1"/>
  <c r="R29" i="27"/>
  <c r="T29" i="27" s="1"/>
  <c r="T18" i="26"/>
  <c r="S19" i="26"/>
  <c r="R28" i="27"/>
  <c r="T28" i="27" s="1"/>
  <c r="R31" i="27"/>
  <c r="T31" i="27" s="1"/>
  <c r="O20" i="27"/>
  <c r="O47" i="27"/>
  <c r="R32" i="27" s="1"/>
  <c r="T32" i="27" s="1"/>
  <c r="Q357" i="10"/>
  <c r="M369" i="10"/>
  <c r="J369" i="10" s="1"/>
  <c r="L12" i="8" s="1"/>
  <c r="J383" i="10"/>
  <c r="L26" i="8" s="1"/>
  <c r="Q404" i="10"/>
  <c r="L406" i="10"/>
  <c r="N353" i="10"/>
  <c r="C63" i="27"/>
  <c r="F64" i="27" s="1"/>
  <c r="S9" i="26"/>
  <c r="U8" i="26"/>
  <c r="S6" i="26"/>
  <c r="S11" i="26"/>
  <c r="T12" i="26"/>
  <c r="S13" i="26"/>
  <c r="T14" i="26"/>
  <c r="S16" i="26"/>
  <c r="S9" i="27"/>
  <c r="K16" i="27"/>
  <c r="J11" i="27"/>
  <c r="V47" i="27"/>
  <c r="Q375" i="10"/>
  <c r="J375" i="10"/>
  <c r="L18" i="8" s="1"/>
  <c r="N380" i="10"/>
  <c r="K13" i="27"/>
  <c r="L379" i="10"/>
  <c r="K369" i="10"/>
  <c r="M12" i="8" s="1"/>
  <c r="M367" i="10"/>
  <c r="J367" i="10" s="1"/>
  <c r="L10" i="8" s="1"/>
  <c r="Q366" i="10"/>
  <c r="K5" i="27"/>
  <c r="S5" i="27"/>
  <c r="S10" i="27"/>
  <c r="K10" i="27"/>
  <c r="U42" i="27"/>
  <c r="Q4" i="27"/>
  <c r="T45" i="27" s="1"/>
  <c r="T42" i="27"/>
  <c r="K4" i="27"/>
  <c r="F21" i="26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R4" i="27"/>
  <c r="U45" i="27" s="1"/>
  <c r="L8" i="8"/>
  <c r="K30" i="27"/>
  <c r="I29" i="27"/>
  <c r="K29" i="27" s="1"/>
  <c r="R24" i="27" s="1"/>
  <c r="T24" i="27" s="1"/>
  <c r="K20" i="27"/>
  <c r="R23" i="27" s="1"/>
  <c r="T23" i="27" s="1"/>
  <c r="K12" i="27"/>
  <c r="K21" i="27"/>
  <c r="J2" i="27"/>
  <c r="R2" i="27" s="1"/>
  <c r="R3" i="27"/>
  <c r="I11" i="27"/>
  <c r="I2" i="27"/>
  <c r="K3" i="27"/>
  <c r="Q3" i="27"/>
  <c r="N371" i="10"/>
  <c r="S18" i="26"/>
  <c r="T4" i="26"/>
  <c r="T10" i="26"/>
  <c r="D12" i="26"/>
  <c r="U12" i="26"/>
  <c r="D14" i="26"/>
  <c r="U14" i="26"/>
  <c r="D16" i="26"/>
  <c r="U16" i="26"/>
  <c r="D18" i="26"/>
  <c r="U18" i="26"/>
  <c r="T8" i="26"/>
  <c r="U15" i="27"/>
  <c r="R27" i="27"/>
  <c r="T27" i="27" s="1"/>
  <c r="V41" i="27"/>
  <c r="V46" i="27"/>
  <c r="S8" i="27"/>
  <c r="S7" i="27"/>
  <c r="S6" i="27"/>
  <c r="S4" i="26"/>
  <c r="D6" i="26"/>
  <c r="D7" i="26" s="1"/>
  <c r="U6" i="26"/>
  <c r="S8" i="26"/>
  <c r="D9" i="26"/>
  <c r="U9" i="26"/>
  <c r="S10" i="26"/>
  <c r="D11" i="26"/>
  <c r="U11" i="26"/>
  <c r="D13" i="26"/>
  <c r="U13" i="26"/>
  <c r="D15" i="26"/>
  <c r="U15" i="26"/>
  <c r="D17" i="26"/>
  <c r="U17" i="26"/>
  <c r="D19" i="26"/>
  <c r="U19" i="26"/>
  <c r="R20" i="26"/>
  <c r="T6" i="26"/>
  <c r="T9" i="26"/>
  <c r="T11" i="26"/>
  <c r="T13" i="26"/>
  <c r="T15" i="26"/>
  <c r="T17" i="26"/>
  <c r="T19" i="26"/>
  <c r="Q20" i="26"/>
  <c r="D8" i="26"/>
  <c r="D10" i="26"/>
  <c r="L370" i="10"/>
  <c r="M363" i="10"/>
  <c r="J363" i="10" s="1"/>
  <c r="L6" i="8" s="1"/>
  <c r="M358" i="10"/>
  <c r="J358" i="10" s="1"/>
  <c r="M356" i="10"/>
  <c r="J356" i="10" s="1"/>
  <c r="L361" i="10"/>
  <c r="M354" i="10"/>
  <c r="J354" i="10" s="1"/>
  <c r="N362" i="10"/>
  <c r="K405" i="10"/>
  <c r="J404" i="10"/>
  <c r="K404" i="10"/>
  <c r="J400" i="10"/>
  <c r="K400" i="10"/>
  <c r="J401" i="10"/>
  <c r="K401" i="10" s="1"/>
  <c r="M402" i="10"/>
  <c r="J391" i="10"/>
  <c r="J390" i="10"/>
  <c r="J395" i="10"/>
  <c r="L38" i="8" s="1"/>
  <c r="K395" i="10"/>
  <c r="M38" i="8" s="1"/>
  <c r="J394" i="10"/>
  <c r="Q390" i="10"/>
  <c r="K393" i="10"/>
  <c r="M36" i="8" s="1"/>
  <c r="Q394" i="10"/>
  <c r="J382" i="10"/>
  <c r="J385" i="10"/>
  <c r="J381" i="10"/>
  <c r="Q381" i="10"/>
  <c r="Q389" i="10" s="1"/>
  <c r="K384" i="10"/>
  <c r="M27" i="8" s="1"/>
  <c r="Q385" i="10"/>
  <c r="J377" i="10"/>
  <c r="K374" i="10"/>
  <c r="M17" i="8" s="1"/>
  <c r="J374" i="10"/>
  <c r="L17" i="8" s="1"/>
  <c r="J373" i="10"/>
  <c r="K378" i="10"/>
  <c r="M21" i="8" s="1"/>
  <c r="J376" i="10"/>
  <c r="Q374" i="10"/>
  <c r="Q378" i="10"/>
  <c r="K372" i="10"/>
  <c r="M15" i="8" s="1"/>
  <c r="Q373" i="10"/>
  <c r="Q377" i="10"/>
  <c r="Q376" i="10"/>
  <c r="J364" i="10"/>
  <c r="J366" i="10"/>
  <c r="L9" i="8" s="1"/>
  <c r="J368" i="10"/>
  <c r="Q364" i="10"/>
  <c r="Q368" i="10"/>
  <c r="J355" i="10"/>
  <c r="K360" i="10"/>
  <c r="J357" i="10"/>
  <c r="J359" i="10"/>
  <c r="Q355" i="10"/>
  <c r="Q359" i="10"/>
  <c r="L389" i="10" l="1"/>
  <c r="Q388" i="10"/>
  <c r="Q397" i="10"/>
  <c r="L398" i="10"/>
  <c r="K396" i="10"/>
  <c r="M39" i="8" s="1"/>
  <c r="K363" i="10"/>
  <c r="M6" i="8" s="1"/>
  <c r="K385" i="10"/>
  <c r="M28" i="8" s="1"/>
  <c r="L28" i="8"/>
  <c r="Q398" i="10"/>
  <c r="K390" i="10"/>
  <c r="M33" i="8" s="1"/>
  <c r="L33" i="8"/>
  <c r="K383" i="10"/>
  <c r="M26" i="8" s="1"/>
  <c r="K392" i="10"/>
  <c r="M35" i="8" s="1"/>
  <c r="K377" i="10"/>
  <c r="M20" i="8" s="1"/>
  <c r="L20" i="8"/>
  <c r="K381" i="10"/>
  <c r="M24" i="8" s="1"/>
  <c r="L24" i="8"/>
  <c r="K382" i="10"/>
  <c r="M25" i="8" s="1"/>
  <c r="L25" i="8"/>
  <c r="K394" i="10"/>
  <c r="M37" i="8" s="1"/>
  <c r="L37" i="8"/>
  <c r="K391" i="10"/>
  <c r="M34" i="8" s="1"/>
  <c r="L34" i="8"/>
  <c r="Q406" i="10"/>
  <c r="L407" i="10"/>
  <c r="K387" i="10"/>
  <c r="M30" i="8" s="1"/>
  <c r="V42" i="27"/>
  <c r="V43" i="27" s="1"/>
  <c r="W43" i="27" s="1"/>
  <c r="K376" i="10"/>
  <c r="M19" i="8" s="1"/>
  <c r="L19" i="8"/>
  <c r="K11" i="27"/>
  <c r="R22" i="27" s="1"/>
  <c r="T22" i="27" s="1"/>
  <c r="K375" i="10"/>
  <c r="M18" i="8" s="1"/>
  <c r="Q380" i="10"/>
  <c r="K373" i="10"/>
  <c r="M16" i="8" s="1"/>
  <c r="L16" i="8"/>
  <c r="V45" i="27"/>
  <c r="V49" i="27" s="1"/>
  <c r="L380" i="10"/>
  <c r="Q379" i="10"/>
  <c r="Q371" i="10"/>
  <c r="K368" i="10"/>
  <c r="M11" i="8" s="1"/>
  <c r="L11" i="8"/>
  <c r="K367" i="10"/>
  <c r="M10" i="8" s="1"/>
  <c r="K366" i="10"/>
  <c r="M9" i="8" s="1"/>
  <c r="Q11" i="27"/>
  <c r="R11" i="27"/>
  <c r="S4" i="27"/>
  <c r="K364" i="10"/>
  <c r="M7" i="8" s="1"/>
  <c r="L7" i="8"/>
  <c r="S3" i="27"/>
  <c r="K2" i="27"/>
  <c r="R21" i="27" s="1"/>
  <c r="T21" i="27" s="1"/>
  <c r="Q2" i="27"/>
  <c r="S2" i="27" s="1"/>
  <c r="T20" i="26"/>
  <c r="U20" i="26"/>
  <c r="S20" i="26"/>
  <c r="Q370" i="10"/>
  <c r="L371" i="10"/>
  <c r="K359" i="10"/>
  <c r="K358" i="10"/>
  <c r="K357" i="10"/>
  <c r="K356" i="10"/>
  <c r="K355" i="10"/>
  <c r="Q362" i="10"/>
  <c r="Q361" i="10"/>
  <c r="L362" i="10"/>
  <c r="K354" i="10"/>
  <c r="J402" i="10"/>
  <c r="K402" i="10" s="1"/>
  <c r="L314" i="3"/>
  <c r="Q314" i="3" s="1"/>
  <c r="N317" i="3"/>
  <c r="O317" i="3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O371" i="3"/>
  <c r="N371" i="3"/>
  <c r="O362" i="3"/>
  <c r="O353" i="3"/>
  <c r="N362" i="3"/>
  <c r="N353" i="3"/>
  <c r="O344" i="3"/>
  <c r="N344" i="3"/>
  <c r="O335" i="3"/>
  <c r="N335" i="3"/>
  <c r="O326" i="3"/>
  <c r="N326" i="3"/>
  <c r="L361" i="3"/>
  <c r="Q361" i="3" s="1"/>
  <c r="L360" i="3"/>
  <c r="M360" i="3" s="1"/>
  <c r="L359" i="3"/>
  <c r="Q359" i="3" s="1"/>
  <c r="L358" i="3"/>
  <c r="Q358" i="3" s="1"/>
  <c r="L357" i="3"/>
  <c r="M357" i="3" s="1"/>
  <c r="L356" i="3"/>
  <c r="M356" i="3" s="1"/>
  <c r="J356" i="3" s="1"/>
  <c r="L355" i="3"/>
  <c r="L352" i="3"/>
  <c r="M352" i="3" s="1"/>
  <c r="L351" i="3"/>
  <c r="M351" i="3" s="1"/>
  <c r="L350" i="3"/>
  <c r="Q350" i="3" s="1"/>
  <c r="L349" i="3"/>
  <c r="Q349" i="3" s="1"/>
  <c r="L348" i="3"/>
  <c r="M348" i="3" s="1"/>
  <c r="L347" i="3"/>
  <c r="M347" i="3" s="1"/>
  <c r="L346" i="3"/>
  <c r="Q346" i="3" s="1"/>
  <c r="L343" i="3"/>
  <c r="M343" i="3" s="1"/>
  <c r="L342" i="3"/>
  <c r="Q342" i="3" s="1"/>
  <c r="L341" i="3"/>
  <c r="M341" i="3" s="1"/>
  <c r="L340" i="3"/>
  <c r="M340" i="3" s="1"/>
  <c r="J340" i="3" s="1"/>
  <c r="B18" i="8" s="1"/>
  <c r="L339" i="3"/>
  <c r="M339" i="3" s="1"/>
  <c r="L338" i="3"/>
  <c r="M338" i="3" s="1"/>
  <c r="L337" i="3"/>
  <c r="L334" i="3"/>
  <c r="M334" i="3" s="1"/>
  <c r="L333" i="3"/>
  <c r="M333" i="3" s="1"/>
  <c r="L332" i="3"/>
  <c r="Q332" i="3" s="1"/>
  <c r="L331" i="3"/>
  <c r="Q331" i="3" s="1"/>
  <c r="L330" i="3"/>
  <c r="M330" i="3" s="1"/>
  <c r="L329" i="3"/>
  <c r="M329" i="3" s="1"/>
  <c r="L328" i="3"/>
  <c r="Q328" i="3" s="1"/>
  <c r="L325" i="3"/>
  <c r="M325" i="3" s="1"/>
  <c r="L324" i="3"/>
  <c r="L323" i="3"/>
  <c r="M323" i="3" s="1"/>
  <c r="L322" i="3"/>
  <c r="Q322" i="3" s="1"/>
  <c r="Q321" i="3"/>
  <c r="L321" i="3"/>
  <c r="M321" i="3" s="1"/>
  <c r="L320" i="3"/>
  <c r="Q320" i="3" s="1"/>
  <c r="L319" i="3"/>
  <c r="M319" i="3" s="1"/>
  <c r="L316" i="3"/>
  <c r="M316" i="3" s="1"/>
  <c r="L315" i="3"/>
  <c r="M315" i="3" s="1"/>
  <c r="M314" i="3"/>
  <c r="L313" i="3"/>
  <c r="Q313" i="3" s="1"/>
  <c r="L312" i="3"/>
  <c r="M312" i="3" s="1"/>
  <c r="L311" i="3"/>
  <c r="M311" i="3" s="1"/>
  <c r="L310" i="3"/>
  <c r="M310" i="3" s="1"/>
  <c r="O308" i="3"/>
  <c r="N308" i="3"/>
  <c r="O287" i="3"/>
  <c r="H43" i="8"/>
  <c r="H52" i="8" s="1"/>
  <c r="H61" i="8" s="1"/>
  <c r="K40" i="8"/>
  <c r="K41" i="8"/>
  <c r="K42" i="8"/>
  <c r="K43" i="8"/>
  <c r="K44" i="8"/>
  <c r="K45" i="8"/>
  <c r="K46" i="8"/>
  <c r="K47" i="8"/>
  <c r="K48" i="8"/>
  <c r="K49" i="8"/>
  <c r="K50" i="8"/>
  <c r="K51" i="8"/>
  <c r="M51" i="8"/>
  <c r="K52" i="8"/>
  <c r="L52" i="8"/>
  <c r="M52" i="8"/>
  <c r="K53" i="8"/>
  <c r="L53" i="8"/>
  <c r="M53" i="8"/>
  <c r="K54" i="8"/>
  <c r="L54" i="8"/>
  <c r="M54" i="8"/>
  <c r="K55" i="8"/>
  <c r="L55" i="8"/>
  <c r="M55" i="8"/>
  <c r="K56" i="8"/>
  <c r="L56" i="8"/>
  <c r="M56" i="8"/>
  <c r="K57" i="8"/>
  <c r="L57" i="8"/>
  <c r="M57" i="8"/>
  <c r="K58" i="8"/>
  <c r="L58" i="8"/>
  <c r="M58" i="8"/>
  <c r="K59" i="8"/>
  <c r="L59" i="8"/>
  <c r="M59" i="8"/>
  <c r="K60" i="8"/>
  <c r="L60" i="8"/>
  <c r="M60" i="8"/>
  <c r="K61" i="8"/>
  <c r="L61" i="8"/>
  <c r="M61" i="8"/>
  <c r="K62" i="8"/>
  <c r="L62" i="8"/>
  <c r="M62" i="8"/>
  <c r="K63" i="8"/>
  <c r="L63" i="8"/>
  <c r="M63" i="8"/>
  <c r="K64" i="8"/>
  <c r="L64" i="8"/>
  <c r="M64" i="8"/>
  <c r="K65" i="8"/>
  <c r="L65" i="8"/>
  <c r="M65" i="8"/>
  <c r="K66" i="8"/>
  <c r="L66" i="8"/>
  <c r="M66" i="8"/>
  <c r="R43" i="8"/>
  <c r="R52" i="8" s="1"/>
  <c r="R61" i="8" s="1"/>
  <c r="R2" i="8"/>
  <c r="P5" i="8" s="1"/>
  <c r="C280" i="3"/>
  <c r="O307" i="10"/>
  <c r="O415" i="10"/>
  <c r="O343" i="10"/>
  <c r="O334" i="10"/>
  <c r="O325" i="10"/>
  <c r="O316" i="10"/>
  <c r="O298" i="10"/>
  <c r="O289" i="10"/>
  <c r="N334" i="10"/>
  <c r="N344" i="10" s="1"/>
  <c r="N325" i="10"/>
  <c r="N316" i="10"/>
  <c r="N307" i="10"/>
  <c r="N298" i="10"/>
  <c r="N299" i="10" s="1"/>
  <c r="N289" i="10"/>
  <c r="L342" i="10"/>
  <c r="L341" i="10"/>
  <c r="M341" i="10" s="1"/>
  <c r="L340" i="10"/>
  <c r="Q340" i="10" s="1"/>
  <c r="L339" i="10"/>
  <c r="Q339" i="10" s="1"/>
  <c r="L338" i="10"/>
  <c r="Q338" i="10" s="1"/>
  <c r="L337" i="10"/>
  <c r="M337" i="10" s="1"/>
  <c r="L336" i="10"/>
  <c r="L333" i="10"/>
  <c r="Q333" i="10" s="1"/>
  <c r="L332" i="10"/>
  <c r="M332" i="10" s="1"/>
  <c r="L331" i="10"/>
  <c r="Q331" i="10" s="1"/>
  <c r="L330" i="10"/>
  <c r="L329" i="10"/>
  <c r="L328" i="10"/>
  <c r="M328" i="10" s="1"/>
  <c r="L327" i="10"/>
  <c r="Q327" i="10" s="1"/>
  <c r="L324" i="10"/>
  <c r="M324" i="10" s="1"/>
  <c r="L323" i="10"/>
  <c r="M323" i="10" s="1"/>
  <c r="J323" i="10" s="1"/>
  <c r="K323" i="10" s="1"/>
  <c r="L322" i="10"/>
  <c r="M322" i="10" s="1"/>
  <c r="L321" i="10"/>
  <c r="Q321" i="10" s="1"/>
  <c r="L320" i="10"/>
  <c r="Q320" i="10" s="1"/>
  <c r="L319" i="10"/>
  <c r="M319" i="10" s="1"/>
  <c r="J319" i="10" s="1"/>
  <c r="K319" i="10" s="1"/>
  <c r="L318" i="10"/>
  <c r="M318" i="10" s="1"/>
  <c r="L315" i="10"/>
  <c r="M315" i="10" s="1"/>
  <c r="L314" i="10"/>
  <c r="M314" i="10" s="1"/>
  <c r="L313" i="10"/>
  <c r="Q313" i="10" s="1"/>
  <c r="L312" i="10"/>
  <c r="Q312" i="10" s="1"/>
  <c r="L311" i="10"/>
  <c r="Q311" i="10" s="1"/>
  <c r="L310" i="10"/>
  <c r="M310" i="10" s="1"/>
  <c r="L309" i="10"/>
  <c r="Q309" i="10" s="1"/>
  <c r="L306" i="10"/>
  <c r="Q306" i="10" s="1"/>
  <c r="L305" i="10"/>
  <c r="M305" i="10" s="1"/>
  <c r="L304" i="10"/>
  <c r="Q304" i="10" s="1"/>
  <c r="L303" i="10"/>
  <c r="Q303" i="10" s="1"/>
  <c r="Q302" i="10"/>
  <c r="M301" i="10"/>
  <c r="L300" i="10"/>
  <c r="Q300" i="10" s="1"/>
  <c r="Q336" i="10" l="1"/>
  <c r="L343" i="10"/>
  <c r="B52" i="8"/>
  <c r="B34" i="8"/>
  <c r="N363" i="3"/>
  <c r="S11" i="27"/>
  <c r="T6" i="27" s="1"/>
  <c r="W49" i="27"/>
  <c r="W54" i="27" s="1"/>
  <c r="R33" i="27"/>
  <c r="M328" i="3"/>
  <c r="J328" i="3" s="1"/>
  <c r="B6" i="8" s="1"/>
  <c r="S21" i="27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V20" i="26"/>
  <c r="U21" i="27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T33" i="27"/>
  <c r="Q342" i="10"/>
  <c r="Q348" i="3"/>
  <c r="N327" i="3"/>
  <c r="N308" i="10"/>
  <c r="L344" i="3"/>
  <c r="Q344" i="3" s="1"/>
  <c r="Q340" i="3"/>
  <c r="L362" i="3"/>
  <c r="Q362" i="3" s="1"/>
  <c r="M359" i="3"/>
  <c r="J359" i="3" s="1"/>
  <c r="N345" i="3"/>
  <c r="Q330" i="3"/>
  <c r="M342" i="3"/>
  <c r="J342" i="3" s="1"/>
  <c r="B20" i="8" s="1"/>
  <c r="Q355" i="3"/>
  <c r="N336" i="3"/>
  <c r="N354" i="3"/>
  <c r="N372" i="3"/>
  <c r="L317" i="3"/>
  <c r="Q317" i="3" s="1"/>
  <c r="Q352" i="3"/>
  <c r="K340" i="3"/>
  <c r="C18" i="8" s="1"/>
  <c r="M313" i="3"/>
  <c r="J313" i="3" s="1"/>
  <c r="M320" i="3"/>
  <c r="M324" i="3"/>
  <c r="J324" i="3" s="1"/>
  <c r="M337" i="3"/>
  <c r="J337" i="3" s="1"/>
  <c r="B15" i="8" s="1"/>
  <c r="Q347" i="3"/>
  <c r="Q351" i="3"/>
  <c r="M361" i="3"/>
  <c r="J361" i="3" s="1"/>
  <c r="B39" i="8" s="1"/>
  <c r="L326" i="3"/>
  <c r="M332" i="3"/>
  <c r="J332" i="3" s="1"/>
  <c r="B10" i="8" s="1"/>
  <c r="Q334" i="3"/>
  <c r="M346" i="3"/>
  <c r="J346" i="3" s="1"/>
  <c r="B24" i="8" s="1"/>
  <c r="M350" i="3"/>
  <c r="J350" i="3" s="1"/>
  <c r="B28" i="8" s="1"/>
  <c r="M355" i="3"/>
  <c r="J355" i="3" s="1"/>
  <c r="B33" i="8" s="1"/>
  <c r="Q356" i="3"/>
  <c r="Q360" i="3"/>
  <c r="L335" i="3"/>
  <c r="L353" i="3"/>
  <c r="M322" i="3"/>
  <c r="J322" i="3" s="1"/>
  <c r="Q337" i="3"/>
  <c r="Q341" i="3"/>
  <c r="Q316" i="3"/>
  <c r="J316" i="3"/>
  <c r="J315" i="3"/>
  <c r="Q315" i="3"/>
  <c r="N318" i="3"/>
  <c r="J312" i="3"/>
  <c r="Q312" i="3"/>
  <c r="J311" i="3"/>
  <c r="Q311" i="3"/>
  <c r="J357" i="3"/>
  <c r="J360" i="3"/>
  <c r="K360" i="3"/>
  <c r="K356" i="3"/>
  <c r="Q357" i="3"/>
  <c r="M358" i="3"/>
  <c r="J347" i="3"/>
  <c r="J351" i="3"/>
  <c r="J348" i="3"/>
  <c r="M349" i="3"/>
  <c r="J352" i="3"/>
  <c r="J341" i="3"/>
  <c r="B19" i="8" s="1"/>
  <c r="J343" i="3"/>
  <c r="B21" i="8" s="1"/>
  <c r="J339" i="3"/>
  <c r="B17" i="8" s="1"/>
  <c r="J338" i="3"/>
  <c r="B16" i="8" s="1"/>
  <c r="Q339" i="3"/>
  <c r="Q343" i="3"/>
  <c r="Q338" i="3"/>
  <c r="J329" i="3"/>
  <c r="B7" i="8" s="1"/>
  <c r="J333" i="3"/>
  <c r="B11" i="8" s="1"/>
  <c r="J330" i="3"/>
  <c r="B8" i="8" s="1"/>
  <c r="M331" i="3"/>
  <c r="J334" i="3"/>
  <c r="B12" i="8" s="1"/>
  <c r="Q329" i="3"/>
  <c r="Q333" i="3"/>
  <c r="J325" i="3"/>
  <c r="J319" i="3"/>
  <c r="J321" i="3"/>
  <c r="J323" i="3"/>
  <c r="Q319" i="3"/>
  <c r="Q323" i="3"/>
  <c r="J310" i="3"/>
  <c r="J314" i="3"/>
  <c r="Q310" i="3"/>
  <c r="M331" i="10"/>
  <c r="J331" i="10" s="1"/>
  <c r="N335" i="10"/>
  <c r="N326" i="10"/>
  <c r="N317" i="10"/>
  <c r="L325" i="10"/>
  <c r="L316" i="10"/>
  <c r="L307" i="10"/>
  <c r="Q307" i="10" s="1"/>
  <c r="M320" i="10"/>
  <c r="J320" i="10" s="1"/>
  <c r="M342" i="10"/>
  <c r="J342" i="10" s="1"/>
  <c r="L334" i="10"/>
  <c r="Q334" i="10" s="1"/>
  <c r="M313" i="10"/>
  <c r="J313" i="10" s="1"/>
  <c r="Q324" i="10"/>
  <c r="M340" i="10"/>
  <c r="J340" i="10" s="1"/>
  <c r="M302" i="10"/>
  <c r="J302" i="10" s="1"/>
  <c r="M309" i="10"/>
  <c r="J309" i="10" s="1"/>
  <c r="M333" i="10"/>
  <c r="J333" i="10" s="1"/>
  <c r="Q337" i="10"/>
  <c r="M304" i="10"/>
  <c r="J304" i="10" s="1"/>
  <c r="Q319" i="10"/>
  <c r="Q323" i="10"/>
  <c r="Q341" i="10"/>
  <c r="M306" i="10"/>
  <c r="J306" i="10" s="1"/>
  <c r="M329" i="10"/>
  <c r="J329" i="10" s="1"/>
  <c r="M338" i="10"/>
  <c r="J338" i="10" s="1"/>
  <c r="M311" i="10"/>
  <c r="J311" i="10" s="1"/>
  <c r="M300" i="10"/>
  <c r="J300" i="10" s="1"/>
  <c r="M336" i="10"/>
  <c r="J336" i="10" s="1"/>
  <c r="M327" i="10"/>
  <c r="J327" i="10" s="1"/>
  <c r="J341" i="10"/>
  <c r="J337" i="10"/>
  <c r="M339" i="10"/>
  <c r="J328" i="10"/>
  <c r="J332" i="10"/>
  <c r="M330" i="10"/>
  <c r="Q328" i="10"/>
  <c r="Q332" i="10"/>
  <c r="J318" i="10"/>
  <c r="J324" i="10"/>
  <c r="J322" i="10"/>
  <c r="M321" i="10"/>
  <c r="Q318" i="10"/>
  <c r="Q322" i="10"/>
  <c r="J310" i="10"/>
  <c r="J315" i="10"/>
  <c r="J314" i="10"/>
  <c r="M312" i="10"/>
  <c r="Q315" i="10"/>
  <c r="Q310" i="10"/>
  <c r="Q314" i="10"/>
  <c r="J301" i="10"/>
  <c r="J305" i="10"/>
  <c r="M303" i="10"/>
  <c r="Q301" i="10"/>
  <c r="Q305" i="10"/>
  <c r="O380" i="3"/>
  <c r="O299" i="3"/>
  <c r="O290" i="3"/>
  <c r="O281" i="3"/>
  <c r="O272" i="3"/>
  <c r="N380" i="3"/>
  <c r="N299" i="3"/>
  <c r="N309" i="3" s="1"/>
  <c r="N290" i="3"/>
  <c r="N281" i="3"/>
  <c r="N272" i="3"/>
  <c r="L379" i="3"/>
  <c r="Q379" i="3" s="1"/>
  <c r="L378" i="3"/>
  <c r="M378" i="3" s="1"/>
  <c r="L377" i="3"/>
  <c r="Q377" i="3" s="1"/>
  <c r="L376" i="3"/>
  <c r="Q376" i="3" s="1"/>
  <c r="L375" i="3"/>
  <c r="M375" i="3" s="1"/>
  <c r="L374" i="3"/>
  <c r="M374" i="3" s="1"/>
  <c r="L373" i="3"/>
  <c r="Q373" i="3" s="1"/>
  <c r="L370" i="3"/>
  <c r="M370" i="3" s="1"/>
  <c r="L369" i="3"/>
  <c r="M369" i="3" s="1"/>
  <c r="L368" i="3"/>
  <c r="Q368" i="3" s="1"/>
  <c r="L367" i="3"/>
  <c r="Q367" i="3" s="1"/>
  <c r="L366" i="3"/>
  <c r="M366" i="3" s="1"/>
  <c r="L365" i="3"/>
  <c r="M365" i="3" s="1"/>
  <c r="L364" i="3"/>
  <c r="L307" i="3"/>
  <c r="Q307" i="3" s="1"/>
  <c r="L306" i="3"/>
  <c r="M306" i="3" s="1"/>
  <c r="L305" i="3"/>
  <c r="Q305" i="3" s="1"/>
  <c r="L304" i="3"/>
  <c r="Q304" i="3" s="1"/>
  <c r="L303" i="3"/>
  <c r="M303" i="3" s="1"/>
  <c r="L302" i="3"/>
  <c r="M302" i="3" s="1"/>
  <c r="L301" i="3"/>
  <c r="L298" i="3"/>
  <c r="M298" i="3" s="1"/>
  <c r="J298" i="3" s="1"/>
  <c r="L297" i="3"/>
  <c r="M297" i="3" s="1"/>
  <c r="J297" i="3" s="1"/>
  <c r="L296" i="3"/>
  <c r="M296" i="3" s="1"/>
  <c r="L295" i="3"/>
  <c r="Q295" i="3" s="1"/>
  <c r="L294" i="3"/>
  <c r="M294" i="3" s="1"/>
  <c r="J294" i="3" s="1"/>
  <c r="L293" i="3"/>
  <c r="M293" i="3" s="1"/>
  <c r="J293" i="3" s="1"/>
  <c r="L292" i="3"/>
  <c r="M292" i="3" s="1"/>
  <c r="L289" i="3"/>
  <c r="Q289" i="3" s="1"/>
  <c r="L288" i="3"/>
  <c r="M288" i="3" s="1"/>
  <c r="M287" i="3"/>
  <c r="J287" i="3" s="1"/>
  <c r="L287" i="3"/>
  <c r="Q287" i="3" s="1"/>
  <c r="L286" i="3"/>
  <c r="Q286" i="3" s="1"/>
  <c r="L285" i="3"/>
  <c r="Q285" i="3" s="1"/>
  <c r="L284" i="3"/>
  <c r="M284" i="3" s="1"/>
  <c r="L283" i="3"/>
  <c r="Q283" i="3" s="1"/>
  <c r="L280" i="3"/>
  <c r="Q280" i="3" s="1"/>
  <c r="L279" i="3"/>
  <c r="M279" i="3" s="1"/>
  <c r="L278" i="3"/>
  <c r="L277" i="3"/>
  <c r="Q277" i="3" s="1"/>
  <c r="L276" i="3"/>
  <c r="M276" i="3" s="1"/>
  <c r="L275" i="3"/>
  <c r="Q275" i="3" s="1"/>
  <c r="L274" i="3"/>
  <c r="Q274" i="3" s="1"/>
  <c r="S55" i="8"/>
  <c r="D5" i="8"/>
  <c r="F5" i="8" s="1"/>
  <c r="O280" i="10"/>
  <c r="N280" i="10"/>
  <c r="N290" i="10" s="1"/>
  <c r="O271" i="10"/>
  <c r="N271" i="10"/>
  <c r="O262" i="10"/>
  <c r="N262" i="10"/>
  <c r="L414" i="10"/>
  <c r="Q414" i="10" s="1"/>
  <c r="L413" i="10"/>
  <c r="M413" i="10" s="1"/>
  <c r="L412" i="10"/>
  <c r="Q412" i="10" s="1"/>
  <c r="L411" i="10"/>
  <c r="Q411" i="10" s="1"/>
  <c r="L410" i="10"/>
  <c r="Q410" i="10" s="1"/>
  <c r="L409" i="10"/>
  <c r="M409" i="10" s="1"/>
  <c r="L408" i="10"/>
  <c r="L351" i="10"/>
  <c r="Q351" i="10" s="1"/>
  <c r="L350" i="10"/>
  <c r="M350" i="10" s="1"/>
  <c r="L349" i="10"/>
  <c r="Q349" i="10" s="1"/>
  <c r="L348" i="10"/>
  <c r="M348" i="10" s="1"/>
  <c r="L347" i="10"/>
  <c r="L346" i="10"/>
  <c r="M346" i="10" s="1"/>
  <c r="L345" i="10"/>
  <c r="L297" i="10"/>
  <c r="L296" i="10"/>
  <c r="M296" i="10" s="1"/>
  <c r="L295" i="10"/>
  <c r="Q295" i="10" s="1"/>
  <c r="L294" i="10"/>
  <c r="M294" i="10" s="1"/>
  <c r="L293" i="10"/>
  <c r="M293" i="10" s="1"/>
  <c r="J293" i="10" s="1"/>
  <c r="L292" i="10"/>
  <c r="M292" i="10" s="1"/>
  <c r="L291" i="10"/>
  <c r="L288" i="10"/>
  <c r="Q288" i="10" s="1"/>
  <c r="L287" i="10"/>
  <c r="Q287" i="10" s="1"/>
  <c r="L286" i="10"/>
  <c r="M286" i="10" s="1"/>
  <c r="L285" i="10"/>
  <c r="M285" i="10" s="1"/>
  <c r="J285" i="10" s="1"/>
  <c r="L284" i="10"/>
  <c r="M284" i="10" s="1"/>
  <c r="L283" i="10"/>
  <c r="M283" i="10" s="1"/>
  <c r="L282" i="10"/>
  <c r="L279" i="10"/>
  <c r="L278" i="10"/>
  <c r="M278" i="10" s="1"/>
  <c r="L277" i="10"/>
  <c r="Q277" i="10" s="1"/>
  <c r="L276" i="10"/>
  <c r="M276" i="10" s="1"/>
  <c r="L275" i="10"/>
  <c r="Q275" i="10" s="1"/>
  <c r="L274" i="10"/>
  <c r="M274" i="10" s="1"/>
  <c r="L273" i="10"/>
  <c r="Q273" i="10" s="1"/>
  <c r="C56" i="8" l="1"/>
  <c r="C38" i="8"/>
  <c r="B47" i="8"/>
  <c r="B29" i="8"/>
  <c r="M410" i="10"/>
  <c r="J410" i="10" s="1"/>
  <c r="Q413" i="10"/>
  <c r="K332" i="3"/>
  <c r="C10" i="8" s="1"/>
  <c r="B56" i="8"/>
  <c r="B38" i="8"/>
  <c r="L344" i="10"/>
  <c r="Q343" i="10"/>
  <c r="B48" i="8"/>
  <c r="B30" i="8"/>
  <c r="C52" i="8"/>
  <c r="C34" i="8"/>
  <c r="M408" i="10"/>
  <c r="J408" i="10" s="1"/>
  <c r="L415" i="10"/>
  <c r="K313" i="3"/>
  <c r="K351" i="3"/>
  <c r="B53" i="8"/>
  <c r="B35" i="8"/>
  <c r="B55" i="8"/>
  <c r="B37" i="8"/>
  <c r="Q344" i="10"/>
  <c r="B44" i="8"/>
  <c r="B26" i="8"/>
  <c r="B43" i="8"/>
  <c r="B25" i="8"/>
  <c r="K342" i="3"/>
  <c r="C20" i="8" s="1"/>
  <c r="L345" i="3"/>
  <c r="T11" i="27"/>
  <c r="T3" i="27"/>
  <c r="T5" i="27"/>
  <c r="R16" i="27"/>
  <c r="R17" i="27" s="1"/>
  <c r="T7" i="27"/>
  <c r="T8" i="27"/>
  <c r="T9" i="27"/>
  <c r="T10" i="27"/>
  <c r="T4" i="27"/>
  <c r="K337" i="3"/>
  <c r="C15" i="8" s="1"/>
  <c r="K329" i="3"/>
  <c r="C7" i="8" s="1"/>
  <c r="K328" i="3"/>
  <c r="C6" i="8" s="1"/>
  <c r="Q347" i="10"/>
  <c r="L352" i="10"/>
  <c r="K327" i="10"/>
  <c r="M347" i="10"/>
  <c r="J347" i="10" s="1"/>
  <c r="M351" i="10"/>
  <c r="J351" i="10" s="1"/>
  <c r="Q409" i="10"/>
  <c r="K322" i="3"/>
  <c r="Q354" i="3"/>
  <c r="Q297" i="10"/>
  <c r="M412" i="10"/>
  <c r="J412" i="10" s="1"/>
  <c r="M414" i="10"/>
  <c r="J414" i="10" s="1"/>
  <c r="L363" i="3"/>
  <c r="K337" i="10"/>
  <c r="K357" i="3"/>
  <c r="K333" i="3"/>
  <c r="C11" i="8" s="1"/>
  <c r="K330" i="3"/>
  <c r="C8" i="8" s="1"/>
  <c r="K339" i="3"/>
  <c r="C17" i="8" s="1"/>
  <c r="Q327" i="3"/>
  <c r="Q336" i="3"/>
  <c r="K359" i="3"/>
  <c r="Q297" i="3"/>
  <c r="Q366" i="3"/>
  <c r="K348" i="3"/>
  <c r="Q363" i="3"/>
  <c r="K319" i="3"/>
  <c r="K341" i="3"/>
  <c r="C19" i="8" s="1"/>
  <c r="Q353" i="3"/>
  <c r="L354" i="3"/>
  <c r="K355" i="3"/>
  <c r="B51" i="8"/>
  <c r="J320" i="3"/>
  <c r="K323" i="3"/>
  <c r="K352" i="3"/>
  <c r="K347" i="3"/>
  <c r="K338" i="3"/>
  <c r="C16" i="8" s="1"/>
  <c r="K311" i="3"/>
  <c r="K324" i="3"/>
  <c r="Q370" i="3"/>
  <c r="M379" i="3"/>
  <c r="J379" i="3" s="1"/>
  <c r="K379" i="3" s="1"/>
  <c r="K343" i="3"/>
  <c r="C21" i="8" s="1"/>
  <c r="Q364" i="3"/>
  <c r="L371" i="3"/>
  <c r="K321" i="3"/>
  <c r="K334" i="3"/>
  <c r="C12" i="8" s="1"/>
  <c r="K361" i="3"/>
  <c r="B57" i="8"/>
  <c r="K346" i="3"/>
  <c r="B42" i="8"/>
  <c r="Q326" i="3"/>
  <c r="L327" i="3"/>
  <c r="K312" i="3"/>
  <c r="Q345" i="3"/>
  <c r="K325" i="3"/>
  <c r="Q335" i="3"/>
  <c r="L336" i="3"/>
  <c r="K350" i="3"/>
  <c r="B46" i="8"/>
  <c r="K316" i="3"/>
  <c r="Q318" i="3"/>
  <c r="K315" i="3"/>
  <c r="K314" i="3"/>
  <c r="L318" i="3"/>
  <c r="K310" i="3"/>
  <c r="M307" i="3"/>
  <c r="J307" i="3" s="1"/>
  <c r="Q301" i="3"/>
  <c r="L308" i="3"/>
  <c r="J358" i="3"/>
  <c r="B36" i="8" s="1"/>
  <c r="J349" i="3"/>
  <c r="J331" i="3"/>
  <c r="B9" i="8" s="1"/>
  <c r="Q298" i="3"/>
  <c r="Q294" i="3"/>
  <c r="Q293" i="3"/>
  <c r="Q335" i="10"/>
  <c r="K331" i="10"/>
  <c r="Q317" i="10"/>
  <c r="K287" i="3"/>
  <c r="N300" i="3"/>
  <c r="Q308" i="10"/>
  <c r="L308" i="10"/>
  <c r="N291" i="3"/>
  <c r="K297" i="3"/>
  <c r="K293" i="3"/>
  <c r="K338" i="10"/>
  <c r="K333" i="10"/>
  <c r="M282" i="10"/>
  <c r="J282" i="10" s="1"/>
  <c r="L289" i="10"/>
  <c r="Q289" i="10" s="1"/>
  <c r="Q291" i="10"/>
  <c r="L298" i="10"/>
  <c r="K315" i="10"/>
  <c r="K318" i="10"/>
  <c r="K328" i="10"/>
  <c r="K306" i="10"/>
  <c r="K314" i="10"/>
  <c r="K324" i="10"/>
  <c r="K332" i="10"/>
  <c r="K341" i="10"/>
  <c r="S65" i="8"/>
  <c r="K311" i="10"/>
  <c r="K340" i="10"/>
  <c r="L326" i="10"/>
  <c r="Q325" i="10"/>
  <c r="Q284" i="10"/>
  <c r="Q348" i="10"/>
  <c r="M283" i="3"/>
  <c r="J283" i="3" s="1"/>
  <c r="M285" i="3"/>
  <c r="J285" i="3" s="1"/>
  <c r="Q302" i="3"/>
  <c r="M364" i="3"/>
  <c r="J364" i="3" s="1"/>
  <c r="B60" i="8" s="1"/>
  <c r="M368" i="3"/>
  <c r="J368" i="3" s="1"/>
  <c r="B64" i="8" s="1"/>
  <c r="Q374" i="3"/>
  <c r="L299" i="3"/>
  <c r="L300" i="3" s="1"/>
  <c r="Q326" i="10"/>
  <c r="L317" i="10"/>
  <c r="Q316" i="10"/>
  <c r="K301" i="10"/>
  <c r="K322" i="10"/>
  <c r="K300" i="10"/>
  <c r="K304" i="10"/>
  <c r="K294" i="3"/>
  <c r="K298" i="3"/>
  <c r="Q303" i="3"/>
  <c r="Q375" i="3"/>
  <c r="L290" i="3"/>
  <c r="L291" i="3" s="1"/>
  <c r="L380" i="3"/>
  <c r="L381" i="3" s="1"/>
  <c r="N381" i="3"/>
  <c r="K342" i="10"/>
  <c r="Q345" i="10"/>
  <c r="Q408" i="10"/>
  <c r="K305" i="10"/>
  <c r="K310" i="10"/>
  <c r="K320" i="10"/>
  <c r="K336" i="10"/>
  <c r="K329" i="10"/>
  <c r="M273" i="10"/>
  <c r="J273" i="10" s="1"/>
  <c r="M291" i="10"/>
  <c r="J291" i="10" s="1"/>
  <c r="Q294" i="10"/>
  <c r="M349" i="10"/>
  <c r="J349" i="10" s="1"/>
  <c r="M280" i="3"/>
  <c r="J280" i="3" s="1"/>
  <c r="Q284" i="3"/>
  <c r="M289" i="3"/>
  <c r="J289" i="3" s="1"/>
  <c r="M295" i="3"/>
  <c r="J295" i="3" s="1"/>
  <c r="M301" i="3"/>
  <c r="J301" i="3" s="1"/>
  <c r="M305" i="3"/>
  <c r="J305" i="3" s="1"/>
  <c r="Q365" i="3"/>
  <c r="M373" i="3"/>
  <c r="J373" i="3" s="1"/>
  <c r="K373" i="3" s="1"/>
  <c r="M377" i="3"/>
  <c r="J377" i="3" s="1"/>
  <c r="K377" i="3" s="1"/>
  <c r="M288" i="10"/>
  <c r="J288" i="10" s="1"/>
  <c r="K313" i="10"/>
  <c r="K309" i="10"/>
  <c r="K302" i="10"/>
  <c r="J339" i="10"/>
  <c r="J330" i="10"/>
  <c r="J321" i="10"/>
  <c r="J312" i="10"/>
  <c r="J303" i="10"/>
  <c r="M345" i="10"/>
  <c r="J345" i="10" s="1"/>
  <c r="M297" i="10"/>
  <c r="J297" i="10" s="1"/>
  <c r="M295" i="10"/>
  <c r="J295" i="10" s="1"/>
  <c r="K293" i="10"/>
  <c r="Q293" i="10"/>
  <c r="M287" i="10"/>
  <c r="J287" i="10" s="1"/>
  <c r="Q285" i="10"/>
  <c r="M279" i="10"/>
  <c r="J279" i="10" s="1"/>
  <c r="N281" i="10"/>
  <c r="M277" i="10"/>
  <c r="J277" i="10" s="1"/>
  <c r="Q276" i="10"/>
  <c r="M275" i="10"/>
  <c r="J275" i="10" s="1"/>
  <c r="L280" i="10"/>
  <c r="L281" i="10" s="1"/>
  <c r="N282" i="3"/>
  <c r="L281" i="3"/>
  <c r="L282" i="3" s="1"/>
  <c r="N272" i="10"/>
  <c r="J374" i="3"/>
  <c r="K374" i="3" s="1"/>
  <c r="J378" i="3"/>
  <c r="K378" i="3" s="1"/>
  <c r="J375" i="3"/>
  <c r="K375" i="3" s="1"/>
  <c r="M376" i="3"/>
  <c r="Q378" i="3"/>
  <c r="J365" i="3"/>
  <c r="B61" i="8" s="1"/>
  <c r="J369" i="3"/>
  <c r="B65" i="8" s="1"/>
  <c r="J366" i="3"/>
  <c r="B62" i="8" s="1"/>
  <c r="M367" i="3"/>
  <c r="J370" i="3"/>
  <c r="B66" i="8" s="1"/>
  <c r="Q369" i="3"/>
  <c r="J302" i="3"/>
  <c r="J306" i="3"/>
  <c r="J303" i="3"/>
  <c r="M304" i="3"/>
  <c r="Q306" i="3"/>
  <c r="Q299" i="3"/>
  <c r="J292" i="3"/>
  <c r="J296" i="3"/>
  <c r="Q292" i="3"/>
  <c r="Q296" i="3"/>
  <c r="J284" i="3"/>
  <c r="J288" i="3"/>
  <c r="M286" i="3"/>
  <c r="Q288" i="3"/>
  <c r="Q276" i="3"/>
  <c r="M275" i="3"/>
  <c r="J275" i="3" s="1"/>
  <c r="M278" i="3"/>
  <c r="J278" i="3" s="1"/>
  <c r="J276" i="3"/>
  <c r="J279" i="3"/>
  <c r="M274" i="3"/>
  <c r="M277" i="3"/>
  <c r="Q279" i="3"/>
  <c r="S61" i="8"/>
  <c r="S57" i="8"/>
  <c r="J409" i="10"/>
  <c r="J413" i="10"/>
  <c r="K410" i="10"/>
  <c r="M411" i="10"/>
  <c r="J348" i="10"/>
  <c r="J346" i="10"/>
  <c r="J350" i="10"/>
  <c r="Q346" i="10"/>
  <c r="J292" i="10"/>
  <c r="J294" i="10"/>
  <c r="J296" i="10"/>
  <c r="Q296" i="10"/>
  <c r="Q292" i="10"/>
  <c r="J286" i="10"/>
  <c r="J284" i="10"/>
  <c r="J283" i="10"/>
  <c r="Q282" i="10"/>
  <c r="K285" i="10"/>
  <c r="Q286" i="10"/>
  <c r="J274" i="10"/>
  <c r="J276" i="10"/>
  <c r="J278" i="10"/>
  <c r="Q278" i="10"/>
  <c r="Q274" i="10"/>
  <c r="K412" i="10" l="1"/>
  <c r="C46" i="8"/>
  <c r="C28" i="8"/>
  <c r="C55" i="8"/>
  <c r="C37" i="8"/>
  <c r="I37" i="8" s="1"/>
  <c r="K408" i="10"/>
  <c r="C47" i="8"/>
  <c r="I47" i="8" s="1"/>
  <c r="C29" i="8"/>
  <c r="Q282" i="3"/>
  <c r="C48" i="8"/>
  <c r="I48" i="8" s="1"/>
  <c r="C30" i="8"/>
  <c r="Q416" i="10"/>
  <c r="C57" i="8"/>
  <c r="C39" i="8"/>
  <c r="C51" i="8"/>
  <c r="C33" i="8"/>
  <c r="C53" i="8"/>
  <c r="C35" i="8"/>
  <c r="Q415" i="10"/>
  <c r="L416" i="10"/>
  <c r="B45" i="8"/>
  <c r="B27" i="8"/>
  <c r="C44" i="8"/>
  <c r="I44" i="8" s="1"/>
  <c r="C26" i="8"/>
  <c r="C43" i="8"/>
  <c r="I43" i="8" s="1"/>
  <c r="C25" i="8"/>
  <c r="C42" i="8"/>
  <c r="I42" i="8" s="1"/>
  <c r="C24" i="8"/>
  <c r="U16" i="27"/>
  <c r="U17" i="27" s="1"/>
  <c r="Q353" i="10"/>
  <c r="Q352" i="10"/>
  <c r="L353" i="10"/>
  <c r="M352" i="10"/>
  <c r="K273" i="10"/>
  <c r="K347" i="10"/>
  <c r="K349" i="10"/>
  <c r="L290" i="10"/>
  <c r="K414" i="10"/>
  <c r="K350" i="10"/>
  <c r="K348" i="10"/>
  <c r="K351" i="10"/>
  <c r="K413" i="10"/>
  <c r="I51" i="8"/>
  <c r="K346" i="10"/>
  <c r="K409" i="10"/>
  <c r="K369" i="3"/>
  <c r="C65" i="8" s="1"/>
  <c r="I65" i="8" s="1"/>
  <c r="K366" i="3"/>
  <c r="C62" i="8" s="1"/>
  <c r="I62" i="8" s="1"/>
  <c r="K370" i="3"/>
  <c r="C66" i="8" s="1"/>
  <c r="I66" i="8" s="1"/>
  <c r="K365" i="3"/>
  <c r="C61" i="8" s="1"/>
  <c r="I61" i="8" s="1"/>
  <c r="Q372" i="3"/>
  <c r="Q371" i="3"/>
  <c r="L372" i="3"/>
  <c r="K349" i="3"/>
  <c r="K331" i="3"/>
  <c r="C9" i="8" s="1"/>
  <c r="Q381" i="3"/>
  <c r="K358" i="3"/>
  <c r="B54" i="8"/>
  <c r="K320" i="3"/>
  <c r="K303" i="3"/>
  <c r="Q309" i="3"/>
  <c r="L309" i="3"/>
  <c r="Q308" i="3"/>
  <c r="K296" i="3"/>
  <c r="K295" i="3"/>
  <c r="Q300" i="3"/>
  <c r="K292" i="3"/>
  <c r="S62" i="8"/>
  <c r="S56" i="8"/>
  <c r="S52" i="8"/>
  <c r="S37" i="8"/>
  <c r="S35" i="8"/>
  <c r="Q291" i="3"/>
  <c r="S64" i="8"/>
  <c r="S53" i="8"/>
  <c r="I53" i="8"/>
  <c r="K288" i="3"/>
  <c r="K330" i="10"/>
  <c r="K364" i="3"/>
  <c r="K321" i="10"/>
  <c r="K368" i="3"/>
  <c r="K283" i="3"/>
  <c r="K280" i="3"/>
  <c r="K285" i="3"/>
  <c r="K307" i="3"/>
  <c r="K302" i="3"/>
  <c r="K289" i="3"/>
  <c r="K276" i="3"/>
  <c r="K312" i="10"/>
  <c r="S60" i="8"/>
  <c r="Q299" i="10"/>
  <c r="K305" i="3"/>
  <c r="K279" i="3"/>
  <c r="K275" i="3"/>
  <c r="K284" i="3"/>
  <c r="K303" i="10"/>
  <c r="K339" i="10"/>
  <c r="K301" i="3"/>
  <c r="S66" i="8"/>
  <c r="Q298" i="10"/>
  <c r="L299" i="10"/>
  <c r="Q290" i="10"/>
  <c r="K291" i="10"/>
  <c r="Q290" i="3"/>
  <c r="K306" i="3"/>
  <c r="L335" i="10"/>
  <c r="K345" i="10"/>
  <c r="K297" i="10"/>
  <c r="K296" i="10"/>
  <c r="K295" i="10"/>
  <c r="K294" i="10"/>
  <c r="K292" i="10"/>
  <c r="K288" i="10"/>
  <c r="K287" i="10"/>
  <c r="K284" i="10"/>
  <c r="K286" i="10"/>
  <c r="K283" i="10"/>
  <c r="K282" i="10"/>
  <c r="K279" i="10"/>
  <c r="K278" i="10"/>
  <c r="K277" i="10"/>
  <c r="K276" i="10"/>
  <c r="Q281" i="10"/>
  <c r="K275" i="10"/>
  <c r="K274" i="10"/>
  <c r="Q280" i="10"/>
  <c r="K278" i="3"/>
  <c r="Q281" i="3"/>
  <c r="J376" i="3"/>
  <c r="K376" i="3" s="1"/>
  <c r="J367" i="3"/>
  <c r="B63" i="8" s="1"/>
  <c r="J304" i="3"/>
  <c r="J286" i="3"/>
  <c r="J274" i="3"/>
  <c r="J277" i="3"/>
  <c r="J411" i="10"/>
  <c r="L225" i="3"/>
  <c r="M225" i="3" s="1"/>
  <c r="N211" i="3"/>
  <c r="I211" i="3"/>
  <c r="C54" i="8" l="1"/>
  <c r="C36" i="8"/>
  <c r="C45" i="8"/>
  <c r="I45" i="8" s="1"/>
  <c r="C27" i="8"/>
  <c r="S34" i="8"/>
  <c r="S39" i="8"/>
  <c r="S38" i="8"/>
  <c r="K411" i="10"/>
  <c r="C60" i="8"/>
  <c r="I60" i="8" s="1"/>
  <c r="K367" i="3"/>
  <c r="C63" i="8" s="1"/>
  <c r="I63" i="8" s="1"/>
  <c r="C64" i="8"/>
  <c r="I64" i="8" s="1"/>
  <c r="I57" i="8"/>
  <c r="I30" i="8"/>
  <c r="I56" i="8"/>
  <c r="I29" i="8"/>
  <c r="I55" i="8"/>
  <c r="I28" i="8"/>
  <c r="K304" i="3"/>
  <c r="I52" i="8"/>
  <c r="I25" i="8"/>
  <c r="I46" i="8"/>
  <c r="S63" i="8"/>
  <c r="I38" i="8"/>
  <c r="K286" i="3"/>
  <c r="I35" i="8"/>
  <c r="I34" i="8"/>
  <c r="I54" i="8"/>
  <c r="I36" i="8"/>
  <c r="I33" i="8"/>
  <c r="S54" i="8"/>
  <c r="K274" i="3"/>
  <c r="I39" i="8"/>
  <c r="K277" i="3"/>
  <c r="I26" i="8"/>
  <c r="Q225" i="3"/>
  <c r="J225" i="3"/>
  <c r="K225" i="3" s="1"/>
  <c r="O263" i="3"/>
  <c r="O254" i="3"/>
  <c r="O245" i="3"/>
  <c r="O236" i="3"/>
  <c r="O227" i="3"/>
  <c r="O217" i="3"/>
  <c r="O208" i="3"/>
  <c r="O199" i="3"/>
  <c r="O190" i="3"/>
  <c r="O181" i="3"/>
  <c r="N263" i="3"/>
  <c r="N273" i="3" s="1"/>
  <c r="N254" i="3"/>
  <c r="N245" i="3"/>
  <c r="N236" i="3"/>
  <c r="N227" i="3"/>
  <c r="N217" i="3"/>
  <c r="N208" i="3"/>
  <c r="N199" i="3"/>
  <c r="N190" i="3"/>
  <c r="N181" i="3"/>
  <c r="L253" i="3"/>
  <c r="Q253" i="3" s="1"/>
  <c r="L252" i="3"/>
  <c r="M252" i="3" s="1"/>
  <c r="L251" i="3"/>
  <c r="M251" i="3" s="1"/>
  <c r="J251" i="3" s="1"/>
  <c r="L250" i="3"/>
  <c r="Q250" i="3" s="1"/>
  <c r="L249" i="3"/>
  <c r="Q249" i="3" s="1"/>
  <c r="L248" i="3"/>
  <c r="M248" i="3" s="1"/>
  <c r="M247" i="3"/>
  <c r="J247" i="3" s="1"/>
  <c r="L247" i="3"/>
  <c r="L244" i="3"/>
  <c r="M244" i="3" s="1"/>
  <c r="L243" i="3"/>
  <c r="M243" i="3" s="1"/>
  <c r="L242" i="3"/>
  <c r="M242" i="3" s="1"/>
  <c r="L241" i="3"/>
  <c r="M241" i="3" s="1"/>
  <c r="J241" i="3" s="1"/>
  <c r="L240" i="3"/>
  <c r="M240" i="3" s="1"/>
  <c r="L239" i="3"/>
  <c r="M239" i="3" s="1"/>
  <c r="L238" i="3"/>
  <c r="M238" i="3" s="1"/>
  <c r="L235" i="3"/>
  <c r="Q235" i="3" s="1"/>
  <c r="L234" i="3"/>
  <c r="M234" i="3" s="1"/>
  <c r="L233" i="3"/>
  <c r="Q233" i="3" s="1"/>
  <c r="L232" i="3"/>
  <c r="Q232" i="3" s="1"/>
  <c r="L231" i="3"/>
  <c r="L230" i="3"/>
  <c r="M230" i="3" s="1"/>
  <c r="L229" i="3"/>
  <c r="Q229" i="3" s="1"/>
  <c r="L226" i="3"/>
  <c r="Q226" i="3" s="1"/>
  <c r="L224" i="3"/>
  <c r="M224" i="3" s="1"/>
  <c r="L223" i="3"/>
  <c r="Q223" i="3" s="1"/>
  <c r="L222" i="3"/>
  <c r="Q222" i="3" s="1"/>
  <c r="L221" i="3"/>
  <c r="Q221" i="3" s="1"/>
  <c r="L220" i="3"/>
  <c r="M220" i="3" s="1"/>
  <c r="L219" i="3"/>
  <c r="Q219" i="3" s="1"/>
  <c r="L216" i="3"/>
  <c r="M216" i="3" s="1"/>
  <c r="L215" i="3"/>
  <c r="M215" i="3" s="1"/>
  <c r="L214" i="3"/>
  <c r="M214" i="3" s="1"/>
  <c r="L213" i="3"/>
  <c r="Q213" i="3" s="1"/>
  <c r="L212" i="3"/>
  <c r="M212" i="3" s="1"/>
  <c r="L211" i="3"/>
  <c r="Q211" i="3" s="1"/>
  <c r="L210" i="3"/>
  <c r="M210" i="3" s="1"/>
  <c r="L207" i="3"/>
  <c r="M207" i="3" s="1"/>
  <c r="L206" i="3"/>
  <c r="Q206" i="3" s="1"/>
  <c r="L205" i="3"/>
  <c r="Q205" i="3" s="1"/>
  <c r="L204" i="3"/>
  <c r="Q204" i="3" s="1"/>
  <c r="L203" i="3"/>
  <c r="M203" i="3" s="1"/>
  <c r="L202" i="3"/>
  <c r="Q202" i="3" s="1"/>
  <c r="L201" i="3"/>
  <c r="Q201" i="3" s="1"/>
  <c r="O253" i="10"/>
  <c r="O244" i="10"/>
  <c r="O235" i="10"/>
  <c r="O226" i="10"/>
  <c r="O217" i="10"/>
  <c r="O208" i="10"/>
  <c r="N253" i="10"/>
  <c r="N244" i="10"/>
  <c r="N235" i="10"/>
  <c r="N226" i="10"/>
  <c r="N217" i="10"/>
  <c r="N208" i="10"/>
  <c r="L261" i="10"/>
  <c r="M261" i="10" s="1"/>
  <c r="L260" i="10"/>
  <c r="Q260" i="10" s="1"/>
  <c r="L259" i="10"/>
  <c r="M259" i="10" s="1"/>
  <c r="L258" i="10"/>
  <c r="Q258" i="10" s="1"/>
  <c r="L257" i="10"/>
  <c r="M257" i="10" s="1"/>
  <c r="L256" i="10"/>
  <c r="M256" i="10" s="1"/>
  <c r="L255" i="10"/>
  <c r="L252" i="10"/>
  <c r="M252" i="10" s="1"/>
  <c r="L251" i="10"/>
  <c r="M251" i="10" s="1"/>
  <c r="L250" i="10"/>
  <c r="M250" i="10" s="1"/>
  <c r="L249" i="10"/>
  <c r="Q249" i="10" s="1"/>
  <c r="L248" i="10"/>
  <c r="M248" i="10" s="1"/>
  <c r="L247" i="10"/>
  <c r="M247" i="10" s="1"/>
  <c r="J247" i="10" s="1"/>
  <c r="L246" i="10"/>
  <c r="M246" i="10" s="1"/>
  <c r="L243" i="10"/>
  <c r="M243" i="10" s="1"/>
  <c r="L242" i="10"/>
  <c r="M242" i="10" s="1"/>
  <c r="L241" i="10"/>
  <c r="Q241" i="10" s="1"/>
  <c r="L240" i="10"/>
  <c r="Q240" i="10" s="1"/>
  <c r="L239" i="10"/>
  <c r="Q239" i="10" s="1"/>
  <c r="L238" i="10"/>
  <c r="M238" i="10" s="1"/>
  <c r="L237" i="10"/>
  <c r="Q237" i="10" s="1"/>
  <c r="L234" i="10"/>
  <c r="Q234" i="10" s="1"/>
  <c r="L233" i="10"/>
  <c r="M233" i="10" s="1"/>
  <c r="L232" i="10"/>
  <c r="M232" i="10" s="1"/>
  <c r="L231" i="10"/>
  <c r="Q231" i="10" s="1"/>
  <c r="L230" i="10"/>
  <c r="M230" i="10" s="1"/>
  <c r="L229" i="10"/>
  <c r="M229" i="10" s="1"/>
  <c r="L228" i="10"/>
  <c r="M228" i="10" s="1"/>
  <c r="O184" i="10"/>
  <c r="S36" i="8" l="1"/>
  <c r="I27" i="8"/>
  <c r="N264" i="3"/>
  <c r="M255" i="10"/>
  <c r="J255" i="10" s="1"/>
  <c r="L262" i="10"/>
  <c r="L263" i="10" s="1"/>
  <c r="M234" i="10"/>
  <c r="J234" i="10" s="1"/>
  <c r="M239" i="10"/>
  <c r="Q257" i="10"/>
  <c r="M258" i="10"/>
  <c r="J258" i="10" s="1"/>
  <c r="M260" i="10"/>
  <c r="J260" i="10" s="1"/>
  <c r="M241" i="10"/>
  <c r="J241" i="10" s="1"/>
  <c r="N263" i="10"/>
  <c r="M253" i="3"/>
  <c r="J253" i="3" s="1"/>
  <c r="J251" i="10"/>
  <c r="Q251" i="10"/>
  <c r="K251" i="3"/>
  <c r="Q251" i="3"/>
  <c r="M249" i="3"/>
  <c r="J249" i="3" s="1"/>
  <c r="L254" i="3"/>
  <c r="N255" i="3"/>
  <c r="Q247" i="3"/>
  <c r="Q244" i="3"/>
  <c r="Q241" i="3"/>
  <c r="Q240" i="3"/>
  <c r="M235" i="3"/>
  <c r="J235" i="3" s="1"/>
  <c r="Q234" i="3"/>
  <c r="M233" i="3"/>
  <c r="J233" i="3" s="1"/>
  <c r="N245" i="10"/>
  <c r="L244" i="10"/>
  <c r="L245" i="10" s="1"/>
  <c r="M237" i="10"/>
  <c r="J237" i="10" s="1"/>
  <c r="K247" i="10"/>
  <c r="N254" i="10"/>
  <c r="L253" i="10"/>
  <c r="L254" i="10" s="1"/>
  <c r="N246" i="3"/>
  <c r="L245" i="3"/>
  <c r="L246" i="3" s="1"/>
  <c r="M231" i="3"/>
  <c r="Q230" i="3"/>
  <c r="N237" i="3"/>
  <c r="L236" i="3"/>
  <c r="L237" i="3" s="1"/>
  <c r="M229" i="3"/>
  <c r="J229" i="3" s="1"/>
  <c r="M226" i="3"/>
  <c r="J226" i="3" s="1"/>
  <c r="M223" i="3"/>
  <c r="J223" i="3" s="1"/>
  <c r="M221" i="3"/>
  <c r="J221" i="3" s="1"/>
  <c r="K221" i="3" s="1"/>
  <c r="M211" i="3"/>
  <c r="J211" i="3" s="1"/>
  <c r="N228" i="3"/>
  <c r="M219" i="3"/>
  <c r="J219" i="3" s="1"/>
  <c r="L227" i="3"/>
  <c r="L228" i="3" s="1"/>
  <c r="Q216" i="3"/>
  <c r="J216" i="3"/>
  <c r="N218" i="3"/>
  <c r="J215" i="3"/>
  <c r="Q215" i="3"/>
  <c r="M213" i="3"/>
  <c r="J213" i="3" s="1"/>
  <c r="J212" i="3"/>
  <c r="Q212" i="3"/>
  <c r="L217" i="3"/>
  <c r="L218" i="3" s="1"/>
  <c r="M231" i="10"/>
  <c r="J231" i="10" s="1"/>
  <c r="J230" i="10"/>
  <c r="Q230" i="10"/>
  <c r="Q229" i="10"/>
  <c r="N236" i="10"/>
  <c r="M206" i="3"/>
  <c r="J206" i="3" s="1"/>
  <c r="M205" i="3"/>
  <c r="M204" i="3"/>
  <c r="L235" i="10"/>
  <c r="L236" i="10" s="1"/>
  <c r="L208" i="3"/>
  <c r="L209" i="3" s="1"/>
  <c r="M202" i="3"/>
  <c r="J202" i="3" s="1"/>
  <c r="N209" i="3"/>
  <c r="M201" i="3"/>
  <c r="J201" i="3" s="1"/>
  <c r="N200" i="3"/>
  <c r="N227" i="10"/>
  <c r="N218" i="10"/>
  <c r="N191" i="3"/>
  <c r="J248" i="3"/>
  <c r="J252" i="3"/>
  <c r="M250" i="3"/>
  <c r="K247" i="3"/>
  <c r="Q252" i="3"/>
  <c r="J240" i="3"/>
  <c r="J239" i="3"/>
  <c r="J244" i="3"/>
  <c r="J238" i="3"/>
  <c r="J243" i="3"/>
  <c r="J242" i="3"/>
  <c r="Q239" i="3"/>
  <c r="Q243" i="3"/>
  <c r="Q238" i="3"/>
  <c r="K241" i="3"/>
  <c r="Q242" i="3"/>
  <c r="J230" i="3"/>
  <c r="J234" i="3"/>
  <c r="J231" i="3"/>
  <c r="M232" i="3"/>
  <c r="J220" i="3"/>
  <c r="J224" i="3"/>
  <c r="M222" i="3"/>
  <c r="Q220" i="3"/>
  <c r="Q224" i="3"/>
  <c r="J210" i="3"/>
  <c r="J214" i="3"/>
  <c r="Q210" i="3"/>
  <c r="Q214" i="3"/>
  <c r="J203" i="3"/>
  <c r="J207" i="3"/>
  <c r="Q203" i="3"/>
  <c r="Q207" i="3"/>
  <c r="J257" i="10"/>
  <c r="J259" i="10"/>
  <c r="J256" i="10"/>
  <c r="J261" i="10"/>
  <c r="Q261" i="10"/>
  <c r="Q256" i="10"/>
  <c r="Q255" i="10"/>
  <c r="Q259" i="10"/>
  <c r="J252" i="10"/>
  <c r="J250" i="10"/>
  <c r="J246" i="10"/>
  <c r="J248" i="10"/>
  <c r="M249" i="10"/>
  <c r="Q252" i="10"/>
  <c r="Q246" i="10"/>
  <c r="Q250" i="10"/>
  <c r="J243" i="10"/>
  <c r="J242" i="10"/>
  <c r="J238" i="10"/>
  <c r="J239" i="10"/>
  <c r="M240" i="10"/>
  <c r="Q243" i="10"/>
  <c r="Q238" i="10"/>
  <c r="Q242" i="10"/>
  <c r="J233" i="10"/>
  <c r="J229" i="10"/>
  <c r="J232" i="10"/>
  <c r="J228" i="10"/>
  <c r="Q233" i="10"/>
  <c r="Q228" i="10"/>
  <c r="Q232" i="10"/>
  <c r="N163" i="3"/>
  <c r="N172" i="3"/>
  <c r="N182" i="3" s="1"/>
  <c r="N154" i="3"/>
  <c r="N145" i="3"/>
  <c r="O172" i="3"/>
  <c r="O163" i="3"/>
  <c r="O154" i="3"/>
  <c r="L189" i="3"/>
  <c r="Q189" i="3" s="1"/>
  <c r="L188" i="3"/>
  <c r="M188" i="3" s="1"/>
  <c r="L187" i="3"/>
  <c r="M187" i="3" s="1"/>
  <c r="J187" i="3" s="1"/>
  <c r="L186" i="3"/>
  <c r="Q186" i="3" s="1"/>
  <c r="L185" i="3"/>
  <c r="Q185" i="3" s="1"/>
  <c r="L184" i="3"/>
  <c r="L183" i="3"/>
  <c r="L180" i="3"/>
  <c r="M180" i="3" s="1"/>
  <c r="L179" i="3"/>
  <c r="M179" i="3" s="1"/>
  <c r="L178" i="3"/>
  <c r="Q178" i="3" s="1"/>
  <c r="L177" i="3"/>
  <c r="Q177" i="3" s="1"/>
  <c r="L176" i="3"/>
  <c r="Q176" i="3" s="1"/>
  <c r="L175" i="3"/>
  <c r="M175" i="3" s="1"/>
  <c r="L174" i="3"/>
  <c r="Q174" i="3" s="1"/>
  <c r="L171" i="3"/>
  <c r="Q171" i="3" s="1"/>
  <c r="L170" i="3"/>
  <c r="M170" i="3" s="1"/>
  <c r="L169" i="3"/>
  <c r="Q169" i="3" s="1"/>
  <c r="L168" i="3"/>
  <c r="Q168" i="3" s="1"/>
  <c r="L167" i="3"/>
  <c r="Q167" i="3" s="1"/>
  <c r="L166" i="3"/>
  <c r="M166" i="3" s="1"/>
  <c r="L165" i="3"/>
  <c r="Q165" i="3" s="1"/>
  <c r="L162" i="3"/>
  <c r="M162" i="3" s="1"/>
  <c r="L161" i="3"/>
  <c r="M161" i="3" s="1"/>
  <c r="L160" i="3"/>
  <c r="Q160" i="3" s="1"/>
  <c r="L159" i="3"/>
  <c r="L158" i="3"/>
  <c r="Q158" i="3" s="1"/>
  <c r="L157" i="3"/>
  <c r="M157" i="3" s="1"/>
  <c r="L156" i="3"/>
  <c r="Q156" i="3" s="1"/>
  <c r="L180" i="10"/>
  <c r="N190" i="10"/>
  <c r="O190" i="10"/>
  <c r="L207" i="10"/>
  <c r="M207" i="10" s="1"/>
  <c r="L206" i="10"/>
  <c r="M206" i="10" s="1"/>
  <c r="J206" i="10" s="1"/>
  <c r="L205" i="10"/>
  <c r="M205" i="10" s="1"/>
  <c r="L204" i="10"/>
  <c r="M204" i="10" s="1"/>
  <c r="L203" i="10"/>
  <c r="M203" i="10" s="1"/>
  <c r="L202" i="10"/>
  <c r="Q202" i="10" s="1"/>
  <c r="L201" i="10"/>
  <c r="M201" i="10" s="1"/>
  <c r="O199" i="10"/>
  <c r="N199" i="10"/>
  <c r="N209" i="10" s="1"/>
  <c r="L198" i="10"/>
  <c r="M198" i="10" s="1"/>
  <c r="J198" i="10" s="1"/>
  <c r="L197" i="10"/>
  <c r="Q197" i="10" s="1"/>
  <c r="L196" i="10"/>
  <c r="M196" i="10" s="1"/>
  <c r="L195" i="10"/>
  <c r="M195" i="10" s="1"/>
  <c r="L194" i="10"/>
  <c r="M194" i="10" s="1"/>
  <c r="J194" i="10" s="1"/>
  <c r="L193" i="10"/>
  <c r="M193" i="10" s="1"/>
  <c r="L192" i="10"/>
  <c r="M192" i="10" s="1"/>
  <c r="L225" i="10"/>
  <c r="Q225" i="10" s="1"/>
  <c r="L224" i="10"/>
  <c r="M224" i="10" s="1"/>
  <c r="L223" i="10"/>
  <c r="Q223" i="10" s="1"/>
  <c r="L222" i="10"/>
  <c r="M222" i="10" s="1"/>
  <c r="L221" i="10"/>
  <c r="M221" i="10" s="1"/>
  <c r="J221" i="10" s="1"/>
  <c r="L220" i="10"/>
  <c r="M220" i="10" s="1"/>
  <c r="L219" i="10"/>
  <c r="M219" i="10" s="1"/>
  <c r="J219" i="10" s="1"/>
  <c r="L189" i="10"/>
  <c r="Q189" i="10" s="1"/>
  <c r="L188" i="10"/>
  <c r="Q188" i="10" s="1"/>
  <c r="L187" i="10"/>
  <c r="L186" i="10"/>
  <c r="M186" i="10" s="1"/>
  <c r="L185" i="10"/>
  <c r="Q185" i="10" s="1"/>
  <c r="L184" i="10"/>
  <c r="L183" i="10"/>
  <c r="Q183" i="10" s="1"/>
  <c r="L216" i="10"/>
  <c r="M216" i="10" s="1"/>
  <c r="J216" i="10" s="1"/>
  <c r="L215" i="10"/>
  <c r="M215" i="10" s="1"/>
  <c r="L214" i="10"/>
  <c r="Q214" i="10" s="1"/>
  <c r="L213" i="10"/>
  <c r="M213" i="10" s="1"/>
  <c r="L212" i="10"/>
  <c r="M212" i="10" s="1"/>
  <c r="J212" i="10" s="1"/>
  <c r="L211" i="10"/>
  <c r="L210" i="10"/>
  <c r="M210" i="10" s="1"/>
  <c r="J210" i="10" s="1"/>
  <c r="K260" i="10" l="1"/>
  <c r="M156" i="3"/>
  <c r="J156" i="3" s="1"/>
  <c r="M160" i="3"/>
  <c r="J160" i="3" s="1"/>
  <c r="M184" i="3"/>
  <c r="J184" i="3" s="1"/>
  <c r="Q184" i="3"/>
  <c r="Q209" i="3"/>
  <c r="S11" i="8"/>
  <c r="K258" i="10"/>
  <c r="S9" i="8" s="1"/>
  <c r="S33" i="8"/>
  <c r="M197" i="10"/>
  <c r="J197" i="10" s="1"/>
  <c r="K234" i="10"/>
  <c r="K255" i="10"/>
  <c r="S6" i="8" s="1"/>
  <c r="K239" i="10"/>
  <c r="M225" i="10"/>
  <c r="J225" i="10" s="1"/>
  <c r="K241" i="10"/>
  <c r="K259" i="10"/>
  <c r="S10" i="8" s="1"/>
  <c r="Q263" i="10"/>
  <c r="K257" i="10"/>
  <c r="K242" i="10"/>
  <c r="K256" i="10"/>
  <c r="S7" i="8" s="1"/>
  <c r="K251" i="10"/>
  <c r="K261" i="10"/>
  <c r="K252" i="10"/>
  <c r="K253" i="3"/>
  <c r="K252" i="3"/>
  <c r="K250" i="10"/>
  <c r="K249" i="3"/>
  <c r="Q255" i="3"/>
  <c r="K248" i="3"/>
  <c r="K244" i="3"/>
  <c r="K243" i="3"/>
  <c r="K242" i="3"/>
  <c r="K240" i="3"/>
  <c r="K235" i="3"/>
  <c r="K234" i="3"/>
  <c r="Q237" i="3"/>
  <c r="K233" i="3"/>
  <c r="K243" i="10"/>
  <c r="Q245" i="10"/>
  <c r="K238" i="10"/>
  <c r="Q244" i="10"/>
  <c r="K237" i="10"/>
  <c r="K248" i="10"/>
  <c r="Q254" i="10"/>
  <c r="K246" i="10"/>
  <c r="Q253" i="10"/>
  <c r="K239" i="3"/>
  <c r="Q246" i="3"/>
  <c r="K238" i="3"/>
  <c r="Q245" i="3"/>
  <c r="Q236" i="3"/>
  <c r="K231" i="3"/>
  <c r="K230" i="3"/>
  <c r="K229" i="3"/>
  <c r="K226" i="3"/>
  <c r="Q228" i="3"/>
  <c r="K224" i="3"/>
  <c r="K223" i="3"/>
  <c r="Q227" i="3"/>
  <c r="K233" i="10"/>
  <c r="K232" i="10"/>
  <c r="K220" i="3"/>
  <c r="K211" i="3"/>
  <c r="K219" i="3"/>
  <c r="K216" i="3"/>
  <c r="K215" i="3"/>
  <c r="Q218" i="3"/>
  <c r="K214" i="3"/>
  <c r="K213" i="3"/>
  <c r="Q217" i="3"/>
  <c r="K212" i="3"/>
  <c r="K210" i="3"/>
  <c r="K231" i="10"/>
  <c r="K230" i="10"/>
  <c r="Q236" i="10"/>
  <c r="K229" i="10"/>
  <c r="K207" i="3"/>
  <c r="K206" i="3"/>
  <c r="J205" i="3"/>
  <c r="J204" i="3"/>
  <c r="K228" i="10"/>
  <c r="Q235" i="10"/>
  <c r="M223" i="10"/>
  <c r="J223" i="10" s="1"/>
  <c r="Q222" i="10"/>
  <c r="K221" i="10"/>
  <c r="Q221" i="10"/>
  <c r="K203" i="3"/>
  <c r="K202" i="3"/>
  <c r="Q208" i="3"/>
  <c r="K201" i="3"/>
  <c r="M189" i="3"/>
  <c r="J189" i="3" s="1"/>
  <c r="Q188" i="3"/>
  <c r="Q219" i="10"/>
  <c r="L226" i="10"/>
  <c r="Q187" i="3"/>
  <c r="K187" i="3"/>
  <c r="M185" i="3"/>
  <c r="J185" i="3" s="1"/>
  <c r="L190" i="3"/>
  <c r="K216" i="10"/>
  <c r="Q216" i="10"/>
  <c r="M214" i="10"/>
  <c r="J214" i="10" s="1"/>
  <c r="K212" i="10"/>
  <c r="Q212" i="10"/>
  <c r="Q210" i="10"/>
  <c r="L217" i="10"/>
  <c r="L218" i="10" s="1"/>
  <c r="Q206" i="10"/>
  <c r="L208" i="10"/>
  <c r="Q183" i="3"/>
  <c r="M183" i="3"/>
  <c r="J183" i="3" s="1"/>
  <c r="Q180" i="3"/>
  <c r="L181" i="3"/>
  <c r="J250" i="3"/>
  <c r="K250" i="3" s="1"/>
  <c r="J232" i="3"/>
  <c r="J222" i="3"/>
  <c r="J249" i="10"/>
  <c r="J240" i="10"/>
  <c r="J205" i="10"/>
  <c r="Q205" i="10"/>
  <c r="Q204" i="10"/>
  <c r="Q179" i="3"/>
  <c r="M178" i="3"/>
  <c r="J178" i="3" s="1"/>
  <c r="M176" i="3"/>
  <c r="J176" i="3" s="1"/>
  <c r="Q175" i="3"/>
  <c r="M174" i="3"/>
  <c r="J174" i="3" s="1"/>
  <c r="M171" i="3"/>
  <c r="J171" i="3" s="1"/>
  <c r="K171" i="3" s="1"/>
  <c r="M202" i="10"/>
  <c r="J202" i="10" s="1"/>
  <c r="J201" i="10"/>
  <c r="Q201" i="10"/>
  <c r="Q198" i="10"/>
  <c r="K197" i="10"/>
  <c r="Q194" i="10"/>
  <c r="Q193" i="10"/>
  <c r="L199" i="10"/>
  <c r="L200" i="10" s="1"/>
  <c r="M189" i="10"/>
  <c r="J189" i="10" s="1"/>
  <c r="M187" i="10"/>
  <c r="J187" i="10" s="1"/>
  <c r="Q186" i="10"/>
  <c r="M185" i="10"/>
  <c r="J185" i="10" s="1"/>
  <c r="K185" i="10" s="1"/>
  <c r="Q170" i="3"/>
  <c r="M169" i="3"/>
  <c r="J169" i="3" s="1"/>
  <c r="M167" i="3"/>
  <c r="J167" i="3" s="1"/>
  <c r="Q166" i="3"/>
  <c r="N173" i="3"/>
  <c r="L172" i="3"/>
  <c r="M165" i="3"/>
  <c r="J165" i="3" s="1"/>
  <c r="Q162" i="3"/>
  <c r="M158" i="3"/>
  <c r="J158" i="3" s="1"/>
  <c r="K158" i="3" s="1"/>
  <c r="N164" i="3"/>
  <c r="L163" i="3"/>
  <c r="N155" i="3"/>
  <c r="N200" i="10"/>
  <c r="L190" i="10"/>
  <c r="L191" i="10" s="1"/>
  <c r="M183" i="10"/>
  <c r="J179" i="3"/>
  <c r="J175" i="3"/>
  <c r="J188" i="3"/>
  <c r="M177" i="3"/>
  <c r="J180" i="3"/>
  <c r="K180" i="3" s="1"/>
  <c r="M186" i="3"/>
  <c r="J157" i="3"/>
  <c r="J161" i="3"/>
  <c r="J166" i="3"/>
  <c r="J170" i="3"/>
  <c r="M159" i="3"/>
  <c r="J162" i="3"/>
  <c r="M168" i="3"/>
  <c r="K156" i="3"/>
  <c r="Q157" i="3"/>
  <c r="Q164" i="3" s="1"/>
  <c r="J193" i="10"/>
  <c r="J195" i="10"/>
  <c r="J203" i="10"/>
  <c r="J192" i="10"/>
  <c r="J196" i="10"/>
  <c r="J204" i="10"/>
  <c r="J207" i="10"/>
  <c r="Q192" i="10"/>
  <c r="Q196" i="10"/>
  <c r="K194" i="10"/>
  <c r="Q195" i="10"/>
  <c r="K198" i="10"/>
  <c r="Q203" i="10"/>
  <c r="K206" i="10"/>
  <c r="Q207" i="10"/>
  <c r="J220" i="10"/>
  <c r="J222" i="10"/>
  <c r="J224" i="10"/>
  <c r="K219" i="10"/>
  <c r="Q220" i="10"/>
  <c r="Q224" i="10"/>
  <c r="J186" i="10"/>
  <c r="M184" i="10"/>
  <c r="M188" i="10"/>
  <c r="Q184" i="10"/>
  <c r="J215" i="10"/>
  <c r="J213" i="10"/>
  <c r="K210" i="10"/>
  <c r="Q211" i="10"/>
  <c r="K214" i="10"/>
  <c r="Q215" i="10"/>
  <c r="M211" i="10"/>
  <c r="Q213" i="10"/>
  <c r="C4" i="1"/>
  <c r="Q5" i="8"/>
  <c r="T5" i="8" s="1"/>
  <c r="D1" i="3"/>
  <c r="R348" i="3" s="1"/>
  <c r="O181" i="10"/>
  <c r="N181" i="10"/>
  <c r="O172" i="10"/>
  <c r="N172" i="10"/>
  <c r="O163" i="10"/>
  <c r="N163" i="10"/>
  <c r="N136" i="3"/>
  <c r="N146" i="3" s="1"/>
  <c r="O145" i="3"/>
  <c r="O136" i="3"/>
  <c r="L198" i="3"/>
  <c r="M198" i="3" s="1"/>
  <c r="L197" i="3"/>
  <c r="Q197" i="3" s="1"/>
  <c r="L196" i="3"/>
  <c r="M196" i="3" s="1"/>
  <c r="L195" i="3"/>
  <c r="Q195" i="3" s="1"/>
  <c r="L194" i="3"/>
  <c r="M194" i="3" s="1"/>
  <c r="L193" i="3"/>
  <c r="Q193" i="3" s="1"/>
  <c r="L192" i="3"/>
  <c r="L153" i="3"/>
  <c r="Q153" i="3" s="1"/>
  <c r="L152" i="3"/>
  <c r="M152" i="3" s="1"/>
  <c r="L151" i="3"/>
  <c r="M151" i="3" s="1"/>
  <c r="L150" i="3"/>
  <c r="L149" i="3"/>
  <c r="L148" i="3"/>
  <c r="M148" i="3" s="1"/>
  <c r="L147" i="3"/>
  <c r="M147" i="3" s="1"/>
  <c r="L144" i="3"/>
  <c r="Q144" i="3" s="1"/>
  <c r="L143" i="3"/>
  <c r="Q143" i="3" s="1"/>
  <c r="L142" i="3"/>
  <c r="M142" i="3" s="1"/>
  <c r="L141" i="3"/>
  <c r="Q141" i="3" s="1"/>
  <c r="L140" i="3"/>
  <c r="Q140" i="3" s="1"/>
  <c r="L139" i="3"/>
  <c r="Q139" i="3" s="1"/>
  <c r="L138" i="3"/>
  <c r="D1" i="10"/>
  <c r="R384" i="10" s="1"/>
  <c r="K225" i="10" l="1"/>
  <c r="N182" i="10"/>
  <c r="Q173" i="3"/>
  <c r="Q191" i="3"/>
  <c r="K160" i="3"/>
  <c r="T6" i="8"/>
  <c r="M138" i="3"/>
  <c r="J138" i="3" s="1"/>
  <c r="K138" i="3" s="1"/>
  <c r="L145" i="3"/>
  <c r="Q145" i="3" s="1"/>
  <c r="Q182" i="3"/>
  <c r="Q191" i="10"/>
  <c r="S12" i="8"/>
  <c r="S8" i="8"/>
  <c r="K232" i="3"/>
  <c r="K240" i="10"/>
  <c r="K249" i="10"/>
  <c r="K222" i="3"/>
  <c r="K205" i="3"/>
  <c r="K204" i="3"/>
  <c r="K224" i="10"/>
  <c r="K223" i="10"/>
  <c r="K222" i="10"/>
  <c r="K220" i="10"/>
  <c r="Q227" i="10"/>
  <c r="M192" i="3"/>
  <c r="J192" i="3" s="1"/>
  <c r="L199" i="3"/>
  <c r="K189" i="3"/>
  <c r="K188" i="3"/>
  <c r="L227" i="10"/>
  <c r="Q226" i="10"/>
  <c r="K185" i="3"/>
  <c r="K184" i="3"/>
  <c r="K215" i="10"/>
  <c r="K213" i="10"/>
  <c r="Q218" i="10"/>
  <c r="Q217" i="10"/>
  <c r="Q209" i="10"/>
  <c r="K207" i="10"/>
  <c r="Q208" i="10"/>
  <c r="L209" i="10"/>
  <c r="K183" i="3"/>
  <c r="K205" i="10"/>
  <c r="K204" i="10"/>
  <c r="K179" i="3"/>
  <c r="K178" i="3"/>
  <c r="K176" i="3"/>
  <c r="K174" i="3"/>
  <c r="K203" i="10"/>
  <c r="K202" i="10"/>
  <c r="K201" i="10"/>
  <c r="K196" i="10"/>
  <c r="K195" i="10"/>
  <c r="Q200" i="10"/>
  <c r="K193" i="10"/>
  <c r="K189" i="10"/>
  <c r="K187" i="10"/>
  <c r="K186" i="10"/>
  <c r="Q190" i="10"/>
  <c r="K170" i="3"/>
  <c r="K169" i="3"/>
  <c r="L173" i="3"/>
  <c r="Q172" i="3"/>
  <c r="K167" i="3"/>
  <c r="K166" i="3"/>
  <c r="K165" i="3"/>
  <c r="K162" i="3"/>
  <c r="K161" i="3"/>
  <c r="Q150" i="3"/>
  <c r="L154" i="3"/>
  <c r="N191" i="10"/>
  <c r="J183" i="10"/>
  <c r="K183" i="10" s="1"/>
  <c r="L182" i="3"/>
  <c r="Q181" i="3"/>
  <c r="K175" i="3"/>
  <c r="J186" i="3"/>
  <c r="J177" i="3"/>
  <c r="J168" i="3"/>
  <c r="K157" i="3"/>
  <c r="J159" i="3"/>
  <c r="K159" i="3" s="1"/>
  <c r="L164" i="3"/>
  <c r="Q163" i="3"/>
  <c r="Q199" i="10"/>
  <c r="K192" i="10"/>
  <c r="Q262" i="10"/>
  <c r="J188" i="10"/>
  <c r="J184" i="10"/>
  <c r="J211" i="10"/>
  <c r="M144" i="3"/>
  <c r="J144" i="3" s="1"/>
  <c r="R142" i="3" s="1"/>
  <c r="M143" i="3"/>
  <c r="J143" i="3" s="1"/>
  <c r="Q194" i="3"/>
  <c r="M197" i="3"/>
  <c r="J197" i="3" s="1"/>
  <c r="L255" i="3"/>
  <c r="L191" i="3"/>
  <c r="M153" i="3"/>
  <c r="J153" i="3" s="1"/>
  <c r="M149" i="3"/>
  <c r="Q152" i="3"/>
  <c r="M139" i="3"/>
  <c r="J139" i="3" s="1"/>
  <c r="M141" i="3"/>
  <c r="J141" i="3" s="1"/>
  <c r="K141" i="3" s="1"/>
  <c r="M140" i="3"/>
  <c r="N173" i="10"/>
  <c r="J148" i="3"/>
  <c r="J151" i="3"/>
  <c r="J147" i="3"/>
  <c r="J140" i="3"/>
  <c r="K140" i="3" s="1"/>
  <c r="Q147" i="3"/>
  <c r="Q148" i="3"/>
  <c r="Q151" i="3"/>
  <c r="Q198" i="3"/>
  <c r="M193" i="3"/>
  <c r="J193" i="3" s="1"/>
  <c r="M195" i="3"/>
  <c r="J195" i="3" s="1"/>
  <c r="J194" i="3"/>
  <c r="J196" i="3"/>
  <c r="J198" i="3"/>
  <c r="Q192" i="3"/>
  <c r="Q196" i="3"/>
  <c r="J152" i="3"/>
  <c r="J149" i="3"/>
  <c r="M150" i="3"/>
  <c r="J142" i="3"/>
  <c r="K142" i="3" s="1"/>
  <c r="Q138" i="3"/>
  <c r="Q142" i="3"/>
  <c r="L270" i="10"/>
  <c r="M270" i="10" s="1"/>
  <c r="L269" i="10"/>
  <c r="Q269" i="10" s="1"/>
  <c r="L268" i="10"/>
  <c r="M268" i="10" s="1"/>
  <c r="L267" i="10"/>
  <c r="L266" i="10"/>
  <c r="M266" i="10" s="1"/>
  <c r="J266" i="10" s="1"/>
  <c r="L265" i="10"/>
  <c r="Q265" i="10" s="1"/>
  <c r="L264" i="10"/>
  <c r="Q180" i="10"/>
  <c r="M180" i="10"/>
  <c r="J180" i="10" s="1"/>
  <c r="L179" i="10"/>
  <c r="Q179" i="10" s="1"/>
  <c r="L178" i="10"/>
  <c r="Q178" i="10" s="1"/>
  <c r="L177" i="10"/>
  <c r="M177" i="10" s="1"/>
  <c r="J177" i="10" s="1"/>
  <c r="L176" i="10"/>
  <c r="M176" i="10" s="1"/>
  <c r="J176" i="10" s="1"/>
  <c r="L175" i="10"/>
  <c r="Q175" i="10" s="1"/>
  <c r="L174" i="10"/>
  <c r="L171" i="10"/>
  <c r="M171" i="10" s="1"/>
  <c r="J171" i="10" s="1"/>
  <c r="L170" i="10"/>
  <c r="Q170" i="10" s="1"/>
  <c r="L169" i="10"/>
  <c r="M169" i="10" s="1"/>
  <c r="L168" i="10"/>
  <c r="M168" i="10" s="1"/>
  <c r="J168" i="10" s="1"/>
  <c r="L167" i="10"/>
  <c r="M167" i="10" s="1"/>
  <c r="J167" i="10" s="1"/>
  <c r="L166" i="10"/>
  <c r="Q166" i="10" s="1"/>
  <c r="L165" i="10"/>
  <c r="O154" i="10"/>
  <c r="O145" i="10"/>
  <c r="L162" i="10"/>
  <c r="M162" i="10" s="1"/>
  <c r="L161" i="10"/>
  <c r="Q161" i="10" s="1"/>
  <c r="L160" i="10"/>
  <c r="Q160" i="10" s="1"/>
  <c r="L159" i="10"/>
  <c r="M159" i="10" s="1"/>
  <c r="L158" i="10"/>
  <c r="Q158" i="10" s="1"/>
  <c r="L157" i="10"/>
  <c r="Q157" i="10" s="1"/>
  <c r="L156" i="10"/>
  <c r="N154" i="10"/>
  <c r="L153" i="10"/>
  <c r="M153" i="10" s="1"/>
  <c r="L152" i="10"/>
  <c r="Q152" i="10" s="1"/>
  <c r="L151" i="10"/>
  <c r="M151" i="10" s="1"/>
  <c r="L150" i="10"/>
  <c r="M150" i="10" s="1"/>
  <c r="L149" i="10"/>
  <c r="M149" i="10" s="1"/>
  <c r="L148" i="10"/>
  <c r="Q148" i="10" s="1"/>
  <c r="L147" i="10"/>
  <c r="L258" i="3"/>
  <c r="M258" i="3" s="1"/>
  <c r="L259" i="3"/>
  <c r="Q259" i="3" s="1"/>
  <c r="L260" i="3"/>
  <c r="Q260" i="3" s="1"/>
  <c r="L261" i="3"/>
  <c r="M261" i="3" s="1"/>
  <c r="L262" i="3"/>
  <c r="M262" i="3" s="1"/>
  <c r="L265" i="3"/>
  <c r="O127" i="3"/>
  <c r="N127" i="3"/>
  <c r="N137" i="3" s="1"/>
  <c r="O118" i="3"/>
  <c r="N118" i="3"/>
  <c r="L271" i="3"/>
  <c r="L270" i="3"/>
  <c r="Q270" i="3" s="1"/>
  <c r="L124" i="3"/>
  <c r="M124" i="3" s="1"/>
  <c r="L125" i="3"/>
  <c r="M125" i="3" s="1"/>
  <c r="L126" i="3"/>
  <c r="Q126" i="3" s="1"/>
  <c r="L129" i="3"/>
  <c r="L130" i="3"/>
  <c r="Q130" i="3" s="1"/>
  <c r="L131" i="3"/>
  <c r="Q131" i="3" s="1"/>
  <c r="L132" i="3"/>
  <c r="M132" i="3" s="1"/>
  <c r="L133" i="3"/>
  <c r="Q133" i="3" s="1"/>
  <c r="L134" i="3"/>
  <c r="Q134" i="3" s="1"/>
  <c r="L135" i="3"/>
  <c r="Q135" i="3" s="1"/>
  <c r="L256" i="3"/>
  <c r="L257" i="3"/>
  <c r="Q257" i="3" s="1"/>
  <c r="L266" i="3"/>
  <c r="M266" i="3" s="1"/>
  <c r="L267" i="3"/>
  <c r="Q267" i="3" s="1"/>
  <c r="L268" i="3"/>
  <c r="Q268" i="3" s="1"/>
  <c r="L269" i="3"/>
  <c r="M269" i="3" s="1"/>
  <c r="O136" i="10"/>
  <c r="O137" i="10" s="1"/>
  <c r="L146" i="3" l="1"/>
  <c r="O146" i="10"/>
  <c r="L271" i="10"/>
  <c r="Q271" i="10" s="1"/>
  <c r="Q271" i="3"/>
  <c r="L272" i="3"/>
  <c r="Q129" i="3"/>
  <c r="L136" i="3"/>
  <c r="Q155" i="3"/>
  <c r="Q146" i="3"/>
  <c r="M265" i="3"/>
  <c r="J265" i="3" s="1"/>
  <c r="L263" i="3"/>
  <c r="L264" i="3" s="1"/>
  <c r="L154" i="10"/>
  <c r="L155" i="10" s="1"/>
  <c r="Q150" i="10"/>
  <c r="L181" i="10"/>
  <c r="Q181" i="10" s="1"/>
  <c r="M267" i="10"/>
  <c r="J267" i="10" s="1"/>
  <c r="M158" i="10"/>
  <c r="J158" i="10" s="1"/>
  <c r="K198" i="3"/>
  <c r="K197" i="3"/>
  <c r="Q200" i="3"/>
  <c r="K196" i="3"/>
  <c r="K195" i="3"/>
  <c r="K194" i="3"/>
  <c r="K193" i="3"/>
  <c r="L200" i="3"/>
  <c r="Q199" i="3"/>
  <c r="K192" i="3"/>
  <c r="K186" i="3"/>
  <c r="K177" i="3"/>
  <c r="K188" i="10"/>
  <c r="K168" i="3"/>
  <c r="K153" i="3"/>
  <c r="K152" i="3"/>
  <c r="K151" i="3"/>
  <c r="Q154" i="3"/>
  <c r="L155" i="3"/>
  <c r="K184" i="10"/>
  <c r="K211" i="10"/>
  <c r="K149" i="3"/>
  <c r="K148" i="3"/>
  <c r="Q177" i="10"/>
  <c r="Q176" i="10"/>
  <c r="K147" i="3"/>
  <c r="Q171" i="10"/>
  <c r="K144" i="3"/>
  <c r="S142" i="3" s="1"/>
  <c r="K143" i="3"/>
  <c r="K139" i="3"/>
  <c r="Q258" i="3"/>
  <c r="Q262" i="3"/>
  <c r="M260" i="3"/>
  <c r="J260" i="3" s="1"/>
  <c r="M160" i="10"/>
  <c r="J160" i="10" s="1"/>
  <c r="K266" i="10"/>
  <c r="S17" i="8" s="1"/>
  <c r="K167" i="10"/>
  <c r="N164" i="10"/>
  <c r="Q147" i="10"/>
  <c r="L163" i="10"/>
  <c r="Q167" i="10"/>
  <c r="K177" i="10"/>
  <c r="M147" i="10"/>
  <c r="Q159" i="10"/>
  <c r="L172" i="10"/>
  <c r="Q168" i="10"/>
  <c r="M174" i="10"/>
  <c r="J174" i="10" s="1"/>
  <c r="M178" i="10"/>
  <c r="J178" i="10" s="1"/>
  <c r="Q266" i="10"/>
  <c r="K171" i="10"/>
  <c r="K176" i="10"/>
  <c r="K180" i="10"/>
  <c r="Q270" i="10"/>
  <c r="N128" i="3"/>
  <c r="J150" i="3"/>
  <c r="J268" i="10"/>
  <c r="J270" i="10"/>
  <c r="Q264" i="10"/>
  <c r="M265" i="10"/>
  <c r="Q268" i="10"/>
  <c r="M269" i="10"/>
  <c r="M264" i="10"/>
  <c r="Q174" i="10"/>
  <c r="M175" i="10"/>
  <c r="M179" i="10"/>
  <c r="J169" i="10"/>
  <c r="Q165" i="10"/>
  <c r="M166" i="10"/>
  <c r="K168" i="10"/>
  <c r="Q169" i="10"/>
  <c r="M170" i="10"/>
  <c r="M165" i="10"/>
  <c r="M152" i="10"/>
  <c r="J152" i="10" s="1"/>
  <c r="O155" i="10"/>
  <c r="O164" i="10" s="1"/>
  <c r="O173" i="10" s="1"/>
  <c r="O182" i="10" s="1"/>
  <c r="O191" i="10" s="1"/>
  <c r="O200" i="10" s="1"/>
  <c r="O209" i="10" s="1"/>
  <c r="O218" i="10" s="1"/>
  <c r="O227" i="10" s="1"/>
  <c r="O236" i="10" s="1"/>
  <c r="O245" i="10" s="1"/>
  <c r="J151" i="10"/>
  <c r="Q151" i="10"/>
  <c r="M148" i="10"/>
  <c r="J148" i="10" s="1"/>
  <c r="J159" i="10"/>
  <c r="J162" i="10"/>
  <c r="Q156" i="10"/>
  <c r="M157" i="10"/>
  <c r="M161" i="10"/>
  <c r="M156" i="10"/>
  <c r="Q162" i="10"/>
  <c r="J150" i="10"/>
  <c r="J153" i="10"/>
  <c r="J149" i="10"/>
  <c r="Q149" i="10"/>
  <c r="K152" i="10"/>
  <c r="Q153" i="10"/>
  <c r="J261" i="3"/>
  <c r="Q265" i="3"/>
  <c r="Q261" i="3"/>
  <c r="J262" i="3"/>
  <c r="M259" i="3"/>
  <c r="J258" i="3"/>
  <c r="Q132" i="3"/>
  <c r="Q269" i="3"/>
  <c r="Q266" i="3"/>
  <c r="Q125" i="3"/>
  <c r="Q124" i="3"/>
  <c r="M271" i="3"/>
  <c r="J271" i="3" s="1"/>
  <c r="M133" i="3"/>
  <c r="J133" i="3" s="1"/>
  <c r="M129" i="3"/>
  <c r="J129" i="3" s="1"/>
  <c r="M270" i="3"/>
  <c r="J269" i="3"/>
  <c r="J124" i="3"/>
  <c r="J132" i="3"/>
  <c r="M267" i="3"/>
  <c r="J266" i="3"/>
  <c r="M256" i="3"/>
  <c r="M134" i="3"/>
  <c r="M130" i="3"/>
  <c r="M126" i="3"/>
  <c r="J125" i="3"/>
  <c r="M268" i="3"/>
  <c r="M257" i="3"/>
  <c r="M135" i="3"/>
  <c r="M131" i="3"/>
  <c r="N109" i="3"/>
  <c r="N100" i="3"/>
  <c r="N91" i="3"/>
  <c r="N82" i="3"/>
  <c r="O82" i="3"/>
  <c r="O73" i="3"/>
  <c r="N73" i="3"/>
  <c r="L117" i="3"/>
  <c r="Q117" i="3" s="1"/>
  <c r="L116" i="3"/>
  <c r="M116" i="3" s="1"/>
  <c r="L115" i="3"/>
  <c r="M115" i="3" s="1"/>
  <c r="L114" i="3"/>
  <c r="Q114" i="3" s="1"/>
  <c r="L113" i="3"/>
  <c r="Q113" i="3" s="1"/>
  <c r="L112" i="3"/>
  <c r="M112" i="3" s="1"/>
  <c r="L111" i="3"/>
  <c r="O109" i="3"/>
  <c r="L108" i="3"/>
  <c r="Q108" i="3" s="1"/>
  <c r="L107" i="3"/>
  <c r="M107" i="3" s="1"/>
  <c r="L106" i="3"/>
  <c r="M106" i="3" s="1"/>
  <c r="L105" i="3"/>
  <c r="Q105" i="3" s="1"/>
  <c r="L104" i="3"/>
  <c r="M104" i="3" s="1"/>
  <c r="J104" i="3" s="1"/>
  <c r="L103" i="3"/>
  <c r="M103" i="3" s="1"/>
  <c r="J103" i="3" s="1"/>
  <c r="L102" i="3"/>
  <c r="O100" i="3"/>
  <c r="L99" i="3"/>
  <c r="M99" i="3" s="1"/>
  <c r="L98" i="3"/>
  <c r="M98" i="3" s="1"/>
  <c r="L97" i="3"/>
  <c r="Q97" i="3" s="1"/>
  <c r="L96" i="3"/>
  <c r="M96" i="3" s="1"/>
  <c r="L95" i="3"/>
  <c r="Q95" i="3" s="1"/>
  <c r="L94" i="3"/>
  <c r="M94" i="3" s="1"/>
  <c r="L93" i="3"/>
  <c r="Q93" i="3" s="1"/>
  <c r="O91" i="3"/>
  <c r="N145" i="10"/>
  <c r="N136" i="10"/>
  <c r="O127" i="10"/>
  <c r="N127" i="10"/>
  <c r="O118" i="10"/>
  <c r="N118" i="10"/>
  <c r="N109" i="10"/>
  <c r="L144" i="10"/>
  <c r="Q144" i="10" s="1"/>
  <c r="L143" i="10"/>
  <c r="M143" i="10" s="1"/>
  <c r="L142" i="10"/>
  <c r="Q142" i="10" s="1"/>
  <c r="L141" i="10"/>
  <c r="Q141" i="10" s="1"/>
  <c r="L140" i="10"/>
  <c r="M140" i="10" s="1"/>
  <c r="L139" i="10"/>
  <c r="M139" i="10" s="1"/>
  <c r="L138" i="10"/>
  <c r="L135" i="10"/>
  <c r="Q135" i="10" s="1"/>
  <c r="L134" i="10"/>
  <c r="M134" i="10" s="1"/>
  <c r="L133" i="10"/>
  <c r="M133" i="10" s="1"/>
  <c r="L132" i="10"/>
  <c r="L131" i="10"/>
  <c r="M131" i="10" s="1"/>
  <c r="L130" i="10"/>
  <c r="M130" i="10" s="1"/>
  <c r="L129" i="10"/>
  <c r="M129" i="10" s="1"/>
  <c r="Q182" i="10" l="1"/>
  <c r="O254" i="10"/>
  <c r="O299" i="10"/>
  <c r="K267" i="10"/>
  <c r="S18" i="8" s="1"/>
  <c r="L272" i="10"/>
  <c r="L273" i="3"/>
  <c r="Q272" i="3"/>
  <c r="Q273" i="3"/>
  <c r="S331" i="3" s="1"/>
  <c r="Q272" i="10"/>
  <c r="Q137" i="3"/>
  <c r="Q264" i="3"/>
  <c r="K260" i="3"/>
  <c r="I10" i="8" s="1"/>
  <c r="Q263" i="3"/>
  <c r="K158" i="10"/>
  <c r="Q138" i="10"/>
  <c r="L145" i="10"/>
  <c r="Q145" i="10" s="1"/>
  <c r="N119" i="10"/>
  <c r="Q173" i="10"/>
  <c r="Q154" i="10"/>
  <c r="Q164" i="10"/>
  <c r="Q155" i="10"/>
  <c r="K150" i="3"/>
  <c r="L182" i="10"/>
  <c r="K150" i="10"/>
  <c r="K153" i="10"/>
  <c r="K151" i="10"/>
  <c r="K169" i="10"/>
  <c r="J147" i="10"/>
  <c r="K147" i="10" s="1"/>
  <c r="K162" i="10"/>
  <c r="K178" i="10"/>
  <c r="K268" i="10"/>
  <c r="S19" i="8" s="1"/>
  <c r="Q163" i="10"/>
  <c r="L164" i="10"/>
  <c r="N146" i="10"/>
  <c r="K159" i="10"/>
  <c r="Q172" i="10"/>
  <c r="L173" i="10"/>
  <c r="K160" i="10"/>
  <c r="K270" i="10"/>
  <c r="S21" i="8" s="1"/>
  <c r="N155" i="10"/>
  <c r="K266" i="3"/>
  <c r="I16" i="8" s="1"/>
  <c r="K269" i="3"/>
  <c r="I19" i="8" s="1"/>
  <c r="K271" i="3"/>
  <c r="K261" i="3"/>
  <c r="N110" i="3"/>
  <c r="K125" i="3"/>
  <c r="M102" i="3"/>
  <c r="Q136" i="3"/>
  <c r="K132" i="3"/>
  <c r="K129" i="3"/>
  <c r="K262" i="3"/>
  <c r="I12" i="8" s="1"/>
  <c r="K258" i="3"/>
  <c r="I8" i="8" s="1"/>
  <c r="K265" i="3"/>
  <c r="I15" i="8" s="1"/>
  <c r="J264" i="10"/>
  <c r="J265" i="10"/>
  <c r="J269" i="10"/>
  <c r="J179" i="10"/>
  <c r="J175" i="10"/>
  <c r="K174" i="10"/>
  <c r="J170" i="10"/>
  <c r="R166" i="10" s="1"/>
  <c r="J166" i="10"/>
  <c r="J165" i="10"/>
  <c r="K149" i="10"/>
  <c r="K148" i="10"/>
  <c r="J161" i="10"/>
  <c r="J156" i="10"/>
  <c r="J157" i="10"/>
  <c r="M144" i="10"/>
  <c r="J144" i="10" s="1"/>
  <c r="M142" i="10"/>
  <c r="J142" i="10" s="1"/>
  <c r="K142" i="10" s="1"/>
  <c r="Q140" i="10"/>
  <c r="Q139" i="10"/>
  <c r="J259" i="3"/>
  <c r="Q254" i="3"/>
  <c r="N119" i="3"/>
  <c r="K133" i="3"/>
  <c r="M111" i="3"/>
  <c r="J111" i="3" s="1"/>
  <c r="Q111" i="3"/>
  <c r="L118" i="3"/>
  <c r="K124" i="3"/>
  <c r="J270" i="3"/>
  <c r="J257" i="3"/>
  <c r="J135" i="3"/>
  <c r="J126" i="3"/>
  <c r="J134" i="3"/>
  <c r="J267" i="3"/>
  <c r="J131" i="3"/>
  <c r="J268" i="3"/>
  <c r="J130" i="3"/>
  <c r="J256" i="3"/>
  <c r="N83" i="3"/>
  <c r="N92" i="3"/>
  <c r="M108" i="3"/>
  <c r="J108" i="3" s="1"/>
  <c r="Q112" i="3"/>
  <c r="M135" i="10"/>
  <c r="M138" i="10"/>
  <c r="J138" i="10" s="1"/>
  <c r="K138" i="10" s="1"/>
  <c r="M117" i="3"/>
  <c r="J117" i="3" s="1"/>
  <c r="M132" i="10"/>
  <c r="J132" i="10" s="1"/>
  <c r="M113" i="3"/>
  <c r="J131" i="10"/>
  <c r="Q131" i="10"/>
  <c r="Q104" i="3"/>
  <c r="Q103" i="3"/>
  <c r="M93" i="3"/>
  <c r="J93" i="3" s="1"/>
  <c r="N101" i="3"/>
  <c r="N137" i="10"/>
  <c r="L136" i="10"/>
  <c r="N128" i="10"/>
  <c r="M95" i="3"/>
  <c r="J95" i="3" s="1"/>
  <c r="M97" i="3"/>
  <c r="J97" i="3" s="1"/>
  <c r="Q96" i="3"/>
  <c r="L100" i="3"/>
  <c r="L101" i="3" s="1"/>
  <c r="M105" i="3"/>
  <c r="J105" i="3" s="1"/>
  <c r="K103" i="3"/>
  <c r="Q107" i="3"/>
  <c r="L109" i="3"/>
  <c r="L110" i="3" s="1"/>
  <c r="K104" i="3"/>
  <c r="M114" i="3"/>
  <c r="J114" i="3" s="1"/>
  <c r="J113" i="3"/>
  <c r="J116" i="3"/>
  <c r="J112" i="3"/>
  <c r="J115" i="3"/>
  <c r="Q116" i="3"/>
  <c r="Q115" i="3"/>
  <c r="J107" i="3"/>
  <c r="J102" i="3"/>
  <c r="J106" i="3"/>
  <c r="Q102" i="3"/>
  <c r="Q106" i="3"/>
  <c r="J94" i="3"/>
  <c r="J99" i="3"/>
  <c r="J96" i="3"/>
  <c r="J98" i="3"/>
  <c r="Q99" i="3"/>
  <c r="Q94" i="3"/>
  <c r="Q98" i="3"/>
  <c r="J139" i="10"/>
  <c r="J143" i="10"/>
  <c r="J140" i="10"/>
  <c r="M141" i="10"/>
  <c r="Q143" i="10"/>
  <c r="J130" i="10"/>
  <c r="J134" i="10"/>
  <c r="J129" i="10"/>
  <c r="J133" i="10"/>
  <c r="Q130" i="10"/>
  <c r="Q134" i="10"/>
  <c r="Q129" i="10"/>
  <c r="Q133" i="10"/>
  <c r="Q110" i="3" l="1"/>
  <c r="O263" i="10"/>
  <c r="O308" i="10"/>
  <c r="Q101" i="3"/>
  <c r="I21" i="8"/>
  <c r="Q119" i="3"/>
  <c r="I11" i="8"/>
  <c r="Q137" i="10"/>
  <c r="L146" i="10"/>
  <c r="Q146" i="10"/>
  <c r="K170" i="10"/>
  <c r="S166" i="10" s="1"/>
  <c r="K179" i="10"/>
  <c r="K265" i="10"/>
  <c r="S16" i="8" s="1"/>
  <c r="K161" i="10"/>
  <c r="K166" i="10"/>
  <c r="K269" i="10"/>
  <c r="S20" i="8" s="1"/>
  <c r="K256" i="3"/>
  <c r="K267" i="3"/>
  <c r="I17" i="8" s="1"/>
  <c r="K257" i="3"/>
  <c r="I7" i="8" s="1"/>
  <c r="L137" i="3"/>
  <c r="K131" i="3"/>
  <c r="K135" i="3"/>
  <c r="K268" i="3"/>
  <c r="I18" i="8" s="1"/>
  <c r="K126" i="3"/>
  <c r="K259" i="3"/>
  <c r="I9" i="8" s="1"/>
  <c r="K130" i="3"/>
  <c r="K134" i="3"/>
  <c r="K270" i="3"/>
  <c r="I20" i="8" s="1"/>
  <c r="K264" i="10"/>
  <c r="S15" i="8" s="1"/>
  <c r="K175" i="10"/>
  <c r="K165" i="10"/>
  <c r="K157" i="10"/>
  <c r="K156" i="10"/>
  <c r="K144" i="10"/>
  <c r="K143" i="10"/>
  <c r="K140" i="10"/>
  <c r="K139" i="10"/>
  <c r="K113" i="3"/>
  <c r="J135" i="10"/>
  <c r="K134" i="10"/>
  <c r="K133" i="10"/>
  <c r="K117" i="3"/>
  <c r="K116" i="3"/>
  <c r="K115" i="3"/>
  <c r="K114" i="3"/>
  <c r="K132" i="10"/>
  <c r="K112" i="3"/>
  <c r="K131" i="10"/>
  <c r="K130" i="10"/>
  <c r="K111" i="3"/>
  <c r="K108" i="3"/>
  <c r="K107" i="3"/>
  <c r="K106" i="3"/>
  <c r="K105" i="3"/>
  <c r="Q109" i="3"/>
  <c r="K99" i="3"/>
  <c r="K98" i="3"/>
  <c r="K96" i="3"/>
  <c r="K95" i="3"/>
  <c r="Q100" i="3"/>
  <c r="K93" i="3"/>
  <c r="Q136" i="10"/>
  <c r="L137" i="10"/>
  <c r="K129" i="10"/>
  <c r="K94" i="3"/>
  <c r="K97" i="3"/>
  <c r="K102" i="3"/>
  <c r="J141" i="10"/>
  <c r="O272" i="10" l="1"/>
  <c r="O317" i="10"/>
  <c r="I6" i="8"/>
  <c r="K141" i="10"/>
  <c r="K135" i="10"/>
  <c r="O281" i="10" l="1"/>
  <c r="O326" i="10"/>
  <c r="O56" i="27" l="1"/>
  <c r="O290" i="10"/>
  <c r="O344" i="10" s="1"/>
  <c r="O353" i="10" s="1"/>
  <c r="O362" i="10" s="1"/>
  <c r="O371" i="10" s="1"/>
  <c r="O380" i="10" s="1"/>
  <c r="O389" i="10" s="1"/>
  <c r="O398" i="10" s="1"/>
  <c r="O407" i="10" s="1"/>
  <c r="O416" i="10" s="1"/>
  <c r="O425" i="10" s="1"/>
  <c r="O335" i="10"/>
  <c r="O109" i="10"/>
  <c r="N100" i="10"/>
  <c r="N110" i="10" s="1"/>
  <c r="N91" i="10"/>
  <c r="O100" i="10"/>
  <c r="O91" i="10"/>
  <c r="L84" i="10"/>
  <c r="L117" i="10"/>
  <c r="M117" i="10" s="1"/>
  <c r="L116" i="10"/>
  <c r="Q116" i="10" s="1"/>
  <c r="L115" i="10"/>
  <c r="Q115" i="10" s="1"/>
  <c r="L114" i="10"/>
  <c r="M114" i="10" s="1"/>
  <c r="L113" i="10"/>
  <c r="M113" i="10" s="1"/>
  <c r="L112" i="10"/>
  <c r="Q112" i="10" s="1"/>
  <c r="L111" i="10"/>
  <c r="L108" i="10"/>
  <c r="M108" i="10" s="1"/>
  <c r="L107" i="10"/>
  <c r="Q107" i="10" s="1"/>
  <c r="L106" i="10"/>
  <c r="Q106" i="10" s="1"/>
  <c r="L105" i="10"/>
  <c r="M105" i="10" s="1"/>
  <c r="L104" i="10"/>
  <c r="M104" i="10" s="1"/>
  <c r="L103" i="10"/>
  <c r="Q103" i="10" s="1"/>
  <c r="L102" i="10"/>
  <c r="Q102" i="10" l="1"/>
  <c r="L109" i="10"/>
  <c r="Q111" i="10"/>
  <c r="L118" i="10"/>
  <c r="Q117" i="10"/>
  <c r="Q114" i="10"/>
  <c r="Q113" i="10"/>
  <c r="Q108" i="10"/>
  <c r="Q105" i="10"/>
  <c r="Q104" i="10"/>
  <c r="J117" i="10"/>
  <c r="J113" i="10"/>
  <c r="M111" i="10"/>
  <c r="J114" i="10"/>
  <c r="M115" i="10"/>
  <c r="M112" i="10"/>
  <c r="M116" i="10"/>
  <c r="J104" i="10"/>
  <c r="J108" i="10"/>
  <c r="M102" i="10"/>
  <c r="J105" i="10"/>
  <c r="M106" i="10"/>
  <c r="M103" i="10"/>
  <c r="M107" i="10"/>
  <c r="L75" i="3"/>
  <c r="Q119" i="10" l="1"/>
  <c r="Q110" i="10"/>
  <c r="M75" i="3"/>
  <c r="Q75" i="3"/>
  <c r="K104" i="10"/>
  <c r="K105" i="10"/>
  <c r="K114" i="10"/>
  <c r="K113" i="10"/>
  <c r="K117" i="10"/>
  <c r="K108" i="10"/>
  <c r="J116" i="10"/>
  <c r="J111" i="10"/>
  <c r="J112" i="10"/>
  <c r="J115" i="10"/>
  <c r="J107" i="10"/>
  <c r="J102" i="10"/>
  <c r="J103" i="10"/>
  <c r="J106" i="10"/>
  <c r="O64" i="3"/>
  <c r="L89" i="3"/>
  <c r="M89" i="3" s="1"/>
  <c r="L88" i="3"/>
  <c r="Q88" i="3" s="1"/>
  <c r="L87" i="3"/>
  <c r="M87" i="3" s="1"/>
  <c r="L86" i="3"/>
  <c r="M86" i="3" s="1"/>
  <c r="L85" i="3"/>
  <c r="M85" i="3" s="1"/>
  <c r="L84" i="3"/>
  <c r="Q84" i="3" s="1"/>
  <c r="L81" i="3"/>
  <c r="Q81" i="3" s="1"/>
  <c r="L80" i="3"/>
  <c r="M80" i="3" s="1"/>
  <c r="L79" i="3"/>
  <c r="Q79" i="3" s="1"/>
  <c r="L78" i="3"/>
  <c r="Q78" i="3" s="1"/>
  <c r="L77" i="3"/>
  <c r="L76" i="3"/>
  <c r="M76" i="3" s="1"/>
  <c r="L82" i="3" l="1"/>
  <c r="Q82" i="3" s="1"/>
  <c r="J75" i="3"/>
  <c r="Q76" i="3"/>
  <c r="M90" i="3"/>
  <c r="L91" i="3"/>
  <c r="K116" i="10"/>
  <c r="K102" i="10"/>
  <c r="K111" i="10"/>
  <c r="K103" i="10"/>
  <c r="K112" i="10"/>
  <c r="K106" i="10"/>
  <c r="K115" i="10"/>
  <c r="Q87" i="3"/>
  <c r="K107" i="10"/>
  <c r="Q77" i="3"/>
  <c r="M81" i="3"/>
  <c r="Q90" i="3"/>
  <c r="M77" i="3"/>
  <c r="J77" i="3" s="1"/>
  <c r="Q86" i="3"/>
  <c r="Q80" i="3"/>
  <c r="J86" i="3"/>
  <c r="J85" i="3"/>
  <c r="J89" i="3"/>
  <c r="M88" i="3"/>
  <c r="Q85" i="3"/>
  <c r="Q89" i="3"/>
  <c r="M84" i="3"/>
  <c r="J87" i="3"/>
  <c r="J80" i="3"/>
  <c r="J76" i="3"/>
  <c r="M78" i="3"/>
  <c r="J81" i="3"/>
  <c r="M79" i="3"/>
  <c r="Q83" i="3" l="1"/>
  <c r="Q92" i="3"/>
  <c r="K80" i="3"/>
  <c r="K75" i="3"/>
  <c r="K77" i="3"/>
  <c r="K76" i="3"/>
  <c r="L83" i="3"/>
  <c r="L92" i="3"/>
  <c r="Q91" i="3"/>
  <c r="K89" i="3"/>
  <c r="K87" i="3"/>
  <c r="K86" i="3"/>
  <c r="K85" i="3"/>
  <c r="K81" i="3"/>
  <c r="Q118" i="3"/>
  <c r="L119" i="3"/>
  <c r="J88" i="3"/>
  <c r="J84" i="3"/>
  <c r="J78" i="3"/>
  <c r="J79" i="3"/>
  <c r="K79" i="3" l="1"/>
  <c r="K78" i="3"/>
  <c r="K88" i="3"/>
  <c r="K84" i="3"/>
  <c r="N64" i="3" l="1"/>
  <c r="O55" i="3"/>
  <c r="N55" i="3"/>
  <c r="O46" i="3"/>
  <c r="N46" i="3"/>
  <c r="O37" i="3"/>
  <c r="N37" i="3"/>
  <c r="O28" i="3"/>
  <c r="N28" i="3"/>
  <c r="O19" i="3"/>
  <c r="N19" i="3"/>
  <c r="O11" i="3"/>
  <c r="O20" i="3" s="1"/>
  <c r="O29" i="3" s="1"/>
  <c r="O38" i="3" s="1"/>
  <c r="O47" i="3" s="1"/>
  <c r="O56" i="3" s="1"/>
  <c r="O65" i="3" s="1"/>
  <c r="O74" i="3" s="1"/>
  <c r="O83" i="3" s="1"/>
  <c r="I11" i="3"/>
  <c r="I20" i="3" s="1"/>
  <c r="I29" i="3" s="1"/>
  <c r="I38" i="3" s="1"/>
  <c r="I47" i="3" s="1"/>
  <c r="O10" i="3"/>
  <c r="N10" i="3"/>
  <c r="N11" i="3" s="1"/>
  <c r="N73" i="10"/>
  <c r="N101" i="10" s="1"/>
  <c r="O82" i="10"/>
  <c r="N82" i="10"/>
  <c r="O73" i="10"/>
  <c r="L126" i="10"/>
  <c r="Q126" i="10" s="1"/>
  <c r="L125" i="10"/>
  <c r="Q125" i="10" s="1"/>
  <c r="L124" i="10"/>
  <c r="Q124" i="10" s="1"/>
  <c r="L123" i="10"/>
  <c r="Q123" i="10" s="1"/>
  <c r="L122" i="10"/>
  <c r="L121" i="10"/>
  <c r="Q121" i="10" s="1"/>
  <c r="L120" i="10"/>
  <c r="M120" i="10" s="1"/>
  <c r="J120" i="10" s="1"/>
  <c r="L99" i="10"/>
  <c r="L98" i="10"/>
  <c r="Q98" i="10" s="1"/>
  <c r="L97" i="10"/>
  <c r="M97" i="10" s="1"/>
  <c r="J97" i="10" s="1"/>
  <c r="L96" i="10"/>
  <c r="M96" i="10" s="1"/>
  <c r="L95" i="10"/>
  <c r="Q95" i="10" s="1"/>
  <c r="L94" i="10"/>
  <c r="M94" i="10" s="1"/>
  <c r="L93" i="10"/>
  <c r="M93" i="10" l="1"/>
  <c r="J93" i="10" s="1"/>
  <c r="L100" i="10"/>
  <c r="O119" i="3"/>
  <c r="N38" i="3"/>
  <c r="N56" i="3"/>
  <c r="N20" i="3"/>
  <c r="O92" i="3"/>
  <c r="N74" i="3"/>
  <c r="N65" i="3"/>
  <c r="N29" i="3"/>
  <c r="Q122" i="10"/>
  <c r="L127" i="10"/>
  <c r="Q99" i="10"/>
  <c r="Q97" i="10"/>
  <c r="Q120" i="10"/>
  <c r="Q128" i="10" s="1"/>
  <c r="M124" i="10"/>
  <c r="J124" i="10" s="1"/>
  <c r="I56" i="3"/>
  <c r="I65" i="3" s="1"/>
  <c r="I74" i="3" s="1"/>
  <c r="I83" i="3" s="1"/>
  <c r="M98" i="10"/>
  <c r="J98" i="10" s="1"/>
  <c r="K97" i="10"/>
  <c r="Q94" i="10"/>
  <c r="K93" i="10"/>
  <c r="Q93" i="10"/>
  <c r="N92" i="10"/>
  <c r="N83" i="10"/>
  <c r="N47" i="3"/>
  <c r="M123" i="10"/>
  <c r="J123" i="10" s="1"/>
  <c r="M121" i="10"/>
  <c r="M125" i="10"/>
  <c r="K120" i="10"/>
  <c r="M122" i="10"/>
  <c r="J122" i="10" s="1"/>
  <c r="M126" i="10"/>
  <c r="J96" i="10"/>
  <c r="M99" i="10"/>
  <c r="Q96" i="10"/>
  <c r="J94" i="10"/>
  <c r="M95" i="10"/>
  <c r="Q101" i="10" l="1"/>
  <c r="O101" i="3"/>
  <c r="O128" i="3"/>
  <c r="O137" i="3" s="1"/>
  <c r="O146" i="3" s="1"/>
  <c r="O155" i="3" s="1"/>
  <c r="O164" i="3" s="1"/>
  <c r="O173" i="3" s="1"/>
  <c r="O182" i="3" s="1"/>
  <c r="O191" i="3" s="1"/>
  <c r="O200" i="3" s="1"/>
  <c r="O209" i="3" s="1"/>
  <c r="O218" i="3" s="1"/>
  <c r="O228" i="3" s="1"/>
  <c r="O237" i="3" s="1"/>
  <c r="O246" i="3" s="1"/>
  <c r="O255" i="3" s="1"/>
  <c r="O264" i="3" s="1"/>
  <c r="O273" i="3" s="1"/>
  <c r="O282" i="3" s="1"/>
  <c r="O291" i="3" s="1"/>
  <c r="O300" i="3" s="1"/>
  <c r="I92" i="3"/>
  <c r="I101" i="3" s="1"/>
  <c r="I110" i="3" s="1"/>
  <c r="L128" i="10"/>
  <c r="Q127" i="10"/>
  <c r="K124" i="10"/>
  <c r="K123" i="10"/>
  <c r="K98" i="10"/>
  <c r="K96" i="10"/>
  <c r="K94" i="10"/>
  <c r="L119" i="10"/>
  <c r="Q118" i="10"/>
  <c r="J126" i="10"/>
  <c r="J125" i="10"/>
  <c r="J121" i="10"/>
  <c r="J99" i="10"/>
  <c r="J95" i="10"/>
  <c r="O309" i="3" l="1"/>
  <c r="O318" i="3" s="1"/>
  <c r="O327" i="3" s="1"/>
  <c r="O336" i="3" s="1"/>
  <c r="O345" i="3" s="1"/>
  <c r="O354" i="3" s="1"/>
  <c r="O363" i="3" s="1"/>
  <c r="O372" i="3" s="1"/>
  <c r="O381" i="3" s="1"/>
  <c r="I119" i="3"/>
  <c r="O110" i="3"/>
  <c r="K126" i="10"/>
  <c r="K125" i="10"/>
  <c r="K99" i="10"/>
  <c r="K121" i="10"/>
  <c r="K95" i="10"/>
  <c r="K122" i="10"/>
  <c r="O64" i="10"/>
  <c r="N64" i="10"/>
  <c r="N74" i="10" s="1"/>
  <c r="L90" i="10"/>
  <c r="M90" i="10" s="1"/>
  <c r="J90" i="10" s="1"/>
  <c r="L89" i="10"/>
  <c r="M89" i="10" s="1"/>
  <c r="L88" i="10"/>
  <c r="Q88" i="10" s="1"/>
  <c r="L87" i="10"/>
  <c r="Q87" i="10" s="1"/>
  <c r="L86" i="10"/>
  <c r="Q86" i="10" s="1"/>
  <c r="L85" i="10"/>
  <c r="L81" i="10"/>
  <c r="L80" i="10"/>
  <c r="M80" i="10" s="1"/>
  <c r="L79" i="10"/>
  <c r="Q79" i="10" s="1"/>
  <c r="L78" i="10"/>
  <c r="Q78" i="10" s="1"/>
  <c r="L77" i="10"/>
  <c r="Q77" i="10" s="1"/>
  <c r="L76" i="10"/>
  <c r="M76" i="10" s="1"/>
  <c r="L75" i="10"/>
  <c r="L417" i="10"/>
  <c r="L418" i="10"/>
  <c r="M418" i="10" s="1"/>
  <c r="L419" i="10"/>
  <c r="Q419" i="10" s="1"/>
  <c r="L420" i="10"/>
  <c r="M420" i="10" s="1"/>
  <c r="J420" i="10" s="1"/>
  <c r="L45" i="8" s="1"/>
  <c r="L421" i="10"/>
  <c r="Q421" i="10" s="1"/>
  <c r="L422" i="10"/>
  <c r="M422" i="10" s="1"/>
  <c r="L423" i="10"/>
  <c r="Q423" i="10" s="1"/>
  <c r="L424" i="10" l="1"/>
  <c r="L82" i="10"/>
  <c r="Q417" i="10"/>
  <c r="Q425" i="10" s="1"/>
  <c r="M85" i="10"/>
  <c r="J85" i="10" s="1"/>
  <c r="L91" i="10"/>
  <c r="I128" i="3"/>
  <c r="Q109" i="10"/>
  <c r="M421" i="10"/>
  <c r="J421" i="10" s="1"/>
  <c r="L46" i="8" s="1"/>
  <c r="M419" i="10"/>
  <c r="J419" i="10" s="1"/>
  <c r="L44" i="8" s="1"/>
  <c r="M423" i="10"/>
  <c r="L110" i="10"/>
  <c r="Q81" i="10"/>
  <c r="Q90" i="10"/>
  <c r="M86" i="10"/>
  <c r="J86" i="10" s="1"/>
  <c r="Q84" i="10"/>
  <c r="M81" i="10"/>
  <c r="J81" i="10" s="1"/>
  <c r="Q75" i="10"/>
  <c r="Q420" i="10"/>
  <c r="M77" i="10"/>
  <c r="J77" i="10" s="1"/>
  <c r="Q89" i="10"/>
  <c r="Q80" i="10"/>
  <c r="Q85" i="10"/>
  <c r="M417" i="10"/>
  <c r="J417" i="10" s="1"/>
  <c r="L42" i="8" s="1"/>
  <c r="Q76" i="10"/>
  <c r="J89" i="10"/>
  <c r="M87" i="10"/>
  <c r="M84" i="10"/>
  <c r="M88" i="10"/>
  <c r="J80" i="10"/>
  <c r="J76" i="10"/>
  <c r="M78" i="10"/>
  <c r="M75" i="10"/>
  <c r="M79" i="10"/>
  <c r="K420" i="10"/>
  <c r="J422" i="10"/>
  <c r="L47" i="8" s="1"/>
  <c r="J418" i="10"/>
  <c r="L43" i="8" s="1"/>
  <c r="Q422" i="10"/>
  <c r="Q418" i="10"/>
  <c r="J423" i="10" l="1"/>
  <c r="L48" i="8" s="1"/>
  <c r="L425" i="10"/>
  <c r="Q424" i="10"/>
  <c r="S27" i="8"/>
  <c r="M45" i="8"/>
  <c r="S45" i="8" s="1"/>
  <c r="K421" i="10"/>
  <c r="M46" i="8" s="1"/>
  <c r="S46" i="8" s="1"/>
  <c r="S28" i="8"/>
  <c r="Q83" i="10"/>
  <c r="Q92" i="10"/>
  <c r="I137" i="3"/>
  <c r="I146" i="3" s="1"/>
  <c r="I155" i="3" s="1"/>
  <c r="I164" i="3" s="1"/>
  <c r="I173" i="3" s="1"/>
  <c r="I182" i="3" s="1"/>
  <c r="I191" i="3" s="1"/>
  <c r="I200" i="3" s="1"/>
  <c r="I209" i="3" s="1"/>
  <c r="I218" i="3" s="1"/>
  <c r="I228" i="3" s="1"/>
  <c r="I237" i="3" s="1"/>
  <c r="I246" i="3" s="1"/>
  <c r="I255" i="3" s="1"/>
  <c r="I264" i="3" s="1"/>
  <c r="I273" i="3" s="1"/>
  <c r="I282" i="3" s="1"/>
  <c r="I291" i="3" s="1"/>
  <c r="I300" i="3" s="1"/>
  <c r="K422" i="10"/>
  <c r="K418" i="10"/>
  <c r="K419" i="10"/>
  <c r="K423" i="10"/>
  <c r="Q100" i="10"/>
  <c r="L101" i="10"/>
  <c r="K90" i="10"/>
  <c r="K89" i="10"/>
  <c r="K86" i="10"/>
  <c r="K85" i="10"/>
  <c r="L92" i="10"/>
  <c r="Q91" i="10"/>
  <c r="K80" i="10"/>
  <c r="K81" i="10"/>
  <c r="K77" i="10"/>
  <c r="K76" i="10"/>
  <c r="L83" i="10"/>
  <c r="Q82" i="10"/>
  <c r="K417" i="10"/>
  <c r="J84" i="10"/>
  <c r="K84" i="10" s="1"/>
  <c r="J88" i="10"/>
  <c r="J87" i="10"/>
  <c r="J79" i="10"/>
  <c r="J75" i="10"/>
  <c r="J78" i="10"/>
  <c r="S30" i="8" l="1"/>
  <c r="M48" i="8"/>
  <c r="S48" i="8" s="1"/>
  <c r="S24" i="8"/>
  <c r="M42" i="8"/>
  <c r="S42" i="8" s="1"/>
  <c r="S26" i="8"/>
  <c r="M44" i="8"/>
  <c r="S44" i="8" s="1"/>
  <c r="S25" i="8"/>
  <c r="M43" i="8"/>
  <c r="S43" i="8" s="1"/>
  <c r="S29" i="8"/>
  <c r="M47" i="8"/>
  <c r="S47" i="8" s="1"/>
  <c r="I309" i="3"/>
  <c r="I318" i="3" s="1"/>
  <c r="I327" i="3" s="1"/>
  <c r="I336" i="3" s="1"/>
  <c r="I345" i="3" s="1"/>
  <c r="I354" i="3" s="1"/>
  <c r="I363" i="3" s="1"/>
  <c r="I372" i="3" s="1"/>
  <c r="I381" i="3" s="1"/>
  <c r="K88" i="10"/>
  <c r="K87" i="10"/>
  <c r="K79" i="10"/>
  <c r="K78" i="10"/>
  <c r="K75" i="10"/>
  <c r="I9" i="9" l="1"/>
  <c r="J9" i="9" s="1"/>
  <c r="J8" i="9"/>
  <c r="E13" i="9"/>
  <c r="N44" i="9"/>
  <c r="N45" i="9"/>
  <c r="M48" i="9"/>
  <c r="M49" i="9"/>
  <c r="N41" i="9"/>
  <c r="N37" i="9"/>
  <c r="M37" i="9"/>
  <c r="M40" i="9"/>
  <c r="N40" i="9" s="1"/>
  <c r="M36" i="9"/>
  <c r="N28" i="9"/>
  <c r="N29" i="9"/>
  <c r="M29" i="9"/>
  <c r="E11" i="9"/>
  <c r="D11" i="9"/>
  <c r="M28" i="9"/>
  <c r="M33" i="9"/>
  <c r="N33" i="9" s="1"/>
  <c r="M21" i="9"/>
  <c r="N21" i="9"/>
  <c r="M20" i="9"/>
  <c r="N20" i="9"/>
  <c r="N14" i="9"/>
  <c r="N13" i="9"/>
  <c r="M11" i="9"/>
  <c r="M13" i="9"/>
  <c r="M25" i="9"/>
  <c r="N25" i="9" s="1"/>
  <c r="N19" i="9"/>
  <c r="N27" i="9" s="1"/>
  <c r="N35" i="9" s="1"/>
  <c r="M19" i="9"/>
  <c r="M27" i="9" s="1"/>
  <c r="M35" i="9" s="1"/>
  <c r="N12" i="9"/>
  <c r="M12" i="9"/>
  <c r="M16" i="9"/>
  <c r="N16" i="9" s="1"/>
  <c r="D9" i="9"/>
  <c r="N15" i="9"/>
  <c r="M4" i="9"/>
  <c r="D8" i="9"/>
  <c r="N4" i="9"/>
  <c r="N3" i="9"/>
  <c r="J47" i="9"/>
  <c r="J45" i="9"/>
  <c r="J44" i="9"/>
  <c r="J49" i="9"/>
  <c r="E7" i="9"/>
  <c r="I48" i="9"/>
  <c r="J48" i="9" s="1"/>
  <c r="I41" i="9"/>
  <c r="J41" i="9" s="1"/>
  <c r="J36" i="9"/>
  <c r="E6" i="9"/>
  <c r="I40" i="9"/>
  <c r="J40" i="9" s="1"/>
  <c r="J29" i="9"/>
  <c r="J28" i="9"/>
  <c r="J32" i="9"/>
  <c r="I29" i="9"/>
  <c r="E5" i="9"/>
  <c r="J21" i="9"/>
  <c r="J20" i="9"/>
  <c r="I21" i="9"/>
  <c r="E4" i="9"/>
  <c r="J13" i="9"/>
  <c r="J12" i="9"/>
  <c r="J5" i="9"/>
  <c r="R18" i="9" l="1"/>
  <c r="D4" i="1"/>
  <c r="D3" i="1"/>
  <c r="L54" i="3" l="1"/>
  <c r="M54" i="3" s="1"/>
  <c r="L53" i="3"/>
  <c r="Q53" i="3" s="1"/>
  <c r="L52" i="3"/>
  <c r="M52" i="3" s="1"/>
  <c r="L51" i="3"/>
  <c r="M51" i="3" s="1"/>
  <c r="L50" i="3"/>
  <c r="M50" i="3" s="1"/>
  <c r="L49" i="3"/>
  <c r="Q49" i="3" s="1"/>
  <c r="L48" i="3"/>
  <c r="N55" i="10"/>
  <c r="N65" i="10" s="1"/>
  <c r="L69" i="10"/>
  <c r="L70" i="10"/>
  <c r="M70" i="10" s="1"/>
  <c r="J70" i="10" s="1"/>
  <c r="L67" i="10"/>
  <c r="L66" i="10"/>
  <c r="L60" i="10"/>
  <c r="M60" i="10" s="1"/>
  <c r="J60" i="10" s="1"/>
  <c r="L58" i="10"/>
  <c r="M58" i="10" s="1"/>
  <c r="J58" i="10" s="1"/>
  <c r="L59" i="10"/>
  <c r="M59" i="10" s="1"/>
  <c r="J59" i="10" s="1"/>
  <c r="L61" i="10"/>
  <c r="Q61" i="10" s="1"/>
  <c r="L62" i="10"/>
  <c r="M62" i="10" s="1"/>
  <c r="J62" i="10" s="1"/>
  <c r="L63" i="10"/>
  <c r="L57" i="10"/>
  <c r="L68" i="10"/>
  <c r="M68" i="10" s="1"/>
  <c r="L71" i="10"/>
  <c r="M71" i="10" s="1"/>
  <c r="L72" i="10"/>
  <c r="M72" i="10" s="1"/>
  <c r="J72" i="10" s="1"/>
  <c r="Q59" i="10"/>
  <c r="M66" i="10" l="1"/>
  <c r="L73" i="10"/>
  <c r="L74" i="10" s="1"/>
  <c r="L64" i="10"/>
  <c r="Q64" i="10" s="1"/>
  <c r="Q60" i="10"/>
  <c r="Q52" i="3"/>
  <c r="Q51" i="3"/>
  <c r="Q63" i="10"/>
  <c r="M48" i="3"/>
  <c r="J48" i="3" s="1"/>
  <c r="L55" i="3"/>
  <c r="L56" i="3" s="1"/>
  <c r="Q48" i="3"/>
  <c r="Q72" i="10"/>
  <c r="Q62" i="10"/>
  <c r="Q70" i="10"/>
  <c r="M63" i="10"/>
  <c r="J63" i="10" s="1"/>
  <c r="M61" i="10"/>
  <c r="J61" i="10" s="1"/>
  <c r="J71" i="10"/>
  <c r="Q71" i="10"/>
  <c r="Q69" i="10"/>
  <c r="M69" i="10"/>
  <c r="J69" i="10" s="1"/>
  <c r="Q58" i="10"/>
  <c r="M57" i="10"/>
  <c r="J57" i="10" s="1"/>
  <c r="Q57" i="10"/>
  <c r="J54" i="3"/>
  <c r="J50" i="3"/>
  <c r="J51" i="3"/>
  <c r="J52" i="3"/>
  <c r="Q54" i="3"/>
  <c r="Q50" i="3"/>
  <c r="M49" i="3"/>
  <c r="M53" i="3"/>
  <c r="K70" i="10"/>
  <c r="K62" i="10"/>
  <c r="K60" i="10"/>
  <c r="K59" i="10"/>
  <c r="K58" i="10"/>
  <c r="J68" i="10"/>
  <c r="K72" i="10"/>
  <c r="Q68" i="10"/>
  <c r="Q65" i="10" l="1"/>
  <c r="Q56" i="3"/>
  <c r="K52" i="3"/>
  <c r="K54" i="3"/>
  <c r="L65" i="10"/>
  <c r="K50" i="3"/>
  <c r="K51" i="3"/>
  <c r="K48" i="3"/>
  <c r="Q73" i="10"/>
  <c r="K71" i="10"/>
  <c r="K69" i="10"/>
  <c r="K68" i="10"/>
  <c r="K63" i="10"/>
  <c r="K61" i="10"/>
  <c r="J53" i="3"/>
  <c r="Q55" i="3"/>
  <c r="J49" i="3"/>
  <c r="K57" i="10"/>
  <c r="K49" i="3" l="1"/>
  <c r="K53" i="3"/>
  <c r="Q22" i="9" l="1"/>
  <c r="Q23" i="9"/>
  <c r="Q24" i="9"/>
  <c r="Q25" i="9"/>
  <c r="Q26" i="9"/>
  <c r="Q27" i="9"/>
  <c r="Q28" i="9"/>
  <c r="Q29" i="9"/>
  <c r="Q30" i="9"/>
  <c r="Q31" i="9"/>
  <c r="Q21" i="9"/>
  <c r="Q20" i="9"/>
  <c r="L42" i="9"/>
  <c r="H42" i="9"/>
  <c r="L34" i="9"/>
  <c r="H34" i="9"/>
  <c r="L26" i="9"/>
  <c r="H26" i="9"/>
  <c r="L18" i="9"/>
  <c r="H18" i="9"/>
  <c r="L10" i="9"/>
  <c r="H10" i="9"/>
  <c r="L2" i="9"/>
  <c r="H2" i="9"/>
  <c r="E36" i="9"/>
  <c r="F36" i="9"/>
  <c r="D32" i="9"/>
  <c r="H44" i="9"/>
  <c r="H45" i="9"/>
  <c r="H46" i="9"/>
  <c r="H47" i="9"/>
  <c r="H48" i="9"/>
  <c r="L44" i="9"/>
  <c r="L45" i="9"/>
  <c r="L46" i="9"/>
  <c r="L47" i="9"/>
  <c r="L48" i="9"/>
  <c r="L36" i="9"/>
  <c r="L37" i="9"/>
  <c r="L38" i="9"/>
  <c r="L39" i="9"/>
  <c r="L40" i="9"/>
  <c r="H36" i="9"/>
  <c r="H37" i="9"/>
  <c r="H38" i="9"/>
  <c r="H39" i="9"/>
  <c r="H40" i="9"/>
  <c r="L43" i="9"/>
  <c r="H43" i="9"/>
  <c r="L35" i="9"/>
  <c r="H35" i="9"/>
  <c r="L28" i="9"/>
  <c r="L29" i="9"/>
  <c r="L30" i="9"/>
  <c r="L31" i="9"/>
  <c r="L32" i="9"/>
  <c r="H28" i="9"/>
  <c r="H29" i="9"/>
  <c r="H30" i="9"/>
  <c r="H31" i="9"/>
  <c r="H32" i="9"/>
  <c r="L20" i="9"/>
  <c r="L21" i="9"/>
  <c r="L22" i="9"/>
  <c r="L23" i="9"/>
  <c r="L24" i="9"/>
  <c r="H20" i="9"/>
  <c r="H21" i="9"/>
  <c r="H22" i="9"/>
  <c r="H23" i="9"/>
  <c r="H24" i="9"/>
  <c r="L27" i="9"/>
  <c r="H27" i="9"/>
  <c r="L19" i="9"/>
  <c r="H19" i="9"/>
  <c r="L12" i="9"/>
  <c r="L13" i="9"/>
  <c r="L14" i="9"/>
  <c r="L15" i="9"/>
  <c r="L16" i="9"/>
  <c r="L11" i="9"/>
  <c r="L4" i="9"/>
  <c r="L5" i="9"/>
  <c r="L6" i="9"/>
  <c r="L7" i="9"/>
  <c r="L8" i="9"/>
  <c r="L3" i="9"/>
  <c r="H12" i="9"/>
  <c r="H13" i="9"/>
  <c r="H14" i="9"/>
  <c r="H15" i="9"/>
  <c r="H16" i="9"/>
  <c r="H11" i="9"/>
  <c r="F3" i="9" l="1"/>
  <c r="F4" i="9"/>
  <c r="F2" i="9"/>
  <c r="O49" i="9" l="1"/>
  <c r="K49" i="9"/>
  <c r="Q9" i="9"/>
  <c r="R8" i="9"/>
  <c r="Q8" i="9"/>
  <c r="R7" i="9"/>
  <c r="Q7" i="9"/>
  <c r="S7" i="9" s="1"/>
  <c r="R6" i="9"/>
  <c r="Q6" i="9"/>
  <c r="R5" i="9"/>
  <c r="Q5" i="9"/>
  <c r="R4" i="9"/>
  <c r="Q4" i="9"/>
  <c r="R9" i="9"/>
  <c r="R3" i="9"/>
  <c r="Q3" i="9"/>
  <c r="M42" i="9"/>
  <c r="N42" i="9"/>
  <c r="N34" i="9"/>
  <c r="M34" i="9"/>
  <c r="N26" i="9"/>
  <c r="M26" i="9"/>
  <c r="N18" i="9"/>
  <c r="M18" i="9"/>
  <c r="N10" i="9"/>
  <c r="M10" i="9"/>
  <c r="N2" i="9"/>
  <c r="M2" i="9"/>
  <c r="I42" i="9"/>
  <c r="I26" i="9"/>
  <c r="J34" i="9"/>
  <c r="I34" i="9"/>
  <c r="J42" i="9"/>
  <c r="J26" i="9"/>
  <c r="J18" i="9"/>
  <c r="I18" i="9"/>
  <c r="J10" i="9"/>
  <c r="I10" i="9"/>
  <c r="I2" i="9"/>
  <c r="J2" i="9"/>
  <c r="O48" i="9"/>
  <c r="O47" i="9"/>
  <c r="O46" i="9"/>
  <c r="O45" i="9"/>
  <c r="O44" i="9"/>
  <c r="O43" i="9"/>
  <c r="O41" i="9"/>
  <c r="O40" i="9"/>
  <c r="O39" i="9"/>
  <c r="O38" i="9"/>
  <c r="O37" i="9"/>
  <c r="O36" i="9"/>
  <c r="O35" i="9"/>
  <c r="O33" i="9"/>
  <c r="O32" i="9"/>
  <c r="O31" i="9"/>
  <c r="O30" i="9"/>
  <c r="O29" i="9"/>
  <c r="O28" i="9"/>
  <c r="O27" i="9"/>
  <c r="O25" i="9"/>
  <c r="O24" i="9"/>
  <c r="O23" i="9"/>
  <c r="O22" i="9"/>
  <c r="O21" i="9"/>
  <c r="O20" i="9"/>
  <c r="O19" i="9"/>
  <c r="O17" i="9"/>
  <c r="O16" i="9"/>
  <c r="O15" i="9"/>
  <c r="O14" i="9"/>
  <c r="O13" i="9"/>
  <c r="O12" i="9"/>
  <c r="O11" i="9"/>
  <c r="O9" i="9"/>
  <c r="O8" i="9"/>
  <c r="O7" i="9"/>
  <c r="O6" i="9"/>
  <c r="O5" i="9"/>
  <c r="O4" i="9"/>
  <c r="O3" i="9"/>
  <c r="K3" i="9"/>
  <c r="K4" i="9"/>
  <c r="K5" i="9"/>
  <c r="K6" i="9"/>
  <c r="K7" i="9"/>
  <c r="K8" i="9"/>
  <c r="K9" i="9"/>
  <c r="K11" i="9"/>
  <c r="K12" i="9"/>
  <c r="K13" i="9"/>
  <c r="K14" i="9"/>
  <c r="K15" i="9"/>
  <c r="K16" i="9"/>
  <c r="K17" i="9"/>
  <c r="K19" i="9"/>
  <c r="K20" i="9"/>
  <c r="K21" i="9"/>
  <c r="K22" i="9"/>
  <c r="K23" i="9"/>
  <c r="K24" i="9"/>
  <c r="K25" i="9"/>
  <c r="K27" i="9"/>
  <c r="K28" i="9"/>
  <c r="K29" i="9"/>
  <c r="K30" i="9"/>
  <c r="K31" i="9"/>
  <c r="K32" i="9"/>
  <c r="K33" i="9"/>
  <c r="K35" i="9"/>
  <c r="K36" i="9"/>
  <c r="K37" i="9"/>
  <c r="K38" i="9"/>
  <c r="K39" i="9"/>
  <c r="K40" i="9"/>
  <c r="K41" i="9"/>
  <c r="K43" i="9"/>
  <c r="K44" i="9"/>
  <c r="K45" i="9"/>
  <c r="K46" i="9"/>
  <c r="K47" i="9"/>
  <c r="K48" i="9"/>
  <c r="F5" i="9"/>
  <c r="F6" i="9"/>
  <c r="F7" i="9"/>
  <c r="F8" i="9"/>
  <c r="F9" i="9"/>
  <c r="F10" i="9"/>
  <c r="F11" i="9"/>
  <c r="F12" i="9"/>
  <c r="F13" i="9"/>
  <c r="E14" i="9"/>
  <c r="D14" i="9"/>
  <c r="K26" i="9" l="1"/>
  <c r="O42" i="9"/>
  <c r="R31" i="9" s="1"/>
  <c r="O26" i="9"/>
  <c r="R29" i="9" s="1"/>
  <c r="S6" i="9"/>
  <c r="O2" i="9"/>
  <c r="R26" i="9" s="1"/>
  <c r="K42" i="9"/>
  <c r="R25" i="9" s="1"/>
  <c r="O34" i="9"/>
  <c r="R30" i="9" s="1"/>
  <c r="O18" i="9"/>
  <c r="R28" i="9" s="1"/>
  <c r="S9" i="9"/>
  <c r="R23" i="9"/>
  <c r="K18" i="9"/>
  <c r="R22" i="9" s="1"/>
  <c r="S8" i="9"/>
  <c r="K10" i="9"/>
  <c r="R21" i="9" s="1"/>
  <c r="R10" i="9"/>
  <c r="S5" i="9"/>
  <c r="R2" i="9"/>
  <c r="O10" i="9"/>
  <c r="R27" i="9" s="1"/>
  <c r="F14" i="9"/>
  <c r="R14" i="9" s="1"/>
  <c r="Q10" i="9"/>
  <c r="Q2" i="9"/>
  <c r="S4" i="9"/>
  <c r="S3" i="9"/>
  <c r="K2" i="9"/>
  <c r="R20" i="9" s="1"/>
  <c r="K34" i="9"/>
  <c r="R24" i="9" s="1"/>
  <c r="S2" i="9" l="1"/>
  <c r="S10" i="9"/>
  <c r="R15" i="9" s="1"/>
  <c r="R16" i="9" s="1"/>
  <c r="R32" i="9"/>
  <c r="S20" i="9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L9" i="3" l="1"/>
  <c r="Q9" i="3" s="1"/>
  <c r="L5" i="3"/>
  <c r="Q5" i="3" s="1"/>
  <c r="L6" i="3"/>
  <c r="Q6" i="3" s="1"/>
  <c r="L7" i="3"/>
  <c r="Q7" i="3" s="1"/>
  <c r="L8" i="3"/>
  <c r="Q8" i="3" s="1"/>
  <c r="L4" i="3"/>
  <c r="Q4" i="3" s="1"/>
  <c r="L3" i="3"/>
  <c r="M3" i="3" s="1"/>
  <c r="J3" i="3" s="1"/>
  <c r="L12" i="3"/>
  <c r="C38" i="9"/>
  <c r="B30" i="9"/>
  <c r="A22" i="9"/>
  <c r="A23" i="9" s="1"/>
  <c r="M6" i="3" l="1"/>
  <c r="J6" i="3" s="1"/>
  <c r="K6" i="3" s="1"/>
  <c r="M7" i="3"/>
  <c r="J7" i="3" s="1"/>
  <c r="K7" i="3" s="1"/>
  <c r="M8" i="3"/>
  <c r="J8" i="3" s="1"/>
  <c r="K8" i="3" s="1"/>
  <c r="K3" i="3"/>
  <c r="Q12" i="3"/>
  <c r="L10" i="3"/>
  <c r="Q3" i="3"/>
  <c r="Q11" i="3" s="1"/>
  <c r="M4" i="3"/>
  <c r="J4" i="3" s="1"/>
  <c r="K4" i="3" s="1"/>
  <c r="M5" i="3"/>
  <c r="M12" i="3"/>
  <c r="J12" i="3" s="1"/>
  <c r="M9" i="3"/>
  <c r="J9" i="3" s="1"/>
  <c r="B31" i="9"/>
  <c r="C39" i="9" s="1"/>
  <c r="D33" i="9" s="1"/>
  <c r="E37" i="9" s="1"/>
  <c r="F37" i="9" s="1"/>
  <c r="L11" i="3" l="1"/>
  <c r="Q10" i="3"/>
  <c r="J5" i="3"/>
  <c r="J10" i="3" s="1"/>
  <c r="K9" i="3"/>
  <c r="K5" i="3" l="1"/>
  <c r="K10" i="3" s="1"/>
  <c r="J11" i="3" s="1"/>
  <c r="L7" i="10"/>
  <c r="Q7" i="10" s="1"/>
  <c r="K11" i="3" l="1"/>
  <c r="J66" i="10"/>
  <c r="Q66" i="10"/>
  <c r="M67" i="10"/>
  <c r="J67" i="10" s="1"/>
  <c r="Q67" i="10"/>
  <c r="M7" i="10"/>
  <c r="C8" i="10"/>
  <c r="C13" i="3"/>
  <c r="C14" i="3"/>
  <c r="C15" i="3"/>
  <c r="C16" i="3"/>
  <c r="C17" i="3"/>
  <c r="C18" i="3"/>
  <c r="C21" i="3"/>
  <c r="C22" i="3"/>
  <c r="C23" i="3"/>
  <c r="D4" i="7"/>
  <c r="Q74" i="10" l="1"/>
  <c r="E5" i="8"/>
  <c r="K66" i="10"/>
  <c r="K67" i="10"/>
  <c r="L14" i="3"/>
  <c r="Q14" i="3" s="1"/>
  <c r="E6" i="8" l="1"/>
  <c r="D6" i="8"/>
  <c r="G5" i="8"/>
  <c r="J5" i="8" s="1"/>
  <c r="J4" i="7"/>
  <c r="K4" i="7"/>
  <c r="L4" i="7"/>
  <c r="M4" i="7"/>
  <c r="N4" i="7"/>
  <c r="O4" i="7"/>
  <c r="S4" i="7"/>
  <c r="U4" i="7"/>
  <c r="I4" i="7"/>
  <c r="H4" i="7"/>
  <c r="G4" i="7"/>
  <c r="F4" i="7"/>
  <c r="E4" i="7"/>
  <c r="C34" i="10"/>
  <c r="C24" i="10"/>
  <c r="C23" i="10"/>
  <c r="C17" i="10"/>
  <c r="C16" i="10"/>
  <c r="C12" i="3"/>
  <c r="L123" i="3" l="1"/>
  <c r="L122" i="3"/>
  <c r="L121" i="3"/>
  <c r="L120" i="3"/>
  <c r="L72" i="3"/>
  <c r="L71" i="3"/>
  <c r="L70" i="3"/>
  <c r="L69" i="3"/>
  <c r="L68" i="3"/>
  <c r="L67" i="3"/>
  <c r="L66" i="3"/>
  <c r="L63" i="3"/>
  <c r="L62" i="3"/>
  <c r="L61" i="3"/>
  <c r="L60" i="3"/>
  <c r="L59" i="3"/>
  <c r="L58" i="3"/>
  <c r="L57" i="3"/>
  <c r="L45" i="3"/>
  <c r="L44" i="3"/>
  <c r="L43" i="3"/>
  <c r="L42" i="3"/>
  <c r="L41" i="3"/>
  <c r="L40" i="3"/>
  <c r="L39" i="3"/>
  <c r="O55" i="10"/>
  <c r="L54" i="10"/>
  <c r="L53" i="10"/>
  <c r="L52" i="10"/>
  <c r="L51" i="10"/>
  <c r="L50" i="10"/>
  <c r="L49" i="10"/>
  <c r="L48" i="10"/>
  <c r="O46" i="10"/>
  <c r="N46" i="10"/>
  <c r="L45" i="10"/>
  <c r="L44" i="10"/>
  <c r="L43" i="10"/>
  <c r="L42" i="10"/>
  <c r="L41" i="10"/>
  <c r="L40" i="10"/>
  <c r="L39" i="10"/>
  <c r="L73" i="3" l="1"/>
  <c r="Q73" i="3" s="1"/>
  <c r="L127" i="3"/>
  <c r="L46" i="3"/>
  <c r="L47" i="3" s="1"/>
  <c r="M122" i="3"/>
  <c r="J122" i="3" s="1"/>
  <c r="Q122" i="3"/>
  <c r="M123" i="3"/>
  <c r="J123" i="3" s="1"/>
  <c r="Q123" i="3"/>
  <c r="M121" i="3"/>
  <c r="J121" i="3" s="1"/>
  <c r="Q121" i="3"/>
  <c r="M120" i="3"/>
  <c r="J120" i="3" s="1"/>
  <c r="Q120" i="3"/>
  <c r="M71" i="3"/>
  <c r="J71" i="3" s="1"/>
  <c r="Q71" i="3"/>
  <c r="M70" i="3"/>
  <c r="J70" i="3" s="1"/>
  <c r="Q70" i="3"/>
  <c r="M69" i="3"/>
  <c r="J69" i="3" s="1"/>
  <c r="Q69" i="3"/>
  <c r="M68" i="3"/>
  <c r="J68" i="3" s="1"/>
  <c r="Q68" i="3"/>
  <c r="M67" i="3"/>
  <c r="J67" i="3" s="1"/>
  <c r="Q67" i="3"/>
  <c r="M66" i="3"/>
  <c r="Q66" i="3"/>
  <c r="M62" i="3"/>
  <c r="J62" i="3" s="1"/>
  <c r="Q62" i="3"/>
  <c r="M61" i="3"/>
  <c r="J61" i="3" s="1"/>
  <c r="Q61" i="3"/>
  <c r="M60" i="3"/>
  <c r="J60" i="3" s="1"/>
  <c r="Q60" i="3"/>
  <c r="M59" i="3"/>
  <c r="J59" i="3" s="1"/>
  <c r="Q59" i="3"/>
  <c r="M58" i="3"/>
  <c r="J58" i="3" s="1"/>
  <c r="Q58" i="3"/>
  <c r="M57" i="3"/>
  <c r="J57" i="3" s="1"/>
  <c r="L64" i="3"/>
  <c r="Q57" i="3"/>
  <c r="M44" i="3"/>
  <c r="J44" i="3" s="1"/>
  <c r="Q44" i="3"/>
  <c r="M43" i="3"/>
  <c r="J43" i="3" s="1"/>
  <c r="Q43" i="3"/>
  <c r="M42" i="3"/>
  <c r="J42" i="3" s="1"/>
  <c r="Q42" i="3"/>
  <c r="L55" i="10"/>
  <c r="L56" i="10" s="1"/>
  <c r="M41" i="3"/>
  <c r="J41" i="3" s="1"/>
  <c r="Q41" i="3"/>
  <c r="M40" i="3"/>
  <c r="J40" i="3" s="1"/>
  <c r="Q40" i="3"/>
  <c r="M72" i="3"/>
  <c r="J72" i="3" s="1"/>
  <c r="Q72" i="3"/>
  <c r="M63" i="3"/>
  <c r="J63" i="3" s="1"/>
  <c r="Q63" i="3"/>
  <c r="M45" i="3"/>
  <c r="J45" i="3" s="1"/>
  <c r="Q45" i="3"/>
  <c r="N56" i="10"/>
  <c r="M40" i="10"/>
  <c r="J40" i="10" s="1"/>
  <c r="Q40" i="10"/>
  <c r="M39" i="10"/>
  <c r="J39" i="10" s="1"/>
  <c r="Q39" i="10"/>
  <c r="M54" i="10"/>
  <c r="J54" i="10" s="1"/>
  <c r="Q54" i="10"/>
  <c r="M53" i="10"/>
  <c r="J53" i="10" s="1"/>
  <c r="Q53" i="10"/>
  <c r="M52" i="10"/>
  <c r="J52" i="10" s="1"/>
  <c r="Q52" i="10"/>
  <c r="M51" i="10"/>
  <c r="J51" i="10" s="1"/>
  <c r="Q51" i="10"/>
  <c r="M50" i="10"/>
  <c r="J50" i="10" s="1"/>
  <c r="Q50" i="10"/>
  <c r="M49" i="10"/>
  <c r="J49" i="10" s="1"/>
  <c r="Q49" i="10"/>
  <c r="M39" i="3"/>
  <c r="J39" i="3" s="1"/>
  <c r="R41" i="3" s="1"/>
  <c r="Q39" i="3"/>
  <c r="M48" i="10"/>
  <c r="Q48" i="10"/>
  <c r="M45" i="10"/>
  <c r="J45" i="10" s="1"/>
  <c r="Q45" i="10"/>
  <c r="M44" i="10"/>
  <c r="J44" i="10" s="1"/>
  <c r="Q44" i="10"/>
  <c r="M43" i="10"/>
  <c r="J43" i="10" s="1"/>
  <c r="Q43" i="10"/>
  <c r="M42" i="10"/>
  <c r="J42" i="10" s="1"/>
  <c r="K42" i="10" s="1"/>
  <c r="Q42" i="10"/>
  <c r="M41" i="10"/>
  <c r="Q41" i="10"/>
  <c r="J48" i="10"/>
  <c r="R49" i="10" s="1"/>
  <c r="L46" i="10"/>
  <c r="N37" i="10"/>
  <c r="N47" i="10" s="1"/>
  <c r="O37" i="10"/>
  <c r="L36" i="10"/>
  <c r="Q36" i="10" s="1"/>
  <c r="L35" i="10"/>
  <c r="L34" i="10"/>
  <c r="L33" i="10"/>
  <c r="L32" i="10"/>
  <c r="L31" i="10"/>
  <c r="L30" i="10"/>
  <c r="Q55" i="10" l="1"/>
  <c r="Q47" i="3"/>
  <c r="S173" i="10"/>
  <c r="Q56" i="10"/>
  <c r="Q128" i="3"/>
  <c r="L74" i="3"/>
  <c r="Q74" i="3"/>
  <c r="Q65" i="3"/>
  <c r="Q47" i="10"/>
  <c r="J6" i="8"/>
  <c r="Q190" i="3"/>
  <c r="Q127" i="3"/>
  <c r="L128" i="3"/>
  <c r="J66" i="3"/>
  <c r="K66" i="3" s="1"/>
  <c r="L65" i="3"/>
  <c r="K123" i="3"/>
  <c r="K122" i="3"/>
  <c r="K121" i="3"/>
  <c r="K72" i="3"/>
  <c r="K71" i="3"/>
  <c r="K70" i="3"/>
  <c r="K69" i="3"/>
  <c r="K68" i="3"/>
  <c r="K67" i="3"/>
  <c r="K62" i="3"/>
  <c r="K61" i="3"/>
  <c r="K60" i="3"/>
  <c r="K59" i="3"/>
  <c r="K58" i="3"/>
  <c r="Q64" i="3"/>
  <c r="K44" i="3"/>
  <c r="K43" i="3"/>
  <c r="K42" i="3"/>
  <c r="Q46" i="10"/>
  <c r="L47" i="10"/>
  <c r="J41" i="10"/>
  <c r="K41" i="10" s="1"/>
  <c r="K41" i="3"/>
  <c r="Q46" i="3"/>
  <c r="K40" i="3"/>
  <c r="K63" i="3"/>
  <c r="K45" i="3"/>
  <c r="K51" i="10"/>
  <c r="M31" i="10"/>
  <c r="J31" i="10" s="1"/>
  <c r="Q31" i="10"/>
  <c r="M35" i="10"/>
  <c r="J35" i="10" s="1"/>
  <c r="Q35" i="10"/>
  <c r="M32" i="10"/>
  <c r="J32" i="10" s="1"/>
  <c r="Q32" i="10"/>
  <c r="M33" i="10"/>
  <c r="J33" i="10" s="1"/>
  <c r="Q33" i="10"/>
  <c r="K48" i="10"/>
  <c r="S49" i="10" s="1"/>
  <c r="M30" i="10"/>
  <c r="J30" i="10" s="1"/>
  <c r="Q30" i="10"/>
  <c r="M34" i="10"/>
  <c r="J34" i="10" s="1"/>
  <c r="Q34" i="10"/>
  <c r="K54" i="10"/>
  <c r="K53" i="10"/>
  <c r="K52" i="10"/>
  <c r="K50" i="10"/>
  <c r="K49" i="10"/>
  <c r="K45" i="10"/>
  <c r="K44" i="10"/>
  <c r="K43" i="10"/>
  <c r="K40" i="10"/>
  <c r="K39" i="10"/>
  <c r="M36" i="10"/>
  <c r="J36" i="10" s="1"/>
  <c r="L37" i="10"/>
  <c r="K120" i="3"/>
  <c r="K57" i="3"/>
  <c r="K39" i="3"/>
  <c r="S41" i="3" s="1"/>
  <c r="S149" i="3" l="1"/>
  <c r="Q38" i="10"/>
  <c r="Q37" i="10"/>
  <c r="L38" i="10"/>
  <c r="K30" i="10"/>
  <c r="K36" i="10"/>
  <c r="K34" i="10"/>
  <c r="K32" i="10"/>
  <c r="K35" i="10"/>
  <c r="K31" i="10"/>
  <c r="K33" i="10"/>
  <c r="Q380" i="3" l="1"/>
  <c r="O28" i="14"/>
  <c r="N28" i="14"/>
  <c r="L27" i="14"/>
  <c r="M27" i="14" s="1"/>
  <c r="L26" i="14"/>
  <c r="M26" i="14" s="1"/>
  <c r="J26" i="14" s="1"/>
  <c r="L25" i="14"/>
  <c r="M25" i="14" s="1"/>
  <c r="L24" i="14"/>
  <c r="M24" i="14" s="1"/>
  <c r="J24" i="14" s="1"/>
  <c r="L23" i="14"/>
  <c r="M23" i="14" s="1"/>
  <c r="L22" i="14"/>
  <c r="M22" i="14" s="1"/>
  <c r="J22" i="14" s="1"/>
  <c r="L21" i="14"/>
  <c r="M21" i="14" s="1"/>
  <c r="O19" i="14"/>
  <c r="N19" i="14"/>
  <c r="L18" i="14"/>
  <c r="M18" i="14" s="1"/>
  <c r="J18" i="14" s="1"/>
  <c r="K18" i="14" s="1"/>
  <c r="M17" i="14"/>
  <c r="J17" i="14" s="1"/>
  <c r="K17" i="14" s="1"/>
  <c r="L17" i="14"/>
  <c r="L16" i="14"/>
  <c r="M16" i="14" s="1"/>
  <c r="J16" i="14" s="1"/>
  <c r="K16" i="14" s="1"/>
  <c r="L15" i="14"/>
  <c r="M15" i="14" s="1"/>
  <c r="J15" i="14" s="1"/>
  <c r="K15" i="14" s="1"/>
  <c r="M14" i="14"/>
  <c r="J14" i="14" s="1"/>
  <c r="K14" i="14" s="1"/>
  <c r="L14" i="14"/>
  <c r="L13" i="14"/>
  <c r="M13" i="14" s="1"/>
  <c r="J13" i="14" s="1"/>
  <c r="K13" i="14" s="1"/>
  <c r="L12" i="14"/>
  <c r="I11" i="14"/>
  <c r="I20" i="14" s="1"/>
  <c r="I29" i="14" s="1"/>
  <c r="O10" i="14"/>
  <c r="O11" i="14" s="1"/>
  <c r="O20" i="14" s="1"/>
  <c r="N10" i="14"/>
  <c r="N20" i="14" s="1"/>
  <c r="L9" i="14"/>
  <c r="M9" i="14" s="1"/>
  <c r="J9" i="14" s="1"/>
  <c r="L8" i="14"/>
  <c r="M8" i="14" s="1"/>
  <c r="J8" i="14" s="1"/>
  <c r="L7" i="14"/>
  <c r="M7" i="14" s="1"/>
  <c r="J7" i="14" s="1"/>
  <c r="L6" i="14"/>
  <c r="M6" i="14" s="1"/>
  <c r="L5" i="14"/>
  <c r="M5" i="14" s="1"/>
  <c r="L4" i="14"/>
  <c r="M4" i="14" s="1"/>
  <c r="L3" i="14"/>
  <c r="O28" i="10"/>
  <c r="N28" i="10"/>
  <c r="L27" i="10"/>
  <c r="L26" i="10"/>
  <c r="L25" i="10"/>
  <c r="L24" i="10"/>
  <c r="L23" i="10"/>
  <c r="L22" i="10"/>
  <c r="L21" i="10"/>
  <c r="O19" i="10"/>
  <c r="N19" i="10"/>
  <c r="L18" i="10"/>
  <c r="L17" i="10"/>
  <c r="L16" i="10"/>
  <c r="L15" i="10"/>
  <c r="L14" i="10"/>
  <c r="L13" i="10"/>
  <c r="L12" i="10"/>
  <c r="I11" i="10"/>
  <c r="I20" i="10" s="1"/>
  <c r="I29" i="10" s="1"/>
  <c r="I38" i="10" s="1"/>
  <c r="I47" i="10" s="1"/>
  <c r="I56" i="10" s="1"/>
  <c r="O10" i="10"/>
  <c r="O11" i="10" s="1"/>
  <c r="N10" i="10"/>
  <c r="N11" i="10" s="1"/>
  <c r="L9" i="10"/>
  <c r="L8" i="10"/>
  <c r="L6" i="10"/>
  <c r="L5" i="10"/>
  <c r="L4" i="10"/>
  <c r="L3" i="10"/>
  <c r="L36" i="3"/>
  <c r="L35" i="3"/>
  <c r="L34" i="3"/>
  <c r="L33" i="3"/>
  <c r="L32" i="3"/>
  <c r="L31" i="3"/>
  <c r="L30" i="3"/>
  <c r="L27" i="3"/>
  <c r="L26" i="3"/>
  <c r="L25" i="3"/>
  <c r="L24" i="3"/>
  <c r="L23" i="3"/>
  <c r="L22" i="3"/>
  <c r="L21" i="3"/>
  <c r="L13" i="3"/>
  <c r="M14" i="3"/>
  <c r="L15" i="3"/>
  <c r="L16" i="3"/>
  <c r="L17" i="3"/>
  <c r="L18" i="3"/>
  <c r="N11" i="14" l="1"/>
  <c r="L28" i="14"/>
  <c r="O29" i="14"/>
  <c r="L19" i="3"/>
  <c r="L20" i="3" s="1"/>
  <c r="L37" i="3"/>
  <c r="L38" i="3" s="1"/>
  <c r="L28" i="3"/>
  <c r="L29" i="3" s="1"/>
  <c r="M17" i="3"/>
  <c r="Q17" i="3"/>
  <c r="Q13" i="3"/>
  <c r="M13" i="3"/>
  <c r="J13" i="3" s="1"/>
  <c r="M24" i="3"/>
  <c r="J24" i="3" s="1"/>
  <c r="Q24" i="3"/>
  <c r="M30" i="3"/>
  <c r="J30" i="3" s="1"/>
  <c r="Q30" i="3"/>
  <c r="M34" i="3"/>
  <c r="J34" i="3" s="1"/>
  <c r="Q34" i="3"/>
  <c r="M16" i="3"/>
  <c r="J16" i="3" s="1"/>
  <c r="K16" i="3" s="1"/>
  <c r="Q16" i="3"/>
  <c r="M21" i="3"/>
  <c r="J21" i="3" s="1"/>
  <c r="Q21" i="3"/>
  <c r="M25" i="3"/>
  <c r="J25" i="3" s="1"/>
  <c r="Q25" i="3"/>
  <c r="M31" i="3"/>
  <c r="J31" i="3" s="1"/>
  <c r="Q31" i="3"/>
  <c r="M35" i="3"/>
  <c r="J35" i="3" s="1"/>
  <c r="Q35" i="3"/>
  <c r="Q15" i="3"/>
  <c r="M15" i="3"/>
  <c r="J15" i="3" s="1"/>
  <c r="K15" i="3" s="1"/>
  <c r="M22" i="3"/>
  <c r="J22" i="3" s="1"/>
  <c r="Q22" i="3"/>
  <c r="M26" i="3"/>
  <c r="Q26" i="3"/>
  <c r="M32" i="3"/>
  <c r="J32" i="3" s="1"/>
  <c r="Q32" i="3"/>
  <c r="J14" i="3"/>
  <c r="K14" i="3" s="1"/>
  <c r="M23" i="3"/>
  <c r="J23" i="3" s="1"/>
  <c r="Q23" i="3"/>
  <c r="M33" i="3"/>
  <c r="J33" i="3" s="1"/>
  <c r="Q33" i="3"/>
  <c r="M27" i="3"/>
  <c r="J27" i="3" s="1"/>
  <c r="Q27" i="3"/>
  <c r="M18" i="3"/>
  <c r="J18" i="3" s="1"/>
  <c r="Q18" i="3"/>
  <c r="I65" i="10"/>
  <c r="I74" i="10" s="1"/>
  <c r="I83" i="10" s="1"/>
  <c r="I92" i="10" s="1"/>
  <c r="I101" i="10" s="1"/>
  <c r="M6" i="10"/>
  <c r="J6" i="10" s="1"/>
  <c r="K6" i="10" s="1"/>
  <c r="Q6" i="10"/>
  <c r="M14" i="10"/>
  <c r="J14" i="10" s="1"/>
  <c r="Q14" i="10"/>
  <c r="M18" i="10"/>
  <c r="J18" i="10" s="1"/>
  <c r="Q18" i="10"/>
  <c r="M22" i="10"/>
  <c r="Q22" i="10"/>
  <c r="M26" i="10"/>
  <c r="J26" i="10" s="1"/>
  <c r="Q26" i="10"/>
  <c r="M3" i="10"/>
  <c r="J3" i="10" s="1"/>
  <c r="Q3" i="10"/>
  <c r="M8" i="10"/>
  <c r="J8" i="10" s="1"/>
  <c r="Q8" i="10"/>
  <c r="M15" i="10"/>
  <c r="J15" i="10" s="1"/>
  <c r="Q15" i="10"/>
  <c r="M23" i="10"/>
  <c r="J23" i="10" s="1"/>
  <c r="Q23" i="10"/>
  <c r="M27" i="10"/>
  <c r="J27" i="10" s="1"/>
  <c r="Q27" i="10"/>
  <c r="M4" i="10"/>
  <c r="J4" i="10" s="1"/>
  <c r="K4" i="10" s="1"/>
  <c r="Q4" i="10"/>
  <c r="M9" i="10"/>
  <c r="J9" i="10" s="1"/>
  <c r="Q9" i="10"/>
  <c r="M12" i="10"/>
  <c r="J12" i="10" s="1"/>
  <c r="Q12" i="10"/>
  <c r="M16" i="10"/>
  <c r="Q16" i="10"/>
  <c r="M24" i="10"/>
  <c r="J24" i="10" s="1"/>
  <c r="Q24" i="10"/>
  <c r="M5" i="10"/>
  <c r="J5" i="10" s="1"/>
  <c r="K5" i="10" s="1"/>
  <c r="Q5" i="10"/>
  <c r="M13" i="10"/>
  <c r="J13" i="10" s="1"/>
  <c r="Q13" i="10"/>
  <c r="M17" i="10"/>
  <c r="J17" i="10" s="1"/>
  <c r="Q17" i="10"/>
  <c r="M21" i="10"/>
  <c r="J21" i="10" s="1"/>
  <c r="Q21" i="10"/>
  <c r="M25" i="10"/>
  <c r="J25" i="10" s="1"/>
  <c r="Q25" i="10"/>
  <c r="M36" i="3"/>
  <c r="J36" i="3" s="1"/>
  <c r="Q36" i="3"/>
  <c r="N29" i="10"/>
  <c r="N38" i="10"/>
  <c r="O20" i="10"/>
  <c r="O29" i="10" s="1"/>
  <c r="O38" i="10" s="1"/>
  <c r="O47" i="10" s="1"/>
  <c r="O56" i="10" s="1"/>
  <c r="O65" i="10" s="1"/>
  <c r="O74" i="10" s="1"/>
  <c r="O83" i="10" s="1"/>
  <c r="O92" i="10" s="1"/>
  <c r="O101" i="10" s="1"/>
  <c r="N29" i="14"/>
  <c r="L19" i="14"/>
  <c r="M12" i="14"/>
  <c r="J12" i="14" s="1"/>
  <c r="K12" i="14" s="1"/>
  <c r="L10" i="14"/>
  <c r="K7" i="14"/>
  <c r="J4" i="14"/>
  <c r="K4" i="14"/>
  <c r="K8" i="14"/>
  <c r="J5" i="14"/>
  <c r="K5" i="14" s="1"/>
  <c r="K9" i="14"/>
  <c r="J6" i="14"/>
  <c r="K6" i="14" s="1"/>
  <c r="J21" i="14"/>
  <c r="K21" i="14" s="1"/>
  <c r="J23" i="14"/>
  <c r="K23" i="14" s="1"/>
  <c r="J25" i="14"/>
  <c r="K25" i="14" s="1"/>
  <c r="J27" i="14"/>
  <c r="K27" i="14" s="1"/>
  <c r="M3" i="14"/>
  <c r="K22" i="14"/>
  <c r="K24" i="14"/>
  <c r="K26" i="14"/>
  <c r="N20" i="10"/>
  <c r="J7" i="10"/>
  <c r="J16" i="10"/>
  <c r="J22" i="10"/>
  <c r="L10" i="10"/>
  <c r="L11" i="10" s="1"/>
  <c r="L28" i="10"/>
  <c r="L19" i="10"/>
  <c r="J26" i="3"/>
  <c r="J17" i="3"/>
  <c r="K12" i="3"/>
  <c r="J30" i="14" l="1"/>
  <c r="Q19" i="3"/>
  <c r="J382" i="3"/>
  <c r="I24" i="8" s="1"/>
  <c r="Q29" i="3"/>
  <c r="Q20" i="3"/>
  <c r="Q38" i="3"/>
  <c r="Q11" i="10"/>
  <c r="Q29" i="10"/>
  <c r="Q20" i="10"/>
  <c r="O128" i="10"/>
  <c r="O110" i="10"/>
  <c r="O119" i="10" s="1"/>
  <c r="I110" i="10"/>
  <c r="Q28" i="3"/>
  <c r="K25" i="3"/>
  <c r="K18" i="3"/>
  <c r="K13" i="3"/>
  <c r="J19" i="3"/>
  <c r="Q37" i="3"/>
  <c r="K23" i="3"/>
  <c r="Q10" i="10"/>
  <c r="Q19" i="10"/>
  <c r="L20" i="10"/>
  <c r="Q28" i="10"/>
  <c r="L29" i="10"/>
  <c r="K36" i="3"/>
  <c r="K35" i="3"/>
  <c r="K34" i="3"/>
  <c r="K33" i="3"/>
  <c r="K32" i="3"/>
  <c r="K31" i="3"/>
  <c r="K27" i="3"/>
  <c r="K26" i="3"/>
  <c r="K24" i="3"/>
  <c r="K22" i="3"/>
  <c r="K21" i="3"/>
  <c r="K17" i="3"/>
  <c r="K22" i="10"/>
  <c r="K18" i="10"/>
  <c r="K24" i="10"/>
  <c r="K12" i="10"/>
  <c r="K15" i="10"/>
  <c r="K14" i="10"/>
  <c r="K17" i="10"/>
  <c r="K27" i="10"/>
  <c r="K7" i="10"/>
  <c r="K25" i="10"/>
  <c r="K9" i="10"/>
  <c r="K13" i="10"/>
  <c r="K23" i="10"/>
  <c r="K26" i="10"/>
  <c r="K21" i="10"/>
  <c r="K8" i="10"/>
  <c r="K16" i="10"/>
  <c r="J3" i="14"/>
  <c r="J10" i="14" s="1"/>
  <c r="J10" i="10"/>
  <c r="K3" i="10"/>
  <c r="K30" i="3"/>
  <c r="J426" i="10" l="1"/>
  <c r="L51" i="8" s="1"/>
  <c r="S51" i="8" s="1"/>
  <c r="K19" i="3"/>
  <c r="J20" i="3" s="1"/>
  <c r="J28" i="3" s="1"/>
  <c r="I119" i="10"/>
  <c r="I128" i="10" s="1"/>
  <c r="I137" i="10" s="1"/>
  <c r="I146" i="10" s="1"/>
  <c r="I155" i="10" s="1"/>
  <c r="I164" i="10" s="1"/>
  <c r="I173" i="10" s="1"/>
  <c r="I182" i="10" s="1"/>
  <c r="I191" i="10" s="1"/>
  <c r="I200" i="10" s="1"/>
  <c r="I209" i="10" s="1"/>
  <c r="I218" i="10" s="1"/>
  <c r="I227" i="10" s="1"/>
  <c r="I236" i="10" s="1"/>
  <c r="I245" i="10" s="1"/>
  <c r="I254" i="10" s="1"/>
  <c r="K10" i="10"/>
  <c r="K11" i="10" s="1"/>
  <c r="K3" i="14"/>
  <c r="K10" i="14" s="1"/>
  <c r="K11" i="14" s="1"/>
  <c r="K20" i="3" l="1"/>
  <c r="K28" i="3" s="1"/>
  <c r="K29" i="3" s="1"/>
  <c r="K37" i="3" s="1"/>
  <c r="K38" i="3" s="1"/>
  <c r="I263" i="10"/>
  <c r="I272" i="10" s="1"/>
  <c r="I281" i="10" s="1"/>
  <c r="I290" i="10" s="1"/>
  <c r="I299" i="10" s="1"/>
  <c r="I308" i="10" s="1"/>
  <c r="I317" i="10" s="1"/>
  <c r="I326" i="10" s="1"/>
  <c r="I335" i="10" s="1"/>
  <c r="I344" i="10" s="1"/>
  <c r="I353" i="10" s="1"/>
  <c r="I362" i="10" s="1"/>
  <c r="I371" i="10" s="1"/>
  <c r="I380" i="10" s="1"/>
  <c r="I389" i="10" s="1"/>
  <c r="I398" i="10" s="1"/>
  <c r="I407" i="10" s="1"/>
  <c r="I416" i="10" s="1"/>
  <c r="I425" i="10" s="1"/>
  <c r="J11" i="10"/>
  <c r="J19" i="10" s="1"/>
  <c r="K19" i="10"/>
  <c r="K20" i="10" s="1"/>
  <c r="J11" i="14"/>
  <c r="J19" i="14" s="1"/>
  <c r="K46" i="3" l="1"/>
  <c r="K47" i="3" s="1"/>
  <c r="K55" i="3" s="1"/>
  <c r="S40" i="3"/>
  <c r="S42" i="3" s="1"/>
  <c r="J29" i="3"/>
  <c r="J37" i="3" s="1"/>
  <c r="J38" i="3" s="1"/>
  <c r="J20" i="10"/>
  <c r="R11" i="14"/>
  <c r="K19" i="14"/>
  <c r="K20" i="14" s="1"/>
  <c r="P11" i="14"/>
  <c r="Q11" i="14"/>
  <c r="J46" i="3" l="1"/>
  <c r="J47" i="3" s="1"/>
  <c r="J55" i="3" s="1"/>
  <c r="J56" i="3" s="1"/>
  <c r="J64" i="3" s="1"/>
  <c r="R40" i="3"/>
  <c r="R42" i="3" s="1"/>
  <c r="K56" i="3"/>
  <c r="K64" i="3" s="1"/>
  <c r="K65" i="3" s="1"/>
  <c r="K73" i="3" s="1"/>
  <c r="K74" i="3" s="1"/>
  <c r="K82" i="3" s="1"/>
  <c r="J28" i="10"/>
  <c r="J20" i="14"/>
  <c r="J28" i="14" s="1"/>
  <c r="P29" i="14" l="1"/>
  <c r="Q20" i="14"/>
  <c r="K28" i="14"/>
  <c r="K29" i="14" s="1"/>
  <c r="P20" i="14"/>
  <c r="R20" i="14"/>
  <c r="J29" i="14" l="1"/>
  <c r="R29" i="14" l="1"/>
  <c r="Q29" i="14"/>
  <c r="K28" i="10" l="1"/>
  <c r="K29" i="10" s="1"/>
  <c r="K37" i="10" l="1"/>
  <c r="K38" i="10" s="1"/>
  <c r="J29" i="10"/>
  <c r="O5" i="8" l="1"/>
  <c r="J37" i="10"/>
  <c r="O6" i="8" l="1"/>
  <c r="J38" i="10"/>
  <c r="K46" i="10"/>
  <c r="O7" i="8" l="1"/>
  <c r="K47" i="10"/>
  <c r="S48" i="10" s="1"/>
  <c r="S50" i="10" s="1"/>
  <c r="S170" i="10" s="1"/>
  <c r="J46" i="10"/>
  <c r="N5" i="8"/>
  <c r="N6" i="8" s="1"/>
  <c r="N7" i="8" s="1"/>
  <c r="O8" i="8" l="1"/>
  <c r="N8" i="8"/>
  <c r="K55" i="10"/>
  <c r="J47" i="10"/>
  <c r="R48" i="10" s="1"/>
  <c r="R50" i="10" s="1"/>
  <c r="O9" i="8" l="1"/>
  <c r="N9" i="8"/>
  <c r="J55" i="10"/>
  <c r="K56" i="10"/>
  <c r="O10" i="8" l="1"/>
  <c r="N10" i="8"/>
  <c r="K64" i="10"/>
  <c r="J56" i="10"/>
  <c r="J64" i="10" s="1"/>
  <c r="N11" i="8" l="1"/>
  <c r="O11" i="8"/>
  <c r="J65" i="10"/>
  <c r="J73" i="10" s="1"/>
  <c r="K65" i="10"/>
  <c r="N12" i="8" l="1"/>
  <c r="O12" i="8"/>
  <c r="K73" i="10"/>
  <c r="K74" i="10" s="1"/>
  <c r="K82" i="10" s="1"/>
  <c r="O15" i="8" l="1"/>
  <c r="N15" i="8"/>
  <c r="K83" i="10"/>
  <c r="J74" i="10"/>
  <c r="J82" i="10" s="1"/>
  <c r="J83" i="10" s="1"/>
  <c r="K91" i="10" l="1"/>
  <c r="K92" i="10" s="1"/>
  <c r="J91" i="10" l="1"/>
  <c r="J92" i="10" s="1"/>
  <c r="J100" i="10" s="1"/>
  <c r="K100" i="10" l="1"/>
  <c r="J101" i="10" l="1"/>
  <c r="J109" i="10" s="1"/>
  <c r="K101" i="10"/>
  <c r="K109" i="10" l="1"/>
  <c r="J110" i="10" s="1"/>
  <c r="J118" i="10" s="1"/>
  <c r="K110" i="10" l="1"/>
  <c r="K118" i="10" l="1"/>
  <c r="J119" i="10" l="1"/>
  <c r="K119" i="10"/>
  <c r="J127" i="10" l="1"/>
  <c r="K127" i="10"/>
  <c r="K128" i="10" l="1"/>
  <c r="J128" i="10"/>
  <c r="K136" i="10" l="1"/>
  <c r="J136" i="10"/>
  <c r="J137" i="10" l="1"/>
  <c r="K137" i="10"/>
  <c r="J145" i="10" l="1"/>
  <c r="K145" i="10"/>
  <c r="J146" i="10" l="1"/>
  <c r="K146" i="10"/>
  <c r="J154" i="10" l="1"/>
  <c r="K154" i="10"/>
  <c r="J155" i="10" l="1"/>
  <c r="K155" i="10"/>
  <c r="J163" i="10" l="1"/>
  <c r="K163" i="10"/>
  <c r="J164" i="10" l="1"/>
  <c r="K164" i="10"/>
  <c r="K172" i="10" s="1"/>
  <c r="K173" i="10" l="1"/>
  <c r="J172" i="10"/>
  <c r="J173" i="10" s="1"/>
  <c r="R165" i="10" l="1"/>
  <c r="R167" i="10" s="1"/>
  <c r="R168" i="10" s="1"/>
  <c r="R170" i="10" s="1"/>
  <c r="J181" i="10"/>
  <c r="S165" i="10"/>
  <c r="S167" i="10" s="1"/>
  <c r="K181" i="10"/>
  <c r="J182" i="10" l="1"/>
  <c r="J190" i="10" s="1"/>
  <c r="K182" i="10"/>
  <c r="K190" i="10" s="1"/>
  <c r="J191" i="10" l="1"/>
  <c r="J199" i="10" s="1"/>
  <c r="K191" i="10"/>
  <c r="K199" i="10" s="1"/>
  <c r="J65" i="3"/>
  <c r="J73" i="3" s="1"/>
  <c r="K200" i="10" l="1"/>
  <c r="K208" i="10" s="1"/>
  <c r="J200" i="10"/>
  <c r="J208" i="10" s="1"/>
  <c r="J74" i="3"/>
  <c r="J82" i="3" s="1"/>
  <c r="J209" i="10" l="1"/>
  <c r="K209" i="10"/>
  <c r="K83" i="3"/>
  <c r="K91" i="3" s="1"/>
  <c r="J83" i="3"/>
  <c r="J91" i="3" s="1"/>
  <c r="J217" i="10" l="1"/>
  <c r="K217" i="10"/>
  <c r="J92" i="3"/>
  <c r="K92" i="3"/>
  <c r="K218" i="10" l="1"/>
  <c r="J218" i="10"/>
  <c r="J100" i="3"/>
  <c r="K100" i="3"/>
  <c r="K226" i="10" l="1"/>
  <c r="J226" i="10"/>
  <c r="J101" i="3"/>
  <c r="K101" i="3"/>
  <c r="K227" i="10" l="1"/>
  <c r="J227" i="10"/>
  <c r="J109" i="3"/>
  <c r="K109" i="3"/>
  <c r="K235" i="10" l="1"/>
  <c r="J235" i="10"/>
  <c r="J110" i="3"/>
  <c r="K110" i="3"/>
  <c r="K118" i="3" s="1"/>
  <c r="K236" i="10" l="1"/>
  <c r="J236" i="10"/>
  <c r="J118" i="3"/>
  <c r="K244" i="10" l="1"/>
  <c r="J244" i="10"/>
  <c r="K119" i="3"/>
  <c r="J119" i="3"/>
  <c r="K245" i="10" l="1"/>
  <c r="J245" i="10"/>
  <c r="K127" i="3"/>
  <c r="J127" i="3"/>
  <c r="K253" i="10" l="1"/>
  <c r="J253" i="10"/>
  <c r="K128" i="3"/>
  <c r="J128" i="3"/>
  <c r="K254" i="10" l="1"/>
  <c r="K262" i="10" s="1"/>
  <c r="J254" i="10"/>
  <c r="J262" i="10" s="1"/>
  <c r="K136" i="3"/>
  <c r="J136" i="3"/>
  <c r="J137" i="3" l="1"/>
  <c r="J145" i="3" s="1"/>
  <c r="K137" i="3"/>
  <c r="K145" i="3" s="1"/>
  <c r="K263" i="10" l="1"/>
  <c r="K271" i="10" s="1"/>
  <c r="J263" i="10"/>
  <c r="J271" i="10" s="1"/>
  <c r="K146" i="3"/>
  <c r="J146" i="3"/>
  <c r="R141" i="3" s="1"/>
  <c r="R143" i="3" s="1"/>
  <c r="R146" i="3" s="1"/>
  <c r="K154" i="3" l="1"/>
  <c r="K155" i="3" s="1"/>
  <c r="K163" i="3" s="1"/>
  <c r="S141" i="3"/>
  <c r="S143" i="3" s="1"/>
  <c r="S146" i="3" s="1"/>
  <c r="J272" i="10"/>
  <c r="K272" i="10"/>
  <c r="J154" i="3"/>
  <c r="J280" i="10" l="1"/>
  <c r="K280" i="10"/>
  <c r="J155" i="3"/>
  <c r="J163" i="3" s="1"/>
  <c r="J164" i="3" s="1"/>
  <c r="K164" i="3"/>
  <c r="J281" i="10" l="1"/>
  <c r="J289" i="10" s="1"/>
  <c r="K281" i="10"/>
  <c r="K289" i="10" s="1"/>
  <c r="K172" i="3"/>
  <c r="J172" i="3"/>
  <c r="K173" i="3" l="1"/>
  <c r="K181" i="3" s="1"/>
  <c r="J173" i="3"/>
  <c r="J181" i="3" s="1"/>
  <c r="J182" i="3" l="1"/>
  <c r="J190" i="3" s="1"/>
  <c r="J290" i="10"/>
  <c r="J298" i="10" s="1"/>
  <c r="K290" i="10"/>
  <c r="K298" i="10" s="1"/>
  <c r="K182" i="3"/>
  <c r="K190" i="3" s="1"/>
  <c r="J299" i="10" l="1"/>
  <c r="K299" i="10"/>
  <c r="J191" i="3"/>
  <c r="J199" i="3" s="1"/>
  <c r="J307" i="10" l="1"/>
  <c r="K307" i="10"/>
  <c r="K191" i="3"/>
  <c r="K199" i="3" s="1"/>
  <c r="J200" i="3" s="1"/>
  <c r="J308" i="10" l="1"/>
  <c r="K308" i="10"/>
  <c r="J208" i="3"/>
  <c r="K200" i="3"/>
  <c r="J316" i="10" l="1"/>
  <c r="K316" i="10"/>
  <c r="K317" i="10" s="1"/>
  <c r="K208" i="3"/>
  <c r="J317" i="10" l="1"/>
  <c r="J325" i="10" s="1"/>
  <c r="K325" i="10"/>
  <c r="K209" i="3"/>
  <c r="J209" i="3"/>
  <c r="J326" i="10" l="1"/>
  <c r="K326" i="10"/>
  <c r="K217" i="3"/>
  <c r="J217" i="3"/>
  <c r="K334" i="10" l="1"/>
  <c r="J218" i="3"/>
  <c r="K218" i="3"/>
  <c r="K335" i="10" l="1"/>
  <c r="K343" i="10" s="1"/>
  <c r="J334" i="10"/>
  <c r="J227" i="3"/>
  <c r="K227" i="3"/>
  <c r="J335" i="10" l="1"/>
  <c r="J343" i="10" s="1"/>
  <c r="K228" i="3"/>
  <c r="J228" i="3"/>
  <c r="K344" i="10" l="1"/>
  <c r="K236" i="3"/>
  <c r="J236" i="3"/>
  <c r="K352" i="10" l="1"/>
  <c r="J344" i="10"/>
  <c r="K237" i="3"/>
  <c r="J237" i="3"/>
  <c r="J352" i="10" l="1"/>
  <c r="J353" i="10" s="1"/>
  <c r="J361" i="10" s="1"/>
  <c r="K353" i="10"/>
  <c r="K361" i="10" s="1"/>
  <c r="K245" i="3"/>
  <c r="J245" i="3"/>
  <c r="J362" i="10" l="1"/>
  <c r="K362" i="10"/>
  <c r="K246" i="3"/>
  <c r="K254" i="3" s="1"/>
  <c r="J246" i="3"/>
  <c r="J254" i="3" s="1"/>
  <c r="J370" i="10" l="1"/>
  <c r="L13" i="8" s="1"/>
  <c r="K370" i="10"/>
  <c r="M13" i="8" s="1"/>
  <c r="J255" i="3"/>
  <c r="J263" i="3" s="1"/>
  <c r="K255" i="3"/>
  <c r="K263" i="3" s="1"/>
  <c r="K264" i="3" s="1"/>
  <c r="K272" i="3" s="1"/>
  <c r="O13" i="8" l="1"/>
  <c r="N13" i="8"/>
  <c r="J371" i="10"/>
  <c r="L14" i="8" s="1"/>
  <c r="K371" i="10"/>
  <c r="M14" i="8" s="1"/>
  <c r="K273" i="3"/>
  <c r="K281" i="3" s="1"/>
  <c r="J264" i="3"/>
  <c r="J272" i="3" s="1"/>
  <c r="J273" i="3" s="1"/>
  <c r="J281" i="3" s="1"/>
  <c r="N14" i="8" l="1"/>
  <c r="O14" i="8"/>
  <c r="J379" i="10"/>
  <c r="L22" i="8" s="1"/>
  <c r="K379" i="10"/>
  <c r="M22" i="8" s="1"/>
  <c r="J282" i="3"/>
  <c r="K282" i="3"/>
  <c r="J380" i="10" l="1"/>
  <c r="L23" i="8" s="1"/>
  <c r="K380" i="10"/>
  <c r="M23" i="8" s="1"/>
  <c r="J290" i="3"/>
  <c r="K290" i="3"/>
  <c r="O16" i="8" l="1"/>
  <c r="N16" i="8"/>
  <c r="J388" i="10"/>
  <c r="L31" i="8" s="1"/>
  <c r="K388" i="10"/>
  <c r="M31" i="8" s="1"/>
  <c r="K291" i="3"/>
  <c r="J291" i="3"/>
  <c r="O17" i="8" l="1"/>
  <c r="N17" i="8"/>
  <c r="K389" i="10"/>
  <c r="M32" i="8" s="1"/>
  <c r="J389" i="10"/>
  <c r="L32" i="8" s="1"/>
  <c r="K299" i="3"/>
  <c r="J299" i="3"/>
  <c r="K397" i="10" l="1"/>
  <c r="J397" i="10"/>
  <c r="N18" i="8"/>
  <c r="O18" i="8"/>
  <c r="K300" i="3"/>
  <c r="K308" i="3" s="1"/>
  <c r="J300" i="3"/>
  <c r="J308" i="3" s="1"/>
  <c r="J398" i="10" l="1"/>
  <c r="J406" i="10" s="1"/>
  <c r="N19" i="8"/>
  <c r="O19" i="8"/>
  <c r="K398" i="10"/>
  <c r="K406" i="10" s="1"/>
  <c r="K407" i="10" s="1"/>
  <c r="K415" i="10" s="1"/>
  <c r="J309" i="3"/>
  <c r="K309" i="3"/>
  <c r="K317" i="3" s="1"/>
  <c r="N20" i="8" l="1"/>
  <c r="O20" i="8"/>
  <c r="J407" i="10"/>
  <c r="J415" i="10" s="1"/>
  <c r="L40" i="8" s="1"/>
  <c r="K416" i="10"/>
  <c r="M40" i="8"/>
  <c r="J317" i="3"/>
  <c r="J318" i="3" s="1"/>
  <c r="K318" i="3"/>
  <c r="O21" i="8" l="1"/>
  <c r="N21" i="8"/>
  <c r="J416" i="10"/>
  <c r="L41" i="8" s="1"/>
  <c r="M41" i="8"/>
  <c r="K424" i="10"/>
  <c r="K326" i="3"/>
  <c r="J326" i="3"/>
  <c r="N22" i="8" l="1"/>
  <c r="O22" i="8"/>
  <c r="J424" i="10"/>
  <c r="L49" i="8" s="1"/>
  <c r="K425" i="10"/>
  <c r="M49" i="8"/>
  <c r="K327" i="3"/>
  <c r="S324" i="3" s="1"/>
  <c r="S327" i="3" s="1"/>
  <c r="S329" i="3" s="1"/>
  <c r="J327" i="3"/>
  <c r="R324" i="3" s="1"/>
  <c r="R327" i="3" s="1"/>
  <c r="R329" i="3" s="1"/>
  <c r="O23" i="8" l="1"/>
  <c r="O24" i="8" s="1"/>
  <c r="O25" i="8" s="1"/>
  <c r="N23" i="8"/>
  <c r="J425" i="10"/>
  <c r="R385" i="10" s="1"/>
  <c r="M50" i="8"/>
  <c r="S385" i="10"/>
  <c r="K335" i="3"/>
  <c r="C13" i="8" s="1"/>
  <c r="J335" i="3"/>
  <c r="B13" i="8" s="1"/>
  <c r="D7" i="8"/>
  <c r="E7" i="8"/>
  <c r="O26" i="8" l="1"/>
  <c r="N24" i="8"/>
  <c r="N25" i="8" s="1"/>
  <c r="N26" i="8" s="1"/>
  <c r="L50" i="8"/>
  <c r="R386" i="10"/>
  <c r="S386" i="10"/>
  <c r="J336" i="3"/>
  <c r="B14" i="8" s="1"/>
  <c r="K336" i="3"/>
  <c r="C14" i="8" s="1"/>
  <c r="D8" i="8"/>
  <c r="E8" i="8"/>
  <c r="N27" i="8" l="1"/>
  <c r="O27" i="8"/>
  <c r="D9" i="8"/>
  <c r="J344" i="3"/>
  <c r="K344" i="3"/>
  <c r="C22" i="8" s="1"/>
  <c r="E9" i="8"/>
  <c r="N28" i="8" l="1"/>
  <c r="O28" i="8"/>
  <c r="B40" i="8"/>
  <c r="B22" i="8"/>
  <c r="J345" i="3"/>
  <c r="B23" i="8" s="1"/>
  <c r="K345" i="3"/>
  <c r="C23" i="8" s="1"/>
  <c r="C40" i="8"/>
  <c r="E10" i="8"/>
  <c r="D10" i="8"/>
  <c r="O29" i="8" l="1"/>
  <c r="N29" i="8"/>
  <c r="J353" i="3"/>
  <c r="B31" i="8" s="1"/>
  <c r="B41" i="8"/>
  <c r="C41" i="8"/>
  <c r="K353" i="3"/>
  <c r="C31" i="8" s="1"/>
  <c r="E11" i="8"/>
  <c r="D11" i="8"/>
  <c r="N30" i="8" l="1"/>
  <c r="O30" i="8"/>
  <c r="B49" i="8"/>
  <c r="C49" i="8"/>
  <c r="J354" i="3"/>
  <c r="B32" i="8" s="1"/>
  <c r="K354" i="3"/>
  <c r="C32" i="8" s="1"/>
  <c r="D12" i="8"/>
  <c r="E12" i="8"/>
  <c r="N31" i="8" l="1"/>
  <c r="O31" i="8"/>
  <c r="J362" i="3"/>
  <c r="B58" i="8" s="1"/>
  <c r="B50" i="8"/>
  <c r="C50" i="8"/>
  <c r="K362" i="3"/>
  <c r="E15" i="8"/>
  <c r="D15" i="8"/>
  <c r="D13" i="8"/>
  <c r="E13" i="8"/>
  <c r="N32" i="8" l="1"/>
  <c r="O32" i="8"/>
  <c r="C58" i="8"/>
  <c r="J363" i="3"/>
  <c r="K363" i="3"/>
  <c r="E16" i="8"/>
  <c r="D16" i="8"/>
  <c r="E14" i="8"/>
  <c r="D14" i="8"/>
  <c r="P6" i="8"/>
  <c r="Q6" i="8" s="1"/>
  <c r="T7" i="8"/>
  <c r="O33" i="8" l="1"/>
  <c r="N33" i="8"/>
  <c r="J371" i="3"/>
  <c r="B59" i="8"/>
  <c r="C59" i="8"/>
  <c r="K371" i="3"/>
  <c r="P7" i="8"/>
  <c r="Q7" i="8" s="1"/>
  <c r="E17" i="8"/>
  <c r="D17" i="8"/>
  <c r="F6" i="8"/>
  <c r="G6" i="8" s="1"/>
  <c r="J7" i="8"/>
  <c r="T8" i="8"/>
  <c r="O34" i="8" l="1"/>
  <c r="N34" i="8"/>
  <c r="P8" i="8"/>
  <c r="Q8" i="8" s="1"/>
  <c r="J372" i="3"/>
  <c r="J380" i="3" s="1"/>
  <c r="K372" i="3"/>
  <c r="K380" i="3" s="1"/>
  <c r="E18" i="8"/>
  <c r="D18" i="8"/>
  <c r="F7" i="8"/>
  <c r="G7" i="8" s="1"/>
  <c r="J8" i="8"/>
  <c r="T9" i="8"/>
  <c r="O35" i="8" l="1"/>
  <c r="N35" i="8"/>
  <c r="P9" i="8"/>
  <c r="Q9" i="8" s="1"/>
  <c r="K381" i="3"/>
  <c r="S349" i="3" s="1"/>
  <c r="J381" i="3"/>
  <c r="R349" i="3" s="1"/>
  <c r="D19" i="8"/>
  <c r="E19" i="8"/>
  <c r="J9" i="8"/>
  <c r="F8" i="8"/>
  <c r="G8" i="8" s="1"/>
  <c r="T10" i="8"/>
  <c r="O36" i="8" l="1"/>
  <c r="N36" i="8"/>
  <c r="P10" i="8"/>
  <c r="Q10" i="8" s="1"/>
  <c r="S350" i="3"/>
  <c r="R350" i="3"/>
  <c r="D20" i="8"/>
  <c r="E20" i="8"/>
  <c r="F9" i="8"/>
  <c r="G9" i="8" s="1"/>
  <c r="J10" i="8"/>
  <c r="T11" i="8"/>
  <c r="N37" i="8" l="1"/>
  <c r="O37" i="8"/>
  <c r="P11" i="8"/>
  <c r="Q11" i="8" s="1"/>
  <c r="D21" i="8"/>
  <c r="E21" i="8"/>
  <c r="J11" i="8"/>
  <c r="F10" i="8"/>
  <c r="G10" i="8" s="1"/>
  <c r="T12" i="8"/>
  <c r="N38" i="8" l="1"/>
  <c r="O38" i="8"/>
  <c r="P12" i="8"/>
  <c r="Q12" i="8" s="1"/>
  <c r="D24" i="8"/>
  <c r="E24" i="8"/>
  <c r="D22" i="8"/>
  <c r="E22" i="8"/>
  <c r="F11" i="8"/>
  <c r="G11" i="8" s="1"/>
  <c r="J12" i="8"/>
  <c r="T13" i="8"/>
  <c r="N39" i="8" l="1"/>
  <c r="O39" i="8"/>
  <c r="E25" i="8"/>
  <c r="D25" i="8"/>
  <c r="P13" i="8"/>
  <c r="Q13" i="8" s="1"/>
  <c r="D23" i="8"/>
  <c r="E23" i="8"/>
  <c r="J13" i="8"/>
  <c r="F12" i="8"/>
  <c r="G12" i="8" s="1"/>
  <c r="T14" i="8"/>
  <c r="E26" i="8" l="1"/>
  <c r="D26" i="8"/>
  <c r="P14" i="8"/>
  <c r="Q14" i="8" s="1"/>
  <c r="J14" i="8"/>
  <c r="F13" i="8"/>
  <c r="G13" i="8" s="1"/>
  <c r="T15" i="8"/>
  <c r="D27" i="8" l="1"/>
  <c r="E27" i="8"/>
  <c r="P15" i="8"/>
  <c r="Q15" i="8" s="1"/>
  <c r="F14" i="8"/>
  <c r="G14" i="8" s="1"/>
  <c r="J15" i="8"/>
  <c r="T16" i="8"/>
  <c r="D28" i="8" l="1"/>
  <c r="E28" i="8"/>
  <c r="N42" i="8"/>
  <c r="O42" i="8"/>
  <c r="N40" i="8"/>
  <c r="O40" i="8"/>
  <c r="P16" i="8"/>
  <c r="Q16" i="8" s="1"/>
  <c r="J16" i="8"/>
  <c r="F15" i="8"/>
  <c r="G15" i="8" s="1"/>
  <c r="T17" i="8"/>
  <c r="D29" i="8" l="1"/>
  <c r="E29" i="8"/>
  <c r="N43" i="8"/>
  <c r="N41" i="8"/>
  <c r="O41" i="8"/>
  <c r="O43" i="8" s="1"/>
  <c r="P17" i="8"/>
  <c r="Q17" i="8" s="1"/>
  <c r="J17" i="8"/>
  <c r="F16" i="8"/>
  <c r="G16" i="8" s="1"/>
  <c r="T18" i="8"/>
  <c r="E30" i="8" l="1"/>
  <c r="D30" i="8"/>
  <c r="O44" i="8"/>
  <c r="N44" i="8"/>
  <c r="P18" i="8"/>
  <c r="Q18" i="8" s="1"/>
  <c r="J18" i="8"/>
  <c r="F17" i="8"/>
  <c r="G17" i="8" s="1"/>
  <c r="T19" i="8"/>
  <c r="D33" i="8" l="1"/>
  <c r="E33" i="8"/>
  <c r="E31" i="8"/>
  <c r="D31" i="8"/>
  <c r="P19" i="8"/>
  <c r="Q19" i="8" s="1"/>
  <c r="O45" i="8"/>
  <c r="N45" i="8"/>
  <c r="F18" i="8"/>
  <c r="G18" i="8" s="1"/>
  <c r="J19" i="8"/>
  <c r="T20" i="8"/>
  <c r="D32" i="8" l="1"/>
  <c r="E32" i="8"/>
  <c r="D34" i="8"/>
  <c r="E34" i="8"/>
  <c r="P20" i="8"/>
  <c r="Q20" i="8" s="1"/>
  <c r="O46" i="8"/>
  <c r="N46" i="8"/>
  <c r="F19" i="8"/>
  <c r="G19" i="8" s="1"/>
  <c r="J20" i="8"/>
  <c r="T21" i="8"/>
  <c r="E35" i="8" l="1"/>
  <c r="D35" i="8"/>
  <c r="F20" i="8"/>
  <c r="G20" i="8" s="1"/>
  <c r="P21" i="8"/>
  <c r="Q21" i="8" s="1"/>
  <c r="O47" i="8"/>
  <c r="N47" i="8"/>
  <c r="J21" i="8"/>
  <c r="F21" i="8" s="1"/>
  <c r="G21" i="8" s="1"/>
  <c r="T22" i="8"/>
  <c r="D36" i="8" l="1"/>
  <c r="E36" i="8"/>
  <c r="P22" i="8"/>
  <c r="Q22" i="8" s="1"/>
  <c r="N48" i="8"/>
  <c r="O48" i="8"/>
  <c r="J22" i="8"/>
  <c r="T23" i="8"/>
  <c r="D37" i="8" l="1"/>
  <c r="E37" i="8"/>
  <c r="F22" i="8"/>
  <c r="G22" i="8" s="1"/>
  <c r="P23" i="8"/>
  <c r="Q23" i="8" s="1"/>
  <c r="O49" i="8"/>
  <c r="O51" i="8"/>
  <c r="N49" i="8"/>
  <c r="N51" i="8"/>
  <c r="J23" i="8"/>
  <c r="F23" i="8" s="1"/>
  <c r="G23" i="8" s="1"/>
  <c r="T24" i="8"/>
  <c r="D38" i="8" l="1"/>
  <c r="E38" i="8"/>
  <c r="P24" i="8"/>
  <c r="Q24" i="8" s="1"/>
  <c r="O50" i="8"/>
  <c r="N50" i="8"/>
  <c r="O52" i="8"/>
  <c r="O53" i="8" s="1"/>
  <c r="O54" i="8" s="1"/>
  <c r="N52" i="8"/>
  <c r="J24" i="8"/>
  <c r="T25" i="8"/>
  <c r="D39" i="8" l="1"/>
  <c r="E39" i="8"/>
  <c r="F24" i="8"/>
  <c r="G24" i="8" s="1"/>
  <c r="P25" i="8"/>
  <c r="Q25" i="8" s="1"/>
  <c r="O55" i="8"/>
  <c r="O56" i="8" s="1"/>
  <c r="O57" i="8" s="1"/>
  <c r="N53" i="8"/>
  <c r="N54" i="8" s="1"/>
  <c r="N55" i="8" s="1"/>
  <c r="J25" i="8"/>
  <c r="T26" i="8"/>
  <c r="E42" i="8" l="1"/>
  <c r="D42" i="8"/>
  <c r="E40" i="8"/>
  <c r="E41" i="8" s="1"/>
  <c r="D40" i="8"/>
  <c r="F25" i="8"/>
  <c r="G25" i="8" s="1"/>
  <c r="P26" i="8"/>
  <c r="Q26" i="8" s="1"/>
  <c r="N56" i="8"/>
  <c r="N57" i="8" s="1"/>
  <c r="N60" i="8" s="1"/>
  <c r="O58" i="8"/>
  <c r="O59" i="8" s="1"/>
  <c r="O60" i="8"/>
  <c r="O61" i="8" s="1"/>
  <c r="O62" i="8" s="1"/>
  <c r="O63" i="8" s="1"/>
  <c r="O64" i="8" s="1"/>
  <c r="O65" i="8" s="1"/>
  <c r="O66" i="8" s="1"/>
  <c r="J26" i="8"/>
  <c r="T27" i="8"/>
  <c r="D41" i="8" l="1"/>
  <c r="E43" i="8"/>
  <c r="E44" i="8" s="1"/>
  <c r="E45" i="8" s="1"/>
  <c r="E46" i="8" s="1"/>
  <c r="E47" i="8" s="1"/>
  <c r="E48" i="8" s="1"/>
  <c r="D43" i="8"/>
  <c r="F26" i="8"/>
  <c r="G26" i="8" s="1"/>
  <c r="P27" i="8"/>
  <c r="Q27" i="8" s="1"/>
  <c r="N58" i="8"/>
  <c r="N59" i="8" s="1"/>
  <c r="N61" i="8" s="1"/>
  <c r="N62" i="8" s="1"/>
  <c r="N63" i="8" s="1"/>
  <c r="N64" i="8" s="1"/>
  <c r="N65" i="8" s="1"/>
  <c r="N66" i="8" s="1"/>
  <c r="J27" i="8"/>
  <c r="T28" i="8"/>
  <c r="E51" i="8" l="1"/>
  <c r="E49" i="8"/>
  <c r="E50" i="8" s="1"/>
  <c r="D44" i="8"/>
  <c r="D45" i="8" s="1"/>
  <c r="D46" i="8" s="1"/>
  <c r="D47" i="8" s="1"/>
  <c r="D48" i="8" s="1"/>
  <c r="D51" i="8" s="1"/>
  <c r="F27" i="8"/>
  <c r="G27" i="8" s="1"/>
  <c r="P28" i="8"/>
  <c r="Q28" i="8" s="1"/>
  <c r="J28" i="8"/>
  <c r="T29" i="8"/>
  <c r="D49" i="8" l="1"/>
  <c r="D50" i="8" s="1"/>
  <c r="E52" i="8"/>
  <c r="E53" i="8" s="1"/>
  <c r="E54" i="8" s="1"/>
  <c r="E55" i="8" s="1"/>
  <c r="E56" i="8" s="1"/>
  <c r="E57" i="8" s="1"/>
  <c r="D52" i="8"/>
  <c r="F28" i="8"/>
  <c r="G28" i="8" s="1"/>
  <c r="P29" i="8"/>
  <c r="Q29" i="8" s="1"/>
  <c r="J29" i="8"/>
  <c r="T30" i="8"/>
  <c r="E60" i="8" l="1"/>
  <c r="E58" i="8"/>
  <c r="E59" i="8" s="1"/>
  <c r="D53" i="8"/>
  <c r="D54" i="8" s="1"/>
  <c r="D55" i="8" s="1"/>
  <c r="D56" i="8" s="1"/>
  <c r="D57" i="8" s="1"/>
  <c r="D60" i="8" s="1"/>
  <c r="F29" i="8"/>
  <c r="G29" i="8" s="1"/>
  <c r="P30" i="8"/>
  <c r="Q30" i="8" s="1"/>
  <c r="T31" i="8"/>
  <c r="J30" i="8"/>
  <c r="E61" i="8" l="1"/>
  <c r="E62" i="8" s="1"/>
  <c r="E63" i="8" s="1"/>
  <c r="E64" i="8" s="1"/>
  <c r="E65" i="8" s="1"/>
  <c r="E66" i="8" s="1"/>
  <c r="D61" i="8"/>
  <c r="D58" i="8"/>
  <c r="D59" i="8" s="1"/>
  <c r="F30" i="8"/>
  <c r="G30" i="8" s="1"/>
  <c r="P31" i="8"/>
  <c r="Q31" i="8" s="1"/>
  <c r="T32" i="8"/>
  <c r="J31" i="8"/>
  <c r="D62" i="8" l="1"/>
  <c r="D63" i="8" s="1"/>
  <c r="D64" i="8" s="1"/>
  <c r="D65" i="8" s="1"/>
  <c r="D66" i="8" s="1"/>
  <c r="F31" i="8"/>
  <c r="G31" i="8" s="1"/>
  <c r="P32" i="8"/>
  <c r="Q32" i="8" s="1"/>
  <c r="T33" i="8"/>
  <c r="J32" i="8"/>
  <c r="F32" i="8" l="1"/>
  <c r="G32" i="8" s="1"/>
  <c r="P33" i="8"/>
  <c r="Q33" i="8" s="1"/>
  <c r="T34" i="8"/>
  <c r="J33" i="8"/>
  <c r="F33" i="8" l="1"/>
  <c r="G33" i="8" s="1"/>
  <c r="P34" i="8"/>
  <c r="Q34" i="8" s="1"/>
  <c r="T35" i="8"/>
  <c r="J34" i="8"/>
  <c r="F34" i="8" l="1"/>
  <c r="G34" i="8" s="1"/>
  <c r="P35" i="8"/>
  <c r="Q35" i="8" s="1"/>
  <c r="T36" i="8"/>
  <c r="J35" i="8"/>
  <c r="F35" i="8" l="1"/>
  <c r="G35" i="8" s="1"/>
  <c r="P36" i="8"/>
  <c r="Q36" i="8" s="1"/>
  <c r="T37" i="8"/>
  <c r="J36" i="8"/>
  <c r="F36" i="8" l="1"/>
  <c r="G36" i="8" s="1"/>
  <c r="P37" i="8"/>
  <c r="Q37" i="8" s="1"/>
  <c r="T38" i="8"/>
  <c r="J37" i="8"/>
  <c r="F37" i="8" l="1"/>
  <c r="G37" i="8" s="1"/>
  <c r="P38" i="8"/>
  <c r="Q38" i="8" s="1"/>
  <c r="T39" i="8"/>
  <c r="J38" i="8"/>
  <c r="F38" i="8" l="1"/>
  <c r="G38" i="8" s="1"/>
  <c r="P39" i="8"/>
  <c r="Q39" i="8" s="1"/>
  <c r="T40" i="8"/>
  <c r="J39" i="8"/>
  <c r="F39" i="8" l="1"/>
  <c r="G39" i="8" s="1"/>
  <c r="P40" i="8"/>
  <c r="Q40" i="8" s="1"/>
  <c r="T41" i="8"/>
  <c r="J40" i="8"/>
  <c r="P41" i="8" l="1"/>
  <c r="Q41" i="8" s="1"/>
  <c r="F40" i="8"/>
  <c r="G40" i="8" s="1"/>
  <c r="T42" i="8"/>
  <c r="J41" i="8"/>
  <c r="P42" i="8" l="1"/>
  <c r="Q42" i="8" s="1"/>
  <c r="F41" i="8"/>
  <c r="G41" i="8" s="1"/>
  <c r="T43" i="8"/>
  <c r="J42" i="8"/>
  <c r="P43" i="8" l="1"/>
  <c r="Q43" i="8" s="1"/>
  <c r="F42" i="8"/>
  <c r="G42" i="8" s="1"/>
  <c r="T44" i="8"/>
  <c r="J43" i="8"/>
  <c r="P44" i="8" l="1"/>
  <c r="Q44" i="8" s="1"/>
  <c r="F43" i="8"/>
  <c r="G43" i="8" s="1"/>
  <c r="T45" i="8"/>
  <c r="J44" i="8"/>
  <c r="P45" i="8" l="1"/>
  <c r="Q45" i="8" s="1"/>
  <c r="F44" i="8"/>
  <c r="G44" i="8" s="1"/>
  <c r="T46" i="8"/>
  <c r="J45" i="8"/>
  <c r="P46" i="8" l="1"/>
  <c r="Q46" i="8" s="1"/>
  <c r="F45" i="8"/>
  <c r="G45" i="8" s="1"/>
  <c r="T47" i="8"/>
  <c r="J46" i="8"/>
  <c r="P47" i="8" l="1"/>
  <c r="Q47" i="8" s="1"/>
  <c r="F46" i="8"/>
  <c r="G46" i="8" s="1"/>
  <c r="T48" i="8"/>
  <c r="J47" i="8"/>
  <c r="P48" i="8" l="1"/>
  <c r="Q48" i="8" s="1"/>
  <c r="F47" i="8"/>
  <c r="G47" i="8" s="1"/>
  <c r="T49" i="8"/>
  <c r="J48" i="8"/>
  <c r="P49" i="8" l="1"/>
  <c r="Q49" i="8" s="1"/>
  <c r="F48" i="8"/>
  <c r="G48" i="8" s="1"/>
  <c r="T50" i="8"/>
  <c r="J49" i="8"/>
  <c r="P50" i="8" l="1"/>
  <c r="Q50" i="8" s="1"/>
  <c r="F49" i="8"/>
  <c r="G49" i="8" s="1"/>
  <c r="T51" i="8"/>
  <c r="J50" i="8"/>
  <c r="P51" i="8" l="1"/>
  <c r="Q51" i="8" s="1"/>
  <c r="F50" i="8"/>
  <c r="G50" i="8" s="1"/>
  <c r="T52" i="8"/>
  <c r="J51" i="8"/>
  <c r="F51" i="8" l="1"/>
  <c r="G51" i="8" s="1"/>
  <c r="P52" i="8"/>
  <c r="Q52" i="8" s="1"/>
  <c r="T53" i="8"/>
  <c r="J52" i="8"/>
  <c r="P53" i="8" l="1"/>
  <c r="Q53" i="8" s="1"/>
  <c r="F52" i="8"/>
  <c r="G52" i="8" s="1"/>
  <c r="T54" i="8"/>
  <c r="J53" i="8"/>
  <c r="P54" i="8" l="1"/>
  <c r="Q54" i="8" s="1"/>
  <c r="F53" i="8"/>
  <c r="G53" i="8" s="1"/>
  <c r="T55" i="8"/>
  <c r="J54" i="8"/>
  <c r="P55" i="8" l="1"/>
  <c r="Q55" i="8" s="1"/>
  <c r="F54" i="8"/>
  <c r="G54" i="8" s="1"/>
  <c r="T56" i="8"/>
  <c r="J55" i="8"/>
  <c r="P56" i="8" l="1"/>
  <c r="Q56" i="8" s="1"/>
  <c r="F55" i="8"/>
  <c r="G55" i="8" s="1"/>
  <c r="T57" i="8"/>
  <c r="J56" i="8"/>
  <c r="P57" i="8" l="1"/>
  <c r="Q57" i="8" s="1"/>
  <c r="F56" i="8"/>
  <c r="G56" i="8" s="1"/>
  <c r="T58" i="8"/>
  <c r="J57" i="8"/>
  <c r="P58" i="8" l="1"/>
  <c r="Q58" i="8" s="1"/>
  <c r="F57" i="8"/>
  <c r="G57" i="8" s="1"/>
  <c r="T59" i="8"/>
  <c r="J58" i="8"/>
  <c r="P59" i="8" l="1"/>
  <c r="Q59" i="8" s="1"/>
  <c r="F58" i="8"/>
  <c r="G58" i="8" s="1"/>
  <c r="T60" i="8"/>
  <c r="J59" i="8"/>
  <c r="P60" i="8" l="1"/>
  <c r="Q60" i="8" s="1"/>
  <c r="F59" i="8"/>
  <c r="G59" i="8" s="1"/>
  <c r="T61" i="8"/>
  <c r="J60" i="8"/>
  <c r="P61" i="8" l="1"/>
  <c r="Q61" i="8" s="1"/>
  <c r="F60" i="8"/>
  <c r="G60" i="8" s="1"/>
  <c r="T62" i="8"/>
  <c r="J61" i="8"/>
  <c r="P62" i="8" l="1"/>
  <c r="Q62" i="8" s="1"/>
  <c r="F61" i="8"/>
  <c r="G61" i="8" s="1"/>
  <c r="T63" i="8"/>
  <c r="J62" i="8"/>
  <c r="P63" i="8" l="1"/>
  <c r="Q63" i="8" s="1"/>
  <c r="F62" i="8"/>
  <c r="G62" i="8" s="1"/>
  <c r="T64" i="8"/>
  <c r="J63" i="8"/>
  <c r="P64" i="8" l="1"/>
  <c r="Q64" i="8" s="1"/>
  <c r="F63" i="8"/>
  <c r="G63" i="8" s="1"/>
  <c r="T65" i="8"/>
  <c r="J64" i="8"/>
  <c r="P65" i="8" l="1"/>
  <c r="Q65" i="8" s="1"/>
  <c r="F64" i="8"/>
  <c r="G64" i="8" s="1"/>
  <c r="T66" i="8"/>
  <c r="J65" i="8"/>
  <c r="P66" i="8" l="1"/>
  <c r="Q66" i="8" s="1"/>
  <c r="F65" i="8"/>
  <c r="G65" i="8" s="1"/>
  <c r="J66" i="8"/>
  <c r="F66" i="8" l="1"/>
  <c r="G66" i="8" s="1"/>
</calcChain>
</file>

<file path=xl/sharedStrings.xml><?xml version="1.0" encoding="utf-8"?>
<sst xmlns="http://schemas.openxmlformats.org/spreadsheetml/2006/main" count="822" uniqueCount="351">
  <si>
    <t>Datum</t>
  </si>
  <si>
    <t>PIC</t>
  </si>
  <si>
    <t>T/O-Zeit</t>
  </si>
  <si>
    <t>Ldg-Zeit</t>
  </si>
  <si>
    <t>D-EOYS</t>
  </si>
  <si>
    <t>D-EFLF</t>
  </si>
  <si>
    <t>RPM</t>
  </si>
  <si>
    <t>Hobbs</t>
  </si>
  <si>
    <t>Flugzeit</t>
  </si>
  <si>
    <t>Blockzeit</t>
  </si>
  <si>
    <t>Landung(en)</t>
  </si>
  <si>
    <t>EDMA</t>
  </si>
  <si>
    <t>gebühren</t>
  </si>
  <si>
    <t>Anflug-</t>
  </si>
  <si>
    <t>Übertrag FH</t>
  </si>
  <si>
    <t>Landungen</t>
  </si>
  <si>
    <t>Zwischenstände</t>
  </si>
  <si>
    <t>Flug-</t>
  </si>
  <si>
    <t>Std.</t>
  </si>
  <si>
    <t>Sonstiges</t>
  </si>
  <si>
    <t>N / A</t>
  </si>
  <si>
    <t>EDGS</t>
  </si>
  <si>
    <t>EDAB</t>
  </si>
  <si>
    <t>Rangierschaden</t>
  </si>
  <si>
    <t>Auswärts-</t>
  </si>
  <si>
    <t>Ziel</t>
  </si>
  <si>
    <t>Zusatzkosten / Gutschrift</t>
  </si>
  <si>
    <t>Nächste Inspektion:</t>
  </si>
  <si>
    <t>Gaudl</t>
  </si>
  <si>
    <t>EDFR</t>
  </si>
  <si>
    <t>EDQE</t>
  </si>
  <si>
    <t>Rest-Zeit</t>
  </si>
  <si>
    <t>Insp.</t>
  </si>
  <si>
    <t>Charter-Nr.</t>
  </si>
  <si>
    <t>Lfd.Nr.</t>
  </si>
  <si>
    <t>Vorname</t>
  </si>
  <si>
    <t>Pilot</t>
  </si>
  <si>
    <t>Adresse</t>
  </si>
  <si>
    <t>E-M@il</t>
  </si>
  <si>
    <t>Telefon</t>
  </si>
  <si>
    <t>Geburtstag</t>
  </si>
  <si>
    <t>Check-Out</t>
  </si>
  <si>
    <t>Lizenz / Klasse</t>
  </si>
  <si>
    <t>Medical</t>
  </si>
  <si>
    <t>ZÜP</t>
  </si>
  <si>
    <t>Name</t>
  </si>
  <si>
    <t>Aktiv?</t>
  </si>
  <si>
    <t>Straße</t>
  </si>
  <si>
    <t>PLZ</t>
  </si>
  <si>
    <t>Ort</t>
  </si>
  <si>
    <t>Nr.</t>
  </si>
  <si>
    <t>Gültig</t>
  </si>
  <si>
    <t>j</t>
  </si>
  <si>
    <t>n</t>
  </si>
  <si>
    <t>D-86444</t>
  </si>
  <si>
    <t>xxx h</t>
  </si>
  <si>
    <t>D-Exxx</t>
  </si>
  <si>
    <t>Nach-Kalkulation</t>
  </si>
  <si>
    <t>Stundensatz</t>
  </si>
  <si>
    <t>Q I</t>
  </si>
  <si>
    <t>Q II</t>
  </si>
  <si>
    <t>Q III</t>
  </si>
  <si>
    <t>Q IV</t>
  </si>
  <si>
    <t>Beginn</t>
  </si>
  <si>
    <t>SUMMEN</t>
  </si>
  <si>
    <t>Bis 10h</t>
  </si>
  <si>
    <t>Bis 20h</t>
  </si>
  <si>
    <t>Über 20h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</si>
  <si>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</si>
  <si>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</si>
  <si>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</si>
  <si>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</si>
  <si>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</si>
  <si>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</si>
  <si>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</si>
  <si>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</si>
  <si>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</si>
  <si>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</si>
  <si>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</si>
  <si>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</si>
  <si>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</si>
  <si>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&lt;=10h</t>
  </si>
  <si>
    <t>&gt;10h</t>
  </si>
  <si>
    <t>&gt; 20h</t>
  </si>
  <si>
    <t>EDRF</t>
  </si>
  <si>
    <t>EDSB</t>
  </si>
  <si>
    <t>EDFV</t>
  </si>
  <si>
    <t>Derchinger Straße 9</t>
  </si>
  <si>
    <t>Bergen</t>
  </si>
  <si>
    <t>+49 151 1850-9005</t>
  </si>
  <si>
    <t>Rest-Zeiten bis zum nächsten Wartungsereignis:</t>
  </si>
  <si>
    <t>bei:</t>
  </si>
  <si>
    <t>Toleranz:</t>
  </si>
  <si>
    <t>Kumuliert</t>
  </si>
  <si>
    <t>Min.</t>
  </si>
  <si>
    <t>Übertrag:</t>
  </si>
  <si>
    <t>EDTD</t>
  </si>
  <si>
    <t>EDER</t>
  </si>
  <si>
    <t>EDWG</t>
  </si>
  <si>
    <t>LIDB</t>
  </si>
  <si>
    <t>EDXH</t>
  </si>
  <si>
    <t>EDXW</t>
  </si>
  <si>
    <t>EDFN</t>
  </si>
  <si>
    <t>EDGM</t>
  </si>
  <si>
    <t>EDMV</t>
  </si>
  <si>
    <t>EDNB</t>
  </si>
  <si>
    <t>Landung EDMA:</t>
  </si>
  <si>
    <t>EPWR</t>
  </si>
  <si>
    <t>EPKE</t>
  </si>
  <si>
    <t>ETPA</t>
  </si>
  <si>
    <t>EDMQ</t>
  </si>
  <si>
    <t>Stundenpreise (Brutto)</t>
  </si>
  <si>
    <t>Externe Preise (Brutto):</t>
  </si>
  <si>
    <t>Anflug EDMA</t>
  </si>
  <si>
    <t>Landung EDMQ</t>
  </si>
  <si>
    <t>Landung EDMS</t>
  </si>
  <si>
    <t>Sonst</t>
  </si>
  <si>
    <t>Überführung</t>
  </si>
  <si>
    <t>Werkstattflug Avionik</t>
  </si>
  <si>
    <t>Einnahmen</t>
  </si>
  <si>
    <t>Abzügl. 50,00 €</t>
  </si>
  <si>
    <t>Erweiterung um beliebig viele andere Flugzeuge mit versch. Kennzeichen</t>
  </si>
  <si>
    <t>C-172</t>
  </si>
  <si>
    <t>D-ECEW</t>
  </si>
  <si>
    <t>C-150</t>
  </si>
  <si>
    <t>D-EWYS</t>
  </si>
  <si>
    <t>PA-28</t>
  </si>
  <si>
    <t>EDFB</t>
  </si>
  <si>
    <t>EDRK</t>
  </si>
  <si>
    <t>Abgerechnet bis:</t>
  </si>
  <si>
    <t>Gesamt-Flugzeit:</t>
  </si>
  <si>
    <t>Dec 16</t>
  </si>
  <si>
    <t>Ausgaben</t>
  </si>
  <si>
    <t>Stellplatz</t>
  </si>
  <si>
    <t>Sprit</t>
  </si>
  <si>
    <t>Öl</t>
  </si>
  <si>
    <t>Jahres-</t>
  </si>
  <si>
    <t>Summen</t>
  </si>
  <si>
    <t>Insp/Rep.</t>
  </si>
  <si>
    <t>Einnahmen:</t>
  </si>
  <si>
    <t>Ausgaben:</t>
  </si>
  <si>
    <t>Ergebnis:</t>
  </si>
  <si>
    <t>Monatsergebnisse:</t>
  </si>
  <si>
    <t>EDQC</t>
  </si>
  <si>
    <t>EDTF</t>
  </si>
  <si>
    <t>manfredgaudl@vodafone.de</t>
  </si>
  <si>
    <t>Entnahme</t>
  </si>
  <si>
    <t>BRUTTO - Werte !!!</t>
  </si>
  <si>
    <t>Kennz.</t>
  </si>
  <si>
    <t>Muster</t>
  </si>
  <si>
    <t>Basispreis</t>
  </si>
  <si>
    <t>Wartungsprogramm</t>
  </si>
  <si>
    <t>50-100-50-200</t>
  </si>
  <si>
    <t>50-100-50-200-50-100-50-400</t>
  </si>
  <si>
    <t>ETSN</t>
  </si>
  <si>
    <t>Jahreszins</t>
  </si>
  <si>
    <t>Überführung - Keine Rechnung</t>
  </si>
  <si>
    <t>EDTM</t>
  </si>
  <si>
    <t>D-etc.</t>
  </si>
  <si>
    <t xml:space="preserve"> </t>
  </si>
  <si>
    <t>LOWZ</t>
  </si>
  <si>
    <t>LOWS</t>
  </si>
  <si>
    <t>o. Entn.</t>
  </si>
  <si>
    <t>EDJA</t>
  </si>
  <si>
    <t>LOIJ</t>
  </si>
  <si>
    <t>EDML</t>
  </si>
  <si>
    <t>EDTH</t>
  </si>
  <si>
    <t>EDNL</t>
  </si>
  <si>
    <t>LOAU</t>
  </si>
  <si>
    <t>mit  Entnahme</t>
  </si>
  <si>
    <t>Agb: 12:39</t>
  </si>
  <si>
    <t>EDTZ</t>
  </si>
  <si>
    <t>EDSZ</t>
  </si>
  <si>
    <t>EDNY</t>
  </si>
  <si>
    <t>EDPA</t>
  </si>
  <si>
    <t>EDKB</t>
  </si>
  <si>
    <t>LIPN</t>
  </si>
  <si>
    <t>Werkstattflug</t>
  </si>
  <si>
    <t>Werkstattflug Memmingen</t>
  </si>
  <si>
    <t>LFGZ</t>
  </si>
  <si>
    <t>Summen:</t>
  </si>
  <si>
    <t>EDNH</t>
  </si>
  <si>
    <t>EDNO</t>
  </si>
  <si>
    <t>-</t>
  </si>
  <si>
    <t>LFLP</t>
  </si>
  <si>
    <t>50%:50%</t>
  </si>
  <si>
    <t>EDRY</t>
  </si>
  <si>
    <t>€</t>
  </si>
  <si>
    <t>EDME</t>
  </si>
  <si>
    <t>LIPV</t>
  </si>
  <si>
    <t>EDMB</t>
  </si>
  <si>
    <t>EDRZ</t>
  </si>
  <si>
    <t>Erweitern!!</t>
  </si>
  <si>
    <t>LIDT</t>
  </si>
  <si>
    <t>Landung EDGM</t>
  </si>
  <si>
    <t>Konto Genderkingen</t>
  </si>
  <si>
    <t>Anfluggeb. 3 statt 4 Ldg EDMA</t>
  </si>
  <si>
    <t>EDMY</t>
  </si>
  <si>
    <t>MM Guthaben +7,38 €</t>
  </si>
  <si>
    <t>100h-Kontrolle</t>
  </si>
  <si>
    <t>(+10:00 Fh)</t>
  </si>
  <si>
    <t>MM 2 Landungen zu 8,00 €</t>
  </si>
  <si>
    <t>EDDR</t>
  </si>
  <si>
    <t>LSZR</t>
  </si>
  <si>
    <t>50 % und Landung frei</t>
  </si>
  <si>
    <t>EDNK</t>
  </si>
  <si>
    <t>LKPS</t>
  </si>
  <si>
    <t>5:49 statt 5:59</t>
  </si>
  <si>
    <t>1:26 statt 1:28</t>
  </si>
  <si>
    <t>EDMT</t>
  </si>
  <si>
    <t>Sprit 131,69 € brutto</t>
  </si>
  <si>
    <t>Tankbeleg 74 Ltr. ?</t>
  </si>
  <si>
    <t>Fixkosten:</t>
  </si>
  <si>
    <t>Versicherungen:</t>
  </si>
  <si>
    <t>Stellplatz:</t>
  </si>
  <si>
    <t>Hallenplatz</t>
  </si>
  <si>
    <t>JNP</t>
  </si>
  <si>
    <t>Variable K.:</t>
  </si>
  <si>
    <t>Inspektionen</t>
  </si>
  <si>
    <t xml:space="preserve">Beide </t>
  </si>
  <si>
    <t>Invest</t>
  </si>
  <si>
    <t>Reparaturen/Sonst</t>
  </si>
  <si>
    <t>Reparatur</t>
  </si>
  <si>
    <t>Inspektion</t>
  </si>
  <si>
    <t>am 01.01.2017</t>
  </si>
  <si>
    <t>am 01.01.2018</t>
  </si>
  <si>
    <t>geflogen in 2017</t>
  </si>
  <si>
    <t>Gebucht:</t>
  </si>
  <si>
    <t>LKJH</t>
  </si>
  <si>
    <t>Tankgutschr. 73,36 € (EDMV)</t>
  </si>
  <si>
    <t>EDMS</t>
  </si>
  <si>
    <t>LFSD</t>
  </si>
  <si>
    <t>LESO</t>
  </si>
  <si>
    <t>LESU</t>
  </si>
  <si>
    <t>LFML</t>
  </si>
  <si>
    <t>LIDU</t>
  </si>
  <si>
    <t>LOLK</t>
  </si>
  <si>
    <t>EDAZ</t>
  </si>
  <si>
    <t>Andorra, 138,64 € netto</t>
  </si>
  <si>
    <t>Marseille, 138,86 € netto</t>
  </si>
  <si>
    <t>San Sebastian 252,45 € netto</t>
  </si>
  <si>
    <t>Dijon, 50,94 € netto</t>
  </si>
  <si>
    <t>Carpi 190,98 € netto</t>
  </si>
  <si>
    <t>54,77 € Avgas netto</t>
  </si>
  <si>
    <t>218,86 € Avgas brutto</t>
  </si>
  <si>
    <t>157,23 € Avgas netto</t>
  </si>
  <si>
    <t>DFS/DWD: 10,62 brutto</t>
  </si>
  <si>
    <t>DSGVO</t>
  </si>
  <si>
    <t>"Frosch" rechtes Höhen-LW</t>
  </si>
  <si>
    <t>High Speed Taxi m. Prüfer</t>
  </si>
  <si>
    <t>Fahrwerk-Flattern</t>
  </si>
  <si>
    <t>J- Schulz: 21.10.17 11,50 €</t>
  </si>
  <si>
    <t>EDPA 1</t>
  </si>
  <si>
    <t>LDDU</t>
  </si>
  <si>
    <t>LDLO</t>
  </si>
  <si>
    <t>EDTY</t>
  </si>
  <si>
    <t>199,38 € netto</t>
  </si>
  <si>
    <t>108,83 € netto</t>
  </si>
  <si>
    <t>151,28 € netto</t>
  </si>
  <si>
    <t>54,58 € netto</t>
  </si>
  <si>
    <t>EDMK</t>
  </si>
  <si>
    <t>EDNQ</t>
  </si>
  <si>
    <t>EDLE</t>
  </si>
  <si>
    <t>Rechnung ans Geschäft</t>
  </si>
  <si>
    <t>Sprit 162,16 netto</t>
  </si>
  <si>
    <t>Handbremse 19.04. AH</t>
  </si>
  <si>
    <t>Abzügl. 0:30h Überführung</t>
  </si>
  <si>
    <t>abzügl. 50% wg. Funk-Check</t>
  </si>
  <si>
    <t>LKCS</t>
  </si>
  <si>
    <t>LIDF</t>
  </si>
  <si>
    <t>EDBT</t>
  </si>
  <si>
    <t>Bahn 35,90€, Werkstattflug</t>
  </si>
  <si>
    <t>xxx</t>
  </si>
  <si>
    <t>Nächste Inspektion: 100 h</t>
  </si>
  <si>
    <t>Überführung nach EDBT</t>
  </si>
  <si>
    <t>EDCJ</t>
  </si>
  <si>
    <t>Überführung, keine Rechnung</t>
  </si>
  <si>
    <t>a.tv Werbung - keine Rechn.</t>
  </si>
  <si>
    <t xml:space="preserve">Tanken LIPV 222,72 € -22% </t>
  </si>
  <si>
    <t>Überträge</t>
  </si>
  <si>
    <r>
      <t xml:space="preserve">Bitte um tel. Info, wenn </t>
    </r>
    <r>
      <rPr>
        <b/>
        <sz val="12"/>
        <color theme="1"/>
        <rFont val="Arial"/>
        <family val="2"/>
      </rPr>
      <t xml:space="preserve">14.983 Fh </t>
    </r>
    <r>
      <rPr>
        <sz val="12"/>
        <color theme="1"/>
        <rFont val="Arial"/>
        <family val="2"/>
      </rPr>
      <t xml:space="preserve">erreicht sind!
</t>
    </r>
    <r>
      <rPr>
        <b/>
        <sz val="12"/>
        <color theme="1"/>
        <rFont val="Arial"/>
        <family val="2"/>
      </rPr>
      <t>+49 151 / 1850-9005</t>
    </r>
  </si>
  <si>
    <r>
      <t xml:space="preserve">Bitte um tel. Info, wenn </t>
    </r>
    <r>
      <rPr>
        <b/>
        <sz val="12"/>
        <rFont val="Arial"/>
        <family val="2"/>
      </rPr>
      <t xml:space="preserve">8.821 Fh </t>
    </r>
    <r>
      <rPr>
        <sz val="12"/>
        <rFont val="Arial"/>
        <family val="2"/>
      </rPr>
      <t xml:space="preserve">erreicht sind!
</t>
    </r>
    <r>
      <rPr>
        <b/>
        <sz val="12"/>
        <rFont val="Arial"/>
        <family val="2"/>
      </rPr>
      <t>+49 151 / 1850-9005</t>
    </r>
  </si>
  <si>
    <t>CarbH. 349,46 € + 3,60 Anf.</t>
  </si>
  <si>
    <t>EDCO</t>
  </si>
  <si>
    <t>Erweitern!</t>
  </si>
  <si>
    <t>Keine Landegebühr</t>
  </si>
  <si>
    <t>bezahlt</t>
  </si>
  <si>
    <t>Language Proficiency</t>
  </si>
  <si>
    <t>d / e</t>
  </si>
  <si>
    <t>e</t>
  </si>
  <si>
    <t>Level</t>
  </si>
  <si>
    <t>d</t>
  </si>
  <si>
    <t>KdNr.</t>
  </si>
  <si>
    <t>Nutzer-Ver-einbarung</t>
  </si>
  <si>
    <t>EDXZ</t>
  </si>
  <si>
    <t>EDXN</t>
  </si>
  <si>
    <t>EDDV</t>
  </si>
  <si>
    <t>Hannover 119,37 €</t>
  </si>
  <si>
    <t>Nordholz 206,00 €</t>
  </si>
  <si>
    <t>Landungen selbst bezahlt</t>
  </si>
  <si>
    <t>EDMQ 2x</t>
  </si>
  <si>
    <t>6x EDMQ</t>
  </si>
  <si>
    <t>2x EDMQ, 1x EDMA</t>
  </si>
  <si>
    <t>Je 50 / 50 Fritz / Andreas</t>
  </si>
  <si>
    <t>DE.FCL.8031 009524</t>
  </si>
  <si>
    <t>NVFR ?</t>
  </si>
  <si>
    <t>IR?</t>
  </si>
  <si>
    <t>CRI</t>
  </si>
  <si>
    <t>Art</t>
  </si>
  <si>
    <t>FI (A) / CRI / E</t>
  </si>
  <si>
    <t>E</t>
  </si>
  <si>
    <t>Prüfer</t>
  </si>
  <si>
    <t>FI / CRI</t>
  </si>
  <si>
    <t>FEHLEINTRAG</t>
  </si>
  <si>
    <t>A 406455</t>
  </si>
  <si>
    <t>Check nach Anlass-Problem</t>
  </si>
  <si>
    <t>Gutschrift JS 90 Km à 0,30 €</t>
  </si>
  <si>
    <t>LIPB</t>
  </si>
  <si>
    <t>EDVK</t>
  </si>
  <si>
    <t>EDMO</t>
  </si>
  <si>
    <t>ETMN</t>
  </si>
  <si>
    <t>DFS-Gebühren 10,32 €</t>
  </si>
  <si>
    <t>LFMD</t>
  </si>
  <si>
    <t>Tanken Cannes 173,8€/1,2</t>
  </si>
  <si>
    <t>Tanken EDNL 207,18 €</t>
  </si>
  <si>
    <t>Gutschrift 2,95 €</t>
  </si>
  <si>
    <t>xxx €/h</t>
  </si>
  <si>
    <t>yyy €/h</t>
  </si>
  <si>
    <t>zzz €/h</t>
  </si>
  <si>
    <t>000, 001</t>
  </si>
  <si>
    <t>002, 003</t>
  </si>
  <si>
    <t>"Heute"</t>
  </si>
  <si>
    <t>"Morgen"</t>
  </si>
  <si>
    <t>in 45 Tagen</t>
  </si>
  <si>
    <t>in 46 Tagen</t>
  </si>
  <si>
    <t>6 Jahre</t>
  </si>
  <si>
    <t>4 Jahre</t>
  </si>
  <si>
    <t>Ungültig</t>
  </si>
  <si>
    <t>Gültig bis</t>
  </si>
  <si>
    <t>FI</t>
  </si>
  <si>
    <t>Manfred (H)</t>
  </si>
  <si>
    <t>Manfred (N)</t>
  </si>
  <si>
    <t>abgerechnet</t>
  </si>
  <si>
    <t>noch offen</t>
  </si>
  <si>
    <t>am 01.01.2019</t>
  </si>
  <si>
    <t>geflogen in 2018</t>
  </si>
  <si>
    <t>FK_MDT_MANDANT</t>
  </si>
  <si>
    <t>FK_APL_PLANE_TYPE</t>
  </si>
  <si>
    <t>FK_APL_MODELL_NO</t>
  </si>
  <si>
    <t>FK_APL_ENGINE_TYPE</t>
  </si>
  <si>
    <t>FK_APL_MAINT_PROGR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</si>
</sst>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00"/>
    <numFmt numFmtId="165" formatCode="#,##0.0"/>
    <numFmt numFmtId="166" formatCode="[$-F400]h:mm:ss\ AM/PM"/>
    <numFmt numFmtId="167" formatCode="0.000"/>
    <numFmt numFmtId="168" formatCode="000"/>
    <numFmt numFmtId="169" formatCode="0.0"/>
    <numFmt numFmtId="170" formatCode="#,##0.00\ &quot;€&quot;"/>
    <numFmt numFmtId="171" formatCode="#,##0.00_ ;[Red]\-#,##0.00\ "/>
    <numFmt numFmtId="172" formatCode="[h]:mm:ss;@"/>
    <numFmt numFmtId="173" formatCode="h:mm;@"/>
    <numFmt numFmtId="174" formatCode="0,000.0"/>
    <numFmt numFmtId="175" formatCode="#,##0.00\ _€"/>
    <numFmt numFmtId="176" formatCode="0_ ;[Red]\-0\ "/>
    <numFmt numFmtId="177" formatCode="00;[Red]\-00\ "/>
    <numFmt numFmtId="17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 tint="-0.14999847407452621"/>
      <name val="Arial"/>
      <family val="2"/>
    </font>
    <font>
      <sz val="11"/>
      <name val="Arial"/>
      <family val="2"/>
    </font>
    <font>
      <b/>
      <sz val="18"/>
      <color rgb="FFFF0000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FFBC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9" tint="0.3999755851924192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66" fontId="0" fillId="0" borderId="0"/>
    <xf numFmtId="166" fontId="5" fillId="0" borderId="0" applyNumberFormat="0" applyFill="0" applyBorder="0" applyAlignment="0" applyProtection="0">
      <alignment vertical="top"/>
      <protection locked="0"/>
    </xf>
    <xf numFmtId="166" fontId="8" fillId="0" borderId="0"/>
    <xf numFmtId="44" fontId="1" fillId="0" borderId="0" applyFont="0" applyFill="0" applyBorder="0" applyAlignment="0" applyProtection="0"/>
  </cellStyleXfs>
  <cellXfs count="700">
    <xf numFmtId="166" fontId="0" fillId="0" borderId="0" xfId="0"/>
    <xf numFmtId="166" fontId="2" fillId="0" borderId="0" xfId="0" applyFont="1"/>
    <xf numFmtId="3" fontId="2" fillId="0" borderId="0" xfId="0" applyNumberFormat="1" applyFont="1"/>
    <xf numFmtId="166" fontId="2" fillId="0" borderId="0" xfId="0" applyFont="1" applyAlignment="1">
      <alignment horizontal="center"/>
    </xf>
    <xf numFmtId="4" fontId="2" fillId="0" borderId="0" xfId="0" applyNumberFormat="1" applyFont="1"/>
    <xf numFmtId="166" fontId="3" fillId="0" borderId="0" xfId="0" applyFont="1" applyAlignment="1">
      <alignment horizontal="center" vertical="center"/>
    </xf>
    <xf numFmtId="166" fontId="3" fillId="0" borderId="0" xfId="0" applyFont="1"/>
    <xf numFmtId="20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20" fontId="2" fillId="0" borderId="3" xfId="0" applyNumberFormat="1" applyFont="1" applyBorder="1"/>
    <xf numFmtId="20" fontId="3" fillId="0" borderId="0" xfId="0" applyNumberFormat="1" applyFont="1"/>
    <xf numFmtId="165" fontId="3" fillId="0" borderId="0" xfId="0" applyNumberFormat="1" applyFont="1"/>
    <xf numFmtId="166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166" fontId="2" fillId="0" borderId="14" xfId="0" applyFont="1" applyBorder="1"/>
    <xf numFmtId="20" fontId="2" fillId="0" borderId="14" xfId="0" applyNumberFormat="1" applyFont="1" applyBorder="1"/>
    <xf numFmtId="4" fontId="2" fillId="0" borderId="14" xfId="0" applyNumberFormat="1" applyFont="1" applyBorder="1"/>
    <xf numFmtId="2" fontId="2" fillId="0" borderId="14" xfId="0" applyNumberFormat="1" applyFont="1" applyBorder="1"/>
    <xf numFmtId="165" fontId="2" fillId="0" borderId="14" xfId="0" applyNumberFormat="1" applyFont="1" applyBorder="1"/>
    <xf numFmtId="166" fontId="2" fillId="0" borderId="14" xfId="0" applyFont="1" applyBorder="1" applyAlignment="1">
      <alignment horizontal="center"/>
    </xf>
    <xf numFmtId="166" fontId="2" fillId="0" borderId="6" xfId="0" applyFont="1" applyBorder="1"/>
    <xf numFmtId="2" fontId="2" fillId="0" borderId="0" xfId="0" applyNumberFormat="1" applyFont="1"/>
    <xf numFmtId="166" fontId="2" fillId="0" borderId="2" xfId="0" applyFont="1" applyBorder="1"/>
    <xf numFmtId="166" fontId="2" fillId="0" borderId="3" xfId="0" applyFont="1" applyBorder="1"/>
    <xf numFmtId="4" fontId="2" fillId="0" borderId="3" xfId="0" applyNumberFormat="1" applyFont="1" applyBorder="1"/>
    <xf numFmtId="2" fontId="2" fillId="0" borderId="3" xfId="0" applyNumberFormat="1" applyFont="1" applyBorder="1"/>
    <xf numFmtId="165" fontId="2" fillId="0" borderId="3" xfId="0" applyNumberFormat="1" applyFont="1" applyBorder="1"/>
    <xf numFmtId="166" fontId="2" fillId="0" borderId="3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4" fontId="2" fillId="0" borderId="13" xfId="0" applyNumberFormat="1" applyFont="1" applyBorder="1"/>
    <xf numFmtId="14" fontId="2" fillId="0" borderId="6" xfId="0" applyNumberFormat="1" applyFont="1" applyBorder="1"/>
    <xf numFmtId="166" fontId="3" fillId="3" borderId="9" xfId="0" applyFont="1" applyFill="1" applyBorder="1" applyAlignment="1">
      <alignment horizontal="right" vertical="center"/>
    </xf>
    <xf numFmtId="166" fontId="3" fillId="3" borderId="10" xfId="0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/>
    <xf numFmtId="168" fontId="2" fillId="0" borderId="14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4" fontId="7" fillId="0" borderId="8" xfId="0" applyNumberFormat="1" applyFont="1" applyBorder="1" applyAlignment="1">
      <alignment vertical="center" wrapText="1"/>
    </xf>
    <xf numFmtId="166" fontId="7" fillId="0" borderId="8" xfId="0" applyFont="1" applyBorder="1" applyAlignment="1">
      <alignment vertical="center" wrapText="1"/>
    </xf>
    <xf numFmtId="49" fontId="7" fillId="0" borderId="8" xfId="0" applyNumberFormat="1" applyFont="1" applyBorder="1" applyAlignment="1">
      <alignment vertical="center" wrapText="1"/>
    </xf>
    <xf numFmtId="14" fontId="7" fillId="0" borderId="8" xfId="0" applyNumberFormat="1" applyFont="1" applyBorder="1" applyAlignment="1">
      <alignment horizontal="right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49" fontId="7" fillId="0" borderId="8" xfId="0" quotePrefix="1" applyNumberFormat="1" applyFont="1" applyBorder="1" applyAlignment="1">
      <alignment vertical="center" wrapText="1"/>
    </xf>
    <xf numFmtId="166" fontId="4" fillId="0" borderId="0" xfId="2" applyFont="1" applyAlignment="1">
      <alignment horizontal="center"/>
    </xf>
    <xf numFmtId="166" fontId="4" fillId="0" borderId="5" xfId="2" applyFont="1" applyBorder="1" applyAlignment="1">
      <alignment horizontal="center"/>
    </xf>
    <xf numFmtId="20" fontId="4" fillId="0" borderId="5" xfId="2" applyNumberFormat="1" applyFont="1" applyBorder="1" applyAlignment="1">
      <alignment horizontal="center"/>
    </xf>
    <xf numFmtId="166" fontId="8" fillId="0" borderId="3" xfId="2" applyBorder="1" applyAlignment="1">
      <alignment horizontal="center"/>
    </xf>
    <xf numFmtId="166" fontId="8" fillId="0" borderId="3" xfId="2" applyBorder="1"/>
    <xf numFmtId="166" fontId="8" fillId="0" borderId="2" xfId="2" applyBorder="1"/>
    <xf numFmtId="166" fontId="8" fillId="0" borderId="4" xfId="2" applyBorder="1"/>
    <xf numFmtId="166" fontId="8" fillId="0" borderId="2" xfId="2" applyBorder="1" applyAlignment="1">
      <alignment horizontal="center"/>
    </xf>
    <xf numFmtId="166" fontId="4" fillId="0" borderId="1" xfId="2" applyFont="1" applyBorder="1" applyAlignment="1">
      <alignment horizontal="center"/>
    </xf>
    <xf numFmtId="166" fontId="8" fillId="0" borderId="1" xfId="2" applyBorder="1" applyAlignment="1">
      <alignment horizontal="center"/>
    </xf>
    <xf numFmtId="166" fontId="8" fillId="0" borderId="0" xfId="2"/>
    <xf numFmtId="166" fontId="8" fillId="0" borderId="0" xfId="2" applyAlignment="1">
      <alignment horizontal="center"/>
    </xf>
    <xf numFmtId="166" fontId="8" fillId="0" borderId="6" xfId="2" applyBorder="1" applyAlignment="1">
      <alignment horizontal="center"/>
    </xf>
    <xf numFmtId="166" fontId="8" fillId="0" borderId="6" xfId="2" applyBorder="1"/>
    <xf numFmtId="166" fontId="8" fillId="0" borderId="7" xfId="2" applyBorder="1"/>
    <xf numFmtId="166" fontId="8" fillId="0" borderId="5" xfId="2" applyBorder="1" applyAlignment="1">
      <alignment horizontal="center"/>
    </xf>
    <xf numFmtId="166" fontId="8" fillId="0" borderId="0" xfId="2" applyAlignment="1">
      <alignment horizontal="left" vertical="center"/>
    </xf>
    <xf numFmtId="168" fontId="4" fillId="0" borderId="0" xfId="2" applyNumberFormat="1" applyFont="1" applyAlignment="1">
      <alignment horizontal="center"/>
    </xf>
    <xf numFmtId="168" fontId="8" fillId="0" borderId="3" xfId="2" applyNumberFormat="1" applyBorder="1" applyAlignment="1">
      <alignment horizontal="center"/>
    </xf>
    <xf numFmtId="168" fontId="8" fillId="0" borderId="0" xfId="2" applyNumberFormat="1" applyAlignment="1">
      <alignment horizontal="center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/>
    <xf numFmtId="3" fontId="3" fillId="4" borderId="2" xfId="0" applyNumberFormat="1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3" fontId="2" fillId="4" borderId="14" xfId="0" applyNumberFormat="1" applyFont="1" applyFill="1" applyBorder="1"/>
    <xf numFmtId="3" fontId="2" fillId="4" borderId="0" xfId="0" applyNumberFormat="1" applyFont="1" applyFill="1"/>
    <xf numFmtId="164" fontId="2" fillId="4" borderId="0" xfId="0" applyNumberFormat="1" applyFont="1" applyFill="1" applyAlignment="1">
      <alignment horizontal="center" vertical="center"/>
    </xf>
    <xf numFmtId="3" fontId="2" fillId="4" borderId="3" xfId="0" applyNumberFormat="1" applyFont="1" applyFill="1" applyBorder="1"/>
    <xf numFmtId="164" fontId="2" fillId="4" borderId="3" xfId="0" applyNumberFormat="1" applyFont="1" applyFill="1" applyBorder="1" applyAlignment="1">
      <alignment horizontal="center" vertical="center"/>
    </xf>
    <xf numFmtId="166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 applyAlignment="1">
      <alignment horizontal="center" vertical="center"/>
    </xf>
    <xf numFmtId="3" fontId="3" fillId="4" borderId="17" xfId="0" applyNumberFormat="1" applyFont="1" applyFill="1" applyBorder="1"/>
    <xf numFmtId="164" fontId="3" fillId="4" borderId="17" xfId="0" applyNumberFormat="1" applyFont="1" applyFill="1" applyBorder="1" applyAlignment="1">
      <alignment horizontal="center" vertical="center"/>
    </xf>
    <xf numFmtId="166" fontId="2" fillId="4" borderId="6" xfId="0" applyFont="1" applyFill="1" applyBorder="1"/>
    <xf numFmtId="164" fontId="2" fillId="4" borderId="7" xfId="0" applyNumberFormat="1" applyFont="1" applyFill="1" applyBorder="1" applyAlignment="1">
      <alignment horizontal="left"/>
    </xf>
    <xf numFmtId="166" fontId="3" fillId="4" borderId="6" xfId="0" applyFont="1" applyFill="1" applyBorder="1"/>
    <xf numFmtId="164" fontId="3" fillId="4" borderId="7" xfId="0" applyNumberFormat="1" applyFont="1" applyFill="1" applyBorder="1" applyAlignment="1">
      <alignment horizontal="left"/>
    </xf>
    <xf numFmtId="166" fontId="3" fillId="4" borderId="16" xfId="0" applyFont="1" applyFill="1" applyBorder="1"/>
    <xf numFmtId="164" fontId="3" fillId="4" borderId="18" xfId="0" applyNumberFormat="1" applyFont="1" applyFill="1" applyBorder="1" applyAlignment="1">
      <alignment horizontal="left"/>
    </xf>
    <xf numFmtId="166" fontId="3" fillId="4" borderId="17" xfId="0" applyFont="1" applyFill="1" applyBorder="1"/>
    <xf numFmtId="168" fontId="3" fillId="4" borderId="17" xfId="0" applyNumberFormat="1" applyFont="1" applyFill="1" applyBorder="1" applyAlignment="1">
      <alignment horizontal="center"/>
    </xf>
    <xf numFmtId="4" fontId="3" fillId="4" borderId="17" xfId="0" applyNumberFormat="1" applyFont="1" applyFill="1" applyBorder="1"/>
    <xf numFmtId="166" fontId="3" fillId="4" borderId="17" xfId="0" applyFont="1" applyFill="1" applyBorder="1" applyAlignment="1">
      <alignment horizontal="center"/>
    </xf>
    <xf numFmtId="20" fontId="2" fillId="4" borderId="17" xfId="0" applyNumberFormat="1" applyFont="1" applyFill="1" applyBorder="1"/>
    <xf numFmtId="165" fontId="3" fillId="4" borderId="17" xfId="0" applyNumberFormat="1" applyFont="1" applyFill="1" applyBorder="1" applyAlignment="1">
      <alignment horizontal="center" vertical="center"/>
    </xf>
    <xf numFmtId="167" fontId="2" fillId="4" borderId="17" xfId="0" applyNumberFormat="1" applyFont="1" applyFill="1" applyBorder="1"/>
    <xf numFmtId="166" fontId="3" fillId="4" borderId="2" xfId="0" applyFont="1" applyFill="1" applyBorder="1"/>
    <xf numFmtId="166" fontId="3" fillId="4" borderId="3" xfId="0" applyFont="1" applyFill="1" applyBorder="1"/>
    <xf numFmtId="168" fontId="3" fillId="4" borderId="10" xfId="0" applyNumberFormat="1" applyFont="1" applyFill="1" applyBorder="1" applyAlignment="1">
      <alignment horizontal="center" vertical="center"/>
    </xf>
    <xf numFmtId="166" fontId="3" fillId="4" borderId="3" xfId="0" applyFont="1" applyFill="1" applyBorder="1" applyAlignment="1">
      <alignment horizontal="center" vertical="center"/>
    </xf>
    <xf numFmtId="4" fontId="3" fillId="4" borderId="3" xfId="0" applyNumberFormat="1" applyFont="1" applyFill="1" applyBorder="1" applyAlignment="1">
      <alignment horizontal="center" vertical="center"/>
    </xf>
    <xf numFmtId="20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6" fontId="3" fillId="4" borderId="3" xfId="0" applyFont="1" applyFill="1" applyBorder="1" applyAlignment="1">
      <alignment horizontal="center"/>
    </xf>
    <xf numFmtId="166" fontId="3" fillId="4" borderId="13" xfId="0" applyFont="1" applyFill="1" applyBorder="1" applyAlignment="1">
      <alignment horizontal="center" vertical="center"/>
    </xf>
    <xf numFmtId="166" fontId="3" fillId="4" borderId="0" xfId="0" applyFont="1" applyFill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 wrapText="1"/>
    </xf>
    <xf numFmtId="166" fontId="3" fillId="4" borderId="14" xfId="0" applyFont="1" applyFill="1" applyBorder="1" applyAlignment="1">
      <alignment horizontal="center" vertical="center" wrapText="1"/>
    </xf>
    <xf numFmtId="20" fontId="3" fillId="4" borderId="14" xfId="0" applyNumberFormat="1" applyFont="1" applyFill="1" applyBorder="1" applyAlignment="1">
      <alignment horizontal="center" vertical="center"/>
    </xf>
    <xf numFmtId="165" fontId="3" fillId="4" borderId="14" xfId="0" applyNumberFormat="1" applyFont="1" applyFill="1" applyBorder="1" applyAlignment="1">
      <alignment horizontal="center" vertical="center"/>
    </xf>
    <xf numFmtId="166" fontId="3" fillId="4" borderId="14" xfId="0" applyFont="1" applyFill="1" applyBorder="1" applyAlignment="1">
      <alignment horizontal="center" vertical="center"/>
    </xf>
    <xf numFmtId="168" fontId="3" fillId="4" borderId="3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vertical="center" wrapText="1"/>
    </xf>
    <xf numFmtId="166" fontId="11" fillId="0" borderId="0" xfId="0" applyFont="1" applyAlignment="1">
      <alignment vertical="center"/>
    </xf>
    <xf numFmtId="166" fontId="12" fillId="0" borderId="0" xfId="0" applyFont="1" applyAlignment="1">
      <alignment vertical="center"/>
    </xf>
    <xf numFmtId="166" fontId="11" fillId="0" borderId="0" xfId="0" applyFont="1" applyAlignment="1">
      <alignment horizontal="right" vertical="center"/>
    </xf>
    <xf numFmtId="166" fontId="11" fillId="5" borderId="9" xfId="0" applyFont="1" applyFill="1" applyBorder="1" applyAlignment="1">
      <alignment horizontal="right" vertical="center"/>
    </xf>
    <xf numFmtId="164" fontId="11" fillId="5" borderId="11" xfId="0" applyNumberFormat="1" applyFont="1" applyFill="1" applyBorder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64" fontId="9" fillId="0" borderId="2" xfId="0" applyNumberFormat="1" applyFont="1" applyBorder="1" applyAlignment="1">
      <alignment horizontal="right" vertical="center"/>
    </xf>
    <xf numFmtId="166" fontId="12" fillId="0" borderId="24" xfId="0" applyFont="1" applyBorder="1" applyAlignment="1">
      <alignment vertical="center"/>
    </xf>
    <xf numFmtId="166" fontId="12" fillId="0" borderId="27" xfId="0" applyFont="1" applyBorder="1" applyAlignment="1">
      <alignment vertical="center"/>
    </xf>
    <xf numFmtId="166" fontId="9" fillId="0" borderId="29" xfId="0" applyFont="1" applyBorder="1" applyAlignment="1">
      <alignment horizontal="right" vertical="center"/>
    </xf>
    <xf numFmtId="164" fontId="9" fillId="0" borderId="29" xfId="0" applyNumberFormat="1" applyFont="1" applyBorder="1" applyAlignment="1">
      <alignment horizontal="left" vertical="center"/>
    </xf>
    <xf numFmtId="164" fontId="9" fillId="0" borderId="29" xfId="0" applyNumberFormat="1" applyFont="1" applyBorder="1" applyAlignment="1">
      <alignment horizontal="right" vertical="center"/>
    </xf>
    <xf numFmtId="166" fontId="9" fillId="0" borderId="22" xfId="0" applyFont="1" applyBorder="1" applyAlignment="1">
      <alignment vertical="center"/>
    </xf>
    <xf numFmtId="164" fontId="9" fillId="0" borderId="0" xfId="0" applyNumberFormat="1" applyFont="1" applyAlignment="1">
      <alignment horizontal="right" vertical="center"/>
    </xf>
    <xf numFmtId="166" fontId="9" fillId="0" borderId="22" xfId="0" applyFont="1" applyBorder="1" applyAlignment="1">
      <alignment horizontal="center" vertical="center"/>
    </xf>
    <xf numFmtId="166" fontId="11" fillId="5" borderId="22" xfId="0" applyFont="1" applyFill="1" applyBorder="1" applyAlignment="1">
      <alignment vertical="center"/>
    </xf>
    <xf numFmtId="166" fontId="11" fillId="5" borderId="31" xfId="0" applyFont="1" applyFill="1" applyBorder="1" applyAlignment="1">
      <alignment vertical="center"/>
    </xf>
    <xf numFmtId="164" fontId="12" fillId="5" borderId="26" xfId="0" applyNumberFormat="1" applyFont="1" applyFill="1" applyBorder="1" applyAlignment="1">
      <alignment horizontal="left" vertical="center"/>
    </xf>
    <xf numFmtId="166" fontId="12" fillId="5" borderId="27" xfId="0" applyFont="1" applyFill="1" applyBorder="1" applyAlignment="1">
      <alignment vertical="center"/>
    </xf>
    <xf numFmtId="166" fontId="11" fillId="0" borderId="0" xfId="0" applyFont="1"/>
    <xf numFmtId="166" fontId="9" fillId="5" borderId="32" xfId="0" applyFont="1" applyFill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169" fontId="12" fillId="0" borderId="0" xfId="0" applyNumberFormat="1" applyFont="1" applyAlignment="1">
      <alignment vertical="center"/>
    </xf>
    <xf numFmtId="169" fontId="15" fillId="0" borderId="0" xfId="0" applyNumberFormat="1" applyFont="1" applyAlignment="1">
      <alignment vertical="center"/>
    </xf>
    <xf numFmtId="169" fontId="13" fillId="0" borderId="0" xfId="0" applyNumberFormat="1" applyFont="1" applyAlignment="1">
      <alignment vertical="center"/>
    </xf>
    <xf numFmtId="166" fontId="9" fillId="8" borderId="28" xfId="0" applyFont="1" applyFill="1" applyBorder="1" applyAlignment="1">
      <alignment horizontal="center" vertical="center"/>
    </xf>
    <xf numFmtId="166" fontId="4" fillId="0" borderId="0" xfId="2" applyFont="1" applyAlignment="1">
      <alignment horizontal="right" vertical="center"/>
    </xf>
    <xf numFmtId="166" fontId="4" fillId="0" borderId="3" xfId="2" applyFont="1" applyBorder="1" applyAlignment="1">
      <alignment horizontal="right" vertical="center"/>
    </xf>
    <xf numFmtId="170" fontId="7" fillId="0" borderId="0" xfId="2" applyNumberFormat="1" applyFont="1" applyAlignment="1">
      <alignment horizontal="right" vertical="center"/>
    </xf>
    <xf numFmtId="170" fontId="8" fillId="0" borderId="0" xfId="2" applyNumberFormat="1" applyAlignment="1">
      <alignment horizontal="right" vertical="center"/>
    </xf>
    <xf numFmtId="166" fontId="8" fillId="0" borderId="0" xfId="2" applyAlignment="1">
      <alignment horizontal="right" vertical="center"/>
    </xf>
    <xf numFmtId="166" fontId="4" fillId="0" borderId="0" xfId="2" applyFont="1" applyAlignment="1">
      <alignment horizontal="left" vertical="center"/>
    </xf>
    <xf numFmtId="166" fontId="7" fillId="0" borderId="0" xfId="2" applyFont="1" applyAlignment="1">
      <alignment horizontal="left" vertical="center"/>
    </xf>
    <xf numFmtId="166" fontId="8" fillId="0" borderId="0" xfId="2" applyAlignment="1">
      <alignment vertical="center"/>
    </xf>
    <xf numFmtId="166" fontId="7" fillId="0" borderId="0" xfId="2" applyFont="1" applyAlignment="1">
      <alignment vertical="center"/>
    </xf>
    <xf numFmtId="171" fontId="11" fillId="0" borderId="0" xfId="0" applyNumberFormat="1" applyFont="1"/>
    <xf numFmtId="171" fontId="10" fillId="0" borderId="0" xfId="0" applyNumberFormat="1" applyFont="1"/>
    <xf numFmtId="166" fontId="2" fillId="7" borderId="0" xfId="0" applyFont="1" applyFill="1"/>
    <xf numFmtId="168" fontId="2" fillId="7" borderId="0" xfId="0" applyNumberFormat="1" applyFont="1" applyFill="1" applyAlignment="1">
      <alignment horizontal="center"/>
    </xf>
    <xf numFmtId="166" fontId="2" fillId="2" borderId="0" xfId="0" applyFont="1" applyFill="1"/>
    <xf numFmtId="168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/>
    <xf numFmtId="4" fontId="2" fillId="2" borderId="0" xfId="0" applyNumberFormat="1" applyFont="1" applyFill="1"/>
    <xf numFmtId="166" fontId="0" fillId="2" borderId="0" xfId="0" applyFill="1"/>
    <xf numFmtId="20" fontId="8" fillId="0" borderId="6" xfId="2" applyNumberFormat="1" applyBorder="1" applyAlignment="1">
      <alignment horizontal="center" vertical="center"/>
    </xf>
    <xf numFmtId="20" fontId="8" fillId="0" borderId="0" xfId="2" applyNumberFormat="1" applyAlignment="1">
      <alignment vertical="center"/>
    </xf>
    <xf numFmtId="173" fontId="8" fillId="0" borderId="0" xfId="2" applyNumberFormat="1" applyAlignment="1">
      <alignment horizontal="center"/>
    </xf>
    <xf numFmtId="173" fontId="8" fillId="0" borderId="7" xfId="2" applyNumberFormat="1" applyBorder="1" applyAlignment="1">
      <alignment horizontal="center"/>
    </xf>
    <xf numFmtId="20" fontId="11" fillId="0" borderId="0" xfId="0" applyNumberFormat="1" applyFont="1"/>
    <xf numFmtId="173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8" fillId="2" borderId="6" xfId="2" applyNumberFormat="1" applyFill="1" applyBorder="1" applyAlignment="1">
      <alignment horizontal="right" vertical="center"/>
    </xf>
    <xf numFmtId="20" fontId="8" fillId="2" borderId="0" xfId="2" applyNumberFormat="1" applyFill="1" applyAlignment="1">
      <alignment horizontal="right" vertical="center"/>
    </xf>
    <xf numFmtId="20" fontId="8" fillId="2" borderId="7" xfId="2" applyNumberFormat="1" applyFill="1" applyBorder="1" applyAlignment="1">
      <alignment horizontal="right" vertical="center"/>
    </xf>
    <xf numFmtId="20" fontId="8" fillId="0" borderId="34" xfId="2" applyNumberFormat="1" applyBorder="1" applyAlignment="1">
      <alignment horizontal="right" vertical="center"/>
    </xf>
    <xf numFmtId="20" fontId="8" fillId="0" borderId="35" xfId="2" applyNumberFormat="1" applyBorder="1" applyAlignment="1">
      <alignment horizontal="right" vertical="center"/>
    </xf>
    <xf numFmtId="20" fontId="8" fillId="0" borderId="36" xfId="2" applyNumberFormat="1" applyBorder="1" applyAlignment="1">
      <alignment horizontal="right" vertical="center"/>
    </xf>
    <xf numFmtId="172" fontId="8" fillId="11" borderId="16" xfId="2" applyNumberFormat="1" applyFill="1" applyBorder="1"/>
    <xf numFmtId="172" fontId="8" fillId="11" borderId="33" xfId="2" applyNumberFormat="1" applyFill="1" applyBorder="1"/>
    <xf numFmtId="172" fontId="8" fillId="3" borderId="33" xfId="2" applyNumberFormat="1" applyFill="1" applyBorder="1"/>
    <xf numFmtId="172" fontId="8" fillId="10" borderId="33" xfId="2" applyNumberFormat="1" applyFill="1" applyBorder="1"/>
    <xf numFmtId="172" fontId="8" fillId="0" borderId="33" xfId="2" applyNumberFormat="1" applyBorder="1"/>
    <xf numFmtId="172" fontId="8" fillId="0" borderId="46" xfId="2" applyNumberFormat="1" applyBorder="1"/>
    <xf numFmtId="166" fontId="4" fillId="0" borderId="5" xfId="2" applyFont="1" applyBorder="1" applyAlignment="1">
      <alignment horizontal="center" vertical="center"/>
    </xf>
    <xf numFmtId="168" fontId="4" fillId="0" borderId="0" xfId="2" applyNumberFormat="1" applyFont="1" applyAlignment="1">
      <alignment horizontal="center" vertical="center"/>
    </xf>
    <xf numFmtId="166" fontId="4" fillId="0" borderId="0" xfId="2" applyFont="1" applyAlignment="1">
      <alignment vertical="center"/>
    </xf>
    <xf numFmtId="172" fontId="4" fillId="0" borderId="44" xfId="2" applyNumberFormat="1" applyFont="1" applyBorder="1" applyAlignment="1">
      <alignment horizontal="center" vertical="center" textRotation="90"/>
    </xf>
    <xf numFmtId="172" fontId="4" fillId="0" borderId="35" xfId="2" applyNumberFormat="1" applyFont="1" applyBorder="1" applyAlignment="1">
      <alignment horizontal="center" vertical="center" textRotation="90"/>
    </xf>
    <xf numFmtId="172" fontId="4" fillId="0" borderId="34" xfId="2" applyNumberFormat="1" applyFont="1" applyBorder="1" applyAlignment="1">
      <alignment horizontal="center" vertical="center" textRotation="90"/>
    </xf>
    <xf numFmtId="172" fontId="4" fillId="0" borderId="27" xfId="2" applyNumberFormat="1" applyFont="1" applyBorder="1" applyAlignment="1">
      <alignment horizontal="center" vertical="center" textRotation="90"/>
    </xf>
    <xf numFmtId="166" fontId="4" fillId="0" borderId="0" xfId="2" applyFont="1" applyAlignment="1">
      <alignment horizontal="center" vertical="center"/>
    </xf>
    <xf numFmtId="166" fontId="4" fillId="0" borderId="7" xfId="2" applyFont="1" applyBorder="1" applyAlignment="1">
      <alignment vertical="center"/>
    </xf>
    <xf numFmtId="172" fontId="3" fillId="0" borderId="0" xfId="0" applyNumberFormat="1" applyFont="1"/>
    <xf numFmtId="3" fontId="3" fillId="0" borderId="0" xfId="0" applyNumberFormat="1" applyFont="1" applyAlignment="1">
      <alignment horizontal="right"/>
    </xf>
    <xf numFmtId="166" fontId="10" fillId="0" borderId="0" xfId="0" applyFont="1" applyAlignment="1">
      <alignment horizontal="center" vertical="center"/>
    </xf>
    <xf numFmtId="17" fontId="10" fillId="0" borderId="0" xfId="0" applyNumberFormat="1" applyFont="1" applyAlignment="1">
      <alignment horizontal="center" vertical="center"/>
    </xf>
    <xf numFmtId="172" fontId="10" fillId="0" borderId="0" xfId="0" applyNumberFormat="1" applyFont="1" applyAlignment="1">
      <alignment horizontal="center"/>
    </xf>
    <xf numFmtId="172" fontId="11" fillId="0" borderId="0" xfId="0" applyNumberFormat="1" applyFont="1"/>
    <xf numFmtId="172" fontId="10" fillId="0" borderId="0" xfId="0" applyNumberFormat="1" applyFont="1"/>
    <xf numFmtId="171" fontId="10" fillId="0" borderId="0" xfId="0" applyNumberFormat="1" applyFont="1" applyAlignment="1">
      <alignment horizontal="right" vertical="center"/>
    </xf>
    <xf numFmtId="166" fontId="11" fillId="0" borderId="0" xfId="0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3" xfId="0" applyNumberFormat="1" applyFont="1" applyBorder="1" applyAlignment="1">
      <alignment horizontal="right"/>
    </xf>
    <xf numFmtId="166" fontId="10" fillId="0" borderId="0" xfId="0" applyFont="1"/>
    <xf numFmtId="171" fontId="10" fillId="5" borderId="14" xfId="0" applyNumberFormat="1" applyFont="1" applyFill="1" applyBorder="1" applyAlignment="1">
      <alignment horizontal="right" vertical="center"/>
    </xf>
    <xf numFmtId="171" fontId="11" fillId="0" borderId="0" xfId="0" applyNumberFormat="1" applyFont="1" applyAlignment="1">
      <alignment horizontal="right" vertical="center"/>
    </xf>
    <xf numFmtId="166" fontId="9" fillId="12" borderId="0" xfId="0" applyFont="1" applyFill="1" applyAlignment="1">
      <alignment horizontal="right" vertical="center"/>
    </xf>
    <xf numFmtId="166" fontId="9" fillId="11" borderId="39" xfId="0" applyFont="1" applyFill="1" applyBorder="1"/>
    <xf numFmtId="171" fontId="10" fillId="2" borderId="47" xfId="0" applyNumberFormat="1" applyFont="1" applyFill="1" applyBorder="1"/>
    <xf numFmtId="166" fontId="10" fillId="11" borderId="28" xfId="0" applyFont="1" applyFill="1" applyBorder="1" applyAlignment="1">
      <alignment horizontal="center"/>
    </xf>
    <xf numFmtId="166" fontId="10" fillId="11" borderId="45" xfId="0" applyFont="1" applyFill="1" applyBorder="1" applyAlignment="1">
      <alignment horizontal="center" vertical="center"/>
    </xf>
    <xf numFmtId="171" fontId="10" fillId="11" borderId="47" xfId="0" applyNumberFormat="1" applyFont="1" applyFill="1" applyBorder="1"/>
    <xf numFmtId="171" fontId="10" fillId="12" borderId="47" xfId="0" applyNumberFormat="1" applyFont="1" applyFill="1" applyBorder="1"/>
    <xf numFmtId="166" fontId="11" fillId="12" borderId="28" xfId="0" applyFont="1" applyFill="1" applyBorder="1" applyAlignment="1">
      <alignment horizontal="right"/>
    </xf>
    <xf numFmtId="171" fontId="11" fillId="12" borderId="21" xfId="0" applyNumberFormat="1" applyFont="1" applyFill="1" applyBorder="1"/>
    <xf numFmtId="166" fontId="11" fillId="11" borderId="43" xfId="0" applyFont="1" applyFill="1" applyBorder="1" applyAlignment="1">
      <alignment horizontal="right"/>
    </xf>
    <xf numFmtId="171" fontId="11" fillId="11" borderId="24" xfId="0" applyNumberFormat="1" applyFont="1" applyFill="1" applyBorder="1"/>
    <xf numFmtId="166" fontId="10" fillId="2" borderId="44" xfId="0" applyFont="1" applyFill="1" applyBorder="1" applyAlignment="1">
      <alignment horizontal="right"/>
    </xf>
    <xf numFmtId="17" fontId="10" fillId="5" borderId="0" xfId="0" applyNumberFormat="1" applyFont="1" applyFill="1" applyAlignment="1">
      <alignment horizontal="center" vertical="center"/>
    </xf>
    <xf numFmtId="17" fontId="10" fillId="5" borderId="3" xfId="0" applyNumberFormat="1" applyFont="1" applyFill="1" applyBorder="1" applyAlignment="1">
      <alignment horizontal="center" vertical="center"/>
    </xf>
    <xf numFmtId="166" fontId="11" fillId="5" borderId="0" xfId="0" applyFont="1" applyFill="1"/>
    <xf numFmtId="166" fontId="10" fillId="5" borderId="0" xfId="0" applyFont="1" applyFill="1" applyAlignment="1">
      <alignment horizontal="center" vertical="center"/>
    </xf>
    <xf numFmtId="171" fontId="10" fillId="5" borderId="0" xfId="0" applyNumberFormat="1" applyFont="1" applyFill="1" applyAlignment="1">
      <alignment horizontal="right" vertical="center"/>
    </xf>
    <xf numFmtId="171" fontId="10" fillId="5" borderId="0" xfId="0" applyNumberFormat="1" applyFont="1" applyFill="1"/>
    <xf numFmtId="17" fontId="10" fillId="5" borderId="40" xfId="0" applyNumberFormat="1" applyFont="1" applyFill="1" applyBorder="1" applyAlignment="1">
      <alignment horizontal="left" vertical="center"/>
    </xf>
    <xf numFmtId="166" fontId="11" fillId="5" borderId="37" xfId="0" applyFont="1" applyFill="1" applyBorder="1" applyAlignment="1">
      <alignment horizontal="right" vertical="center"/>
    </xf>
    <xf numFmtId="166" fontId="11" fillId="5" borderId="48" xfId="0" applyFont="1" applyFill="1" applyBorder="1"/>
    <xf numFmtId="166" fontId="11" fillId="5" borderId="41" xfId="0" applyFont="1" applyFill="1" applyBorder="1" applyAlignment="1">
      <alignment horizontal="right"/>
    </xf>
    <xf numFmtId="166" fontId="11" fillId="5" borderId="39" xfId="0" applyFont="1" applyFill="1" applyBorder="1"/>
    <xf numFmtId="171" fontId="10" fillId="5" borderId="31" xfId="0" applyNumberFormat="1" applyFont="1" applyFill="1" applyBorder="1" applyAlignment="1">
      <alignment horizontal="right" vertical="center"/>
    </xf>
    <xf numFmtId="171" fontId="11" fillId="5" borderId="23" xfId="0" applyNumberFormat="1" applyFont="1" applyFill="1" applyBorder="1" applyAlignment="1">
      <alignment horizontal="right" vertical="center"/>
    </xf>
    <xf numFmtId="171" fontId="11" fillId="5" borderId="49" xfId="0" applyNumberFormat="1" applyFont="1" applyFill="1" applyBorder="1" applyAlignment="1">
      <alignment horizontal="right" vertical="center"/>
    </xf>
    <xf numFmtId="17" fontId="10" fillId="5" borderId="37" xfId="0" applyNumberFormat="1" applyFont="1" applyFill="1" applyBorder="1" applyAlignment="1">
      <alignment horizontal="left" vertical="center"/>
    </xf>
    <xf numFmtId="171" fontId="11" fillId="5" borderId="42" xfId="0" applyNumberFormat="1" applyFont="1" applyFill="1" applyBorder="1" applyAlignment="1">
      <alignment horizontal="right" vertical="center"/>
    </xf>
    <xf numFmtId="166" fontId="10" fillId="5" borderId="29" xfId="0" applyFont="1" applyFill="1" applyBorder="1" applyAlignment="1">
      <alignment horizontal="center" vertical="center"/>
    </xf>
    <xf numFmtId="166" fontId="11" fillId="5" borderId="41" xfId="0" applyFont="1" applyFill="1" applyBorder="1" applyAlignment="1">
      <alignment horizontal="right" vertical="center"/>
    </xf>
    <xf numFmtId="171" fontId="10" fillId="5" borderId="23" xfId="0" applyNumberFormat="1" applyFont="1" applyFill="1" applyBorder="1" applyAlignment="1">
      <alignment horizontal="right" vertical="center"/>
    </xf>
    <xf numFmtId="166" fontId="11" fillId="5" borderId="51" xfId="0" applyFont="1" applyFill="1" applyBorder="1" applyAlignment="1">
      <alignment horizontal="right" vertical="center"/>
    </xf>
    <xf numFmtId="171" fontId="11" fillId="5" borderId="6" xfId="0" applyNumberFormat="1" applyFont="1" applyFill="1" applyBorder="1"/>
    <xf numFmtId="171" fontId="11" fillId="5" borderId="7" xfId="0" applyNumberFormat="1" applyFont="1" applyFill="1" applyBorder="1"/>
    <xf numFmtId="171" fontId="11" fillId="5" borderId="24" xfId="0" applyNumberFormat="1" applyFont="1" applyFill="1" applyBorder="1"/>
    <xf numFmtId="166" fontId="11" fillId="5" borderId="45" xfId="0" applyFont="1" applyFill="1" applyBorder="1" applyAlignment="1">
      <alignment horizontal="right" vertical="center"/>
    </xf>
    <xf numFmtId="166" fontId="11" fillId="5" borderId="43" xfId="0" applyFont="1" applyFill="1" applyBorder="1"/>
    <xf numFmtId="166" fontId="10" fillId="5" borderId="19" xfId="0" applyFont="1" applyFill="1" applyBorder="1" applyAlignment="1">
      <alignment horizontal="center" vertical="center"/>
    </xf>
    <xf numFmtId="166" fontId="10" fillId="5" borderId="20" xfId="0" applyFont="1" applyFill="1" applyBorder="1" applyAlignment="1">
      <alignment horizontal="center" vertical="center"/>
    </xf>
    <xf numFmtId="166" fontId="11" fillId="5" borderId="21" xfId="0" applyFont="1" applyFill="1" applyBorder="1"/>
    <xf numFmtId="171" fontId="10" fillId="5" borderId="13" xfId="0" applyNumberFormat="1" applyFont="1" applyFill="1" applyBorder="1"/>
    <xf numFmtId="171" fontId="10" fillId="5" borderId="15" xfId="0" applyNumberFormat="1" applyFont="1" applyFill="1" applyBorder="1"/>
    <xf numFmtId="171" fontId="10" fillId="5" borderId="50" xfId="0" applyNumberFormat="1" applyFont="1" applyFill="1" applyBorder="1" applyAlignment="1">
      <alignment horizontal="right" vertical="center"/>
    </xf>
    <xf numFmtId="166" fontId="11" fillId="5" borderId="44" xfId="0" applyFont="1" applyFill="1" applyBorder="1"/>
    <xf numFmtId="171" fontId="10" fillId="5" borderId="25" xfId="0" applyNumberFormat="1" applyFont="1" applyFill="1" applyBorder="1"/>
    <xf numFmtId="171" fontId="10" fillId="5" borderId="52" xfId="0" applyNumberFormat="1" applyFont="1" applyFill="1" applyBorder="1"/>
    <xf numFmtId="17" fontId="11" fillId="5" borderId="28" xfId="0" applyNumberFormat="1" applyFont="1" applyFill="1" applyBorder="1" applyAlignment="1">
      <alignment horizontal="center" vertical="center"/>
    </xf>
    <xf numFmtId="171" fontId="11" fillId="5" borderId="29" xfId="0" applyNumberFormat="1" applyFont="1" applyFill="1" applyBorder="1"/>
    <xf numFmtId="171" fontId="11" fillId="5" borderId="21" xfId="0" applyNumberFormat="1" applyFont="1" applyFill="1" applyBorder="1"/>
    <xf numFmtId="17" fontId="11" fillId="5" borderId="45" xfId="0" applyNumberFormat="1" applyFont="1" applyFill="1" applyBorder="1" applyAlignment="1">
      <alignment horizontal="center" vertical="center"/>
    </xf>
    <xf numFmtId="171" fontId="11" fillId="5" borderId="0" xfId="0" applyNumberFormat="1" applyFont="1" applyFill="1"/>
    <xf numFmtId="17" fontId="11" fillId="5" borderId="43" xfId="0" applyNumberFormat="1" applyFont="1" applyFill="1" applyBorder="1" applyAlignment="1">
      <alignment horizontal="center" vertical="center"/>
    </xf>
    <xf numFmtId="171" fontId="11" fillId="5" borderId="3" xfId="0" applyNumberFormat="1" applyFont="1" applyFill="1" applyBorder="1"/>
    <xf numFmtId="171" fontId="10" fillId="5" borderId="30" xfId="0" applyNumberFormat="1" applyFont="1" applyFill="1" applyBorder="1"/>
    <xf numFmtId="171" fontId="10" fillId="5" borderId="35" xfId="0" applyNumberFormat="1" applyFont="1" applyFill="1" applyBorder="1"/>
    <xf numFmtId="166" fontId="11" fillId="5" borderId="27" xfId="0" applyFont="1" applyFill="1" applyBorder="1"/>
    <xf numFmtId="20" fontId="8" fillId="0" borderId="6" xfId="2" applyNumberFormat="1" applyBorder="1"/>
    <xf numFmtId="20" fontId="8" fillId="0" borderId="0" xfId="2" applyNumberFormat="1"/>
    <xf numFmtId="20" fontId="8" fillId="0" borderId="7" xfId="2" applyNumberFormat="1" applyBorder="1"/>
    <xf numFmtId="166" fontId="11" fillId="5" borderId="48" xfId="0" applyFont="1" applyFill="1" applyBorder="1" applyAlignment="1">
      <alignment horizontal="right" vertical="center"/>
    </xf>
    <xf numFmtId="166" fontId="11" fillId="5" borderId="38" xfId="0" applyFont="1" applyFill="1" applyBorder="1" applyAlignment="1">
      <alignment horizontal="right" vertical="center"/>
    </xf>
    <xf numFmtId="164" fontId="2" fillId="0" borderId="0" xfId="0" applyNumberFormat="1" applyFont="1"/>
    <xf numFmtId="172" fontId="11" fillId="0" borderId="0" xfId="0" applyNumberFormat="1" applyFont="1" applyAlignment="1">
      <alignment horizontal="center"/>
    </xf>
    <xf numFmtId="20" fontId="7" fillId="2" borderId="7" xfId="2" applyNumberFormat="1" applyFont="1" applyFill="1" applyBorder="1" applyAlignment="1">
      <alignment horizontal="right" vertical="center"/>
    </xf>
    <xf numFmtId="173" fontId="2" fillId="7" borderId="0" xfId="0" applyNumberFormat="1" applyFont="1" applyFill="1" applyAlignment="1">
      <alignment horizontal="center" vertical="center"/>
    </xf>
    <xf numFmtId="166" fontId="13" fillId="0" borderId="0" xfId="0" applyFont="1" applyAlignment="1">
      <alignment vertical="center"/>
    </xf>
    <xf numFmtId="166" fontId="13" fillId="0" borderId="24" xfId="0" applyFont="1" applyBorder="1" applyAlignment="1">
      <alignment vertical="center"/>
    </xf>
    <xf numFmtId="3" fontId="3" fillId="0" borderId="0" xfId="0" applyNumberFormat="1" applyFont="1"/>
    <xf numFmtId="167" fontId="2" fillId="0" borderId="0" xfId="0" applyNumberFormat="1" applyFont="1"/>
    <xf numFmtId="3" fontId="2" fillId="0" borderId="14" xfId="0" applyNumberFormat="1" applyFont="1" applyBorder="1"/>
    <xf numFmtId="3" fontId="2" fillId="0" borderId="3" xfId="0" applyNumberFormat="1" applyFont="1" applyBorder="1"/>
    <xf numFmtId="167" fontId="2" fillId="0" borderId="3" xfId="0" applyNumberFormat="1" applyFont="1" applyBorder="1"/>
    <xf numFmtId="20" fontId="3" fillId="4" borderId="17" xfId="0" applyNumberFormat="1" applyFont="1" applyFill="1" applyBorder="1"/>
    <xf numFmtId="1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" fontId="8" fillId="0" borderId="6" xfId="2" applyNumberFormat="1" applyBorder="1" applyAlignment="1">
      <alignment horizontal="center"/>
    </xf>
    <xf numFmtId="171" fontId="11" fillId="2" borderId="0" xfId="0" applyNumberFormat="1" applyFont="1" applyFill="1"/>
    <xf numFmtId="1" fontId="11" fillId="5" borderId="37" xfId="0" applyNumberFormat="1" applyFont="1" applyFill="1" applyBorder="1" applyAlignment="1">
      <alignment horizontal="right" vertical="center"/>
    </xf>
    <xf numFmtId="4" fontId="11" fillId="0" borderId="3" xfId="0" applyNumberFormat="1" applyFont="1" applyBorder="1"/>
    <xf numFmtId="4" fontId="11" fillId="0" borderId="34" xfId="0" applyNumberFormat="1" applyFont="1" applyBorder="1"/>
    <xf numFmtId="4" fontId="11" fillId="0" borderId="35" xfId="0" applyNumberFormat="1" applyFont="1" applyBorder="1"/>
    <xf numFmtId="4" fontId="11" fillId="0" borderId="0" xfId="0" applyNumberFormat="1" applyFont="1"/>
    <xf numFmtId="1" fontId="11" fillId="5" borderId="48" xfId="0" applyNumberFormat="1" applyFont="1" applyFill="1" applyBorder="1" applyAlignment="1">
      <alignment horizontal="right" vertical="center"/>
    </xf>
    <xf numFmtId="1" fontId="11" fillId="5" borderId="38" xfId="0" applyNumberFormat="1" applyFont="1" applyFill="1" applyBorder="1" applyAlignment="1">
      <alignment horizontal="right" vertical="center"/>
    </xf>
    <xf numFmtId="4" fontId="8" fillId="0" borderId="0" xfId="2" applyNumberFormat="1" applyAlignment="1">
      <alignment horizontal="center"/>
    </xf>
    <xf numFmtId="4" fontId="4" fillId="0" borderId="0" xfId="2" applyNumberFormat="1" applyFont="1" applyAlignment="1">
      <alignment horizontal="center" vertical="center"/>
    </xf>
    <xf numFmtId="166" fontId="12" fillId="0" borderId="21" xfId="0" applyFont="1" applyBorder="1" applyAlignment="1">
      <alignment vertical="center" wrapText="1"/>
    </xf>
    <xf numFmtId="171" fontId="10" fillId="5" borderId="3" xfId="0" applyNumberFormat="1" applyFont="1" applyFill="1" applyBorder="1"/>
    <xf numFmtId="166" fontId="11" fillId="5" borderId="35" xfId="0" applyFont="1" applyFill="1" applyBorder="1"/>
    <xf numFmtId="171" fontId="11" fillId="5" borderId="28" xfId="0" applyNumberFormat="1" applyFont="1" applyFill="1" applyBorder="1"/>
    <xf numFmtId="171" fontId="11" fillId="5" borderId="45" xfId="0" applyNumberFormat="1" applyFont="1" applyFill="1" applyBorder="1"/>
    <xf numFmtId="171" fontId="11" fillId="5" borderId="43" xfId="0" applyNumberFormat="1" applyFont="1" applyFill="1" applyBorder="1"/>
    <xf numFmtId="20" fontId="2" fillId="9" borderId="3" xfId="0" applyNumberFormat="1" applyFont="1" applyFill="1" applyBorder="1"/>
    <xf numFmtId="4" fontId="2" fillId="9" borderId="3" xfId="0" applyNumberFormat="1" applyFont="1" applyFill="1" applyBorder="1"/>
    <xf numFmtId="167" fontId="2" fillId="7" borderId="0" xfId="0" applyNumberFormat="1" applyFont="1" applyFill="1"/>
    <xf numFmtId="171" fontId="10" fillId="0" borderId="30" xfId="0" applyNumberFormat="1" applyFont="1" applyBorder="1" applyAlignment="1">
      <alignment horizontal="right" vertical="center"/>
    </xf>
    <xf numFmtId="14" fontId="14" fillId="0" borderId="32" xfId="0" applyNumberFormat="1" applyFont="1" applyBorder="1" applyAlignment="1">
      <alignment vertical="center"/>
    </xf>
    <xf numFmtId="3" fontId="14" fillId="0" borderId="25" xfId="0" applyNumberFormat="1" applyFont="1" applyBorder="1" applyAlignment="1">
      <alignment horizontal="right" vertical="center"/>
    </xf>
    <xf numFmtId="164" fontId="14" fillId="0" borderId="26" xfId="0" applyNumberFormat="1" applyFont="1" applyBorder="1" applyAlignment="1">
      <alignment horizontal="left" vertical="center"/>
    </xf>
    <xf numFmtId="166" fontId="4" fillId="0" borderId="14" xfId="0" applyFont="1" applyBorder="1" applyAlignment="1">
      <alignment horizontal="center" vertical="center"/>
    </xf>
    <xf numFmtId="1" fontId="3" fillId="4" borderId="14" xfId="0" applyNumberFormat="1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/>
    <xf numFmtId="1" fontId="2" fillId="0" borderId="0" xfId="0" applyNumberFormat="1" applyFont="1"/>
    <xf numFmtId="1" fontId="2" fillId="0" borderId="3" xfId="0" applyNumberFormat="1" applyFont="1" applyBorder="1"/>
    <xf numFmtId="1" fontId="3" fillId="0" borderId="0" xfId="0" applyNumberFormat="1" applyFont="1"/>
    <xf numFmtId="1" fontId="3" fillId="4" borderId="17" xfId="0" applyNumberFormat="1" applyFont="1" applyFill="1" applyBorder="1"/>
    <xf numFmtId="171" fontId="10" fillId="5" borderId="44" xfId="0" applyNumberFormat="1" applyFont="1" applyFill="1" applyBorder="1"/>
    <xf numFmtId="3" fontId="2" fillId="0" borderId="3" xfId="0" quotePrefix="1" applyNumberFormat="1" applyFont="1" applyBorder="1" applyAlignment="1">
      <alignment horizontal="right"/>
    </xf>
    <xf numFmtId="20" fontId="2" fillId="9" borderId="3" xfId="0" quotePrefix="1" applyNumberFormat="1" applyFont="1" applyFill="1" applyBorder="1" applyAlignment="1">
      <alignment horizontal="center"/>
    </xf>
    <xf numFmtId="174" fontId="2" fillId="0" borderId="0" xfId="0" applyNumberFormat="1" applyFont="1" applyAlignment="1">
      <alignment horizontal="center" vertical="center"/>
    </xf>
    <xf numFmtId="174" fontId="2" fillId="0" borderId="3" xfId="0" applyNumberFormat="1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167" fontId="2" fillId="7" borderId="0" xfId="0" applyNumberFormat="1" applyFont="1" applyFill="1" applyAlignment="1">
      <alignment horizontal="right"/>
    </xf>
    <xf numFmtId="16" fontId="7" fillId="0" borderId="0" xfId="2" applyNumberFormat="1" applyFont="1" applyAlignment="1">
      <alignment vertical="center"/>
    </xf>
    <xf numFmtId="4" fontId="8" fillId="0" borderId="0" xfId="2" applyNumberFormat="1" applyAlignment="1">
      <alignment vertical="center"/>
    </xf>
    <xf numFmtId="20" fontId="7" fillId="0" borderId="6" xfId="2" applyNumberFormat="1" applyFont="1" applyBorder="1" applyAlignment="1">
      <alignment horizontal="left" vertical="center"/>
    </xf>
    <xf numFmtId="20" fontId="7" fillId="0" borderId="0" xfId="2" applyNumberFormat="1" applyFont="1" applyAlignment="1">
      <alignment vertical="center"/>
    </xf>
    <xf numFmtId="166" fontId="4" fillId="0" borderId="5" xfId="0" applyFont="1" applyBorder="1" applyAlignment="1">
      <alignment horizontal="center" vertical="center"/>
    </xf>
    <xf numFmtId="166" fontId="5" fillId="0" borderId="8" xfId="1" applyBorder="1" applyAlignment="1" applyProtection="1">
      <alignment vertical="center" wrapText="1"/>
    </xf>
    <xf numFmtId="166" fontId="2" fillId="0" borderId="6" xfId="0" applyFont="1" applyBorder="1" applyAlignment="1">
      <alignment horizontal="center" vertical="center" wrapText="1"/>
    </xf>
    <xf numFmtId="166" fontId="2" fillId="0" borderId="5" xfId="0" applyFont="1" applyBorder="1" applyAlignment="1">
      <alignment horizontal="center" vertical="center" wrapText="1"/>
    </xf>
    <xf numFmtId="166" fontId="2" fillId="0" borderId="0" xfId="0" applyFont="1" applyAlignment="1">
      <alignment vertical="center"/>
    </xf>
    <xf numFmtId="166" fontId="2" fillId="0" borderId="8" xfId="0" applyFont="1" applyBorder="1" applyAlignment="1">
      <alignment horizontal="center" vertical="center"/>
    </xf>
    <xf numFmtId="166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168" fontId="2" fillId="0" borderId="8" xfId="0" applyNumberFormat="1" applyFont="1" applyBorder="1" applyAlignment="1">
      <alignment horizontal="center" vertical="center" wrapText="1"/>
    </xf>
    <xf numFmtId="166" fontId="2" fillId="0" borderId="8" xfId="0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14" fontId="2" fillId="0" borderId="8" xfId="0" applyNumberFormat="1" applyFont="1" applyBorder="1" applyAlignment="1">
      <alignment vertical="center" wrapText="1"/>
    </xf>
    <xf numFmtId="166" fontId="2" fillId="0" borderId="8" xfId="0" applyFont="1" applyBorder="1" applyAlignment="1">
      <alignment vertical="center"/>
    </xf>
    <xf numFmtId="166" fontId="2" fillId="0" borderId="8" xfId="0" quotePrefix="1" applyFont="1" applyBorder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6" fontId="2" fillId="0" borderId="0" xfId="0" applyFont="1" applyAlignment="1">
      <alignment vertical="center" wrapText="1"/>
    </xf>
    <xf numFmtId="166" fontId="11" fillId="0" borderId="30" xfId="0" applyFont="1" applyBorder="1"/>
    <xf numFmtId="4" fontId="11" fillId="0" borderId="13" xfId="0" applyNumberFormat="1" applyFont="1" applyBorder="1"/>
    <xf numFmtId="4" fontId="11" fillId="0" borderId="14" xfId="0" applyNumberFormat="1" applyFont="1" applyBorder="1"/>
    <xf numFmtId="4" fontId="11" fillId="0" borderId="15" xfId="0" applyNumberFormat="1" applyFont="1" applyBorder="1"/>
    <xf numFmtId="20" fontId="11" fillId="0" borderId="14" xfId="0" applyNumberFormat="1" applyFont="1" applyBorder="1"/>
    <xf numFmtId="20" fontId="11" fillId="0" borderId="15" xfId="0" applyNumberFormat="1" applyFont="1" applyBorder="1"/>
    <xf numFmtId="20" fontId="11" fillId="0" borderId="7" xfId="0" applyNumberFormat="1" applyFont="1" applyBorder="1"/>
    <xf numFmtId="172" fontId="10" fillId="0" borderId="0" xfId="0" applyNumberFormat="1" applyFont="1" applyAlignment="1">
      <alignment horizontal="right"/>
    </xf>
    <xf numFmtId="166" fontId="10" fillId="0" borderId="13" xfId="0" applyFont="1" applyBorder="1" applyAlignment="1">
      <alignment horizontal="right"/>
    </xf>
    <xf numFmtId="4" fontId="10" fillId="0" borderId="14" xfId="0" applyNumberFormat="1" applyFont="1" applyBorder="1"/>
    <xf numFmtId="4" fontId="10" fillId="0" borderId="15" xfId="0" applyNumberFormat="1" applyFont="1" applyBorder="1"/>
    <xf numFmtId="166" fontId="10" fillId="0" borderId="2" xfId="0" applyFont="1" applyBorder="1"/>
    <xf numFmtId="4" fontId="10" fillId="0" borderId="3" xfId="0" applyNumberFormat="1" applyFont="1" applyBorder="1"/>
    <xf numFmtId="166" fontId="10" fillId="0" borderId="3" xfId="0" applyFont="1" applyBorder="1"/>
    <xf numFmtId="172" fontId="10" fillId="0" borderId="3" xfId="0" applyNumberFormat="1" applyFont="1" applyBorder="1"/>
    <xf numFmtId="14" fontId="11" fillId="0" borderId="0" xfId="0" applyNumberFormat="1" applyFont="1"/>
    <xf numFmtId="174" fontId="2" fillId="2" borderId="0" xfId="0" applyNumberFormat="1" applyFont="1" applyFill="1" applyAlignment="1">
      <alignment horizontal="center" vertical="center"/>
    </xf>
    <xf numFmtId="166" fontId="13" fillId="0" borderId="27" xfId="0" applyFont="1" applyBorder="1" applyAlignment="1">
      <alignment vertical="center"/>
    </xf>
    <xf numFmtId="166" fontId="2" fillId="0" borderId="8" xfId="0" applyFont="1" applyBorder="1" applyAlignment="1">
      <alignment horizontal="left" vertical="center" wrapText="1"/>
    </xf>
    <xf numFmtId="168" fontId="2" fillId="9" borderId="8" xfId="0" applyNumberFormat="1" applyFont="1" applyFill="1" applyBorder="1" applyAlignment="1">
      <alignment horizontal="center" vertical="center"/>
    </xf>
    <xf numFmtId="20" fontId="7" fillId="0" borderId="6" xfId="2" quotePrefix="1" applyNumberFormat="1" applyFont="1" applyBorder="1" applyAlignment="1">
      <alignment horizontal="right" vertical="center"/>
    </xf>
    <xf numFmtId="20" fontId="8" fillId="0" borderId="6" xfId="2" applyNumberFormat="1" applyBorder="1" applyAlignment="1">
      <alignment vertical="center"/>
    </xf>
    <xf numFmtId="4" fontId="4" fillId="0" borderId="3" xfId="2" applyNumberFormat="1" applyFont="1" applyBorder="1" applyAlignment="1">
      <alignment horizontal="center"/>
    </xf>
    <xf numFmtId="4" fontId="4" fillId="0" borderId="4" xfId="2" applyNumberFormat="1" applyFont="1" applyBorder="1" applyAlignment="1">
      <alignment horizontal="center"/>
    </xf>
    <xf numFmtId="166" fontId="10" fillId="0" borderId="16" xfId="0" applyFont="1" applyBorder="1" applyAlignment="1">
      <alignment vertical="center"/>
    </xf>
    <xf numFmtId="166" fontId="11" fillId="0" borderId="17" xfId="0" applyFont="1" applyBorder="1"/>
    <xf numFmtId="166" fontId="10" fillId="0" borderId="17" xfId="0" applyFont="1" applyBorder="1" applyAlignment="1">
      <alignment horizontal="center" vertical="center"/>
    </xf>
    <xf numFmtId="3" fontId="11" fillId="0" borderId="13" xfId="0" applyNumberFormat="1" applyFont="1" applyBorder="1"/>
    <xf numFmtId="3" fontId="11" fillId="0" borderId="6" xfId="0" applyNumberFormat="1" applyFont="1" applyBorder="1"/>
    <xf numFmtId="166" fontId="10" fillId="0" borderId="8" xfId="0" applyFont="1" applyBorder="1" applyAlignment="1">
      <alignment horizontal="center"/>
    </xf>
    <xf numFmtId="3" fontId="10" fillId="0" borderId="9" xfId="0" applyNumberFormat="1" applyFont="1" applyBorder="1"/>
    <xf numFmtId="20" fontId="10" fillId="0" borderId="10" xfId="0" applyNumberFormat="1" applyFont="1" applyBorder="1"/>
    <xf numFmtId="20" fontId="10" fillId="0" borderId="11" xfId="0" applyNumberFormat="1" applyFont="1" applyBorder="1"/>
    <xf numFmtId="4" fontId="10" fillId="0" borderId="47" xfId="0" applyNumberFormat="1" applyFont="1" applyBorder="1"/>
    <xf numFmtId="4" fontId="4" fillId="2" borderId="3" xfId="2" applyNumberFormat="1" applyFont="1" applyFill="1" applyBorder="1" applyAlignment="1">
      <alignment horizontal="center"/>
    </xf>
    <xf numFmtId="166" fontId="13" fillId="0" borderId="53" xfId="0" applyFont="1" applyBorder="1" applyAlignment="1">
      <alignment vertical="center"/>
    </xf>
    <xf numFmtId="3" fontId="2" fillId="6" borderId="0" xfId="0" applyNumberFormat="1" applyFont="1" applyFill="1"/>
    <xf numFmtId="169" fontId="2" fillId="4" borderId="17" xfId="0" applyNumberFormat="1" applyFont="1" applyFill="1" applyBorder="1"/>
    <xf numFmtId="164" fontId="3" fillId="0" borderId="0" xfId="0" applyNumberFormat="1" applyFont="1" applyAlignment="1">
      <alignment horizontal="left" vertical="center"/>
    </xf>
    <xf numFmtId="166" fontId="2" fillId="0" borderId="0" xfId="0" applyFont="1" applyAlignment="1">
      <alignment horizontal="left"/>
    </xf>
    <xf numFmtId="169" fontId="2" fillId="0" borderId="0" xfId="0" applyNumberFormat="1" applyFont="1"/>
    <xf numFmtId="172" fontId="2" fillId="0" borderId="0" xfId="0" applyNumberFormat="1" applyFont="1"/>
    <xf numFmtId="20" fontId="7" fillId="0" borderId="0" xfId="0" applyNumberFormat="1" applyFont="1"/>
    <xf numFmtId="1" fontId="7" fillId="0" borderId="0" xfId="0" applyNumberFormat="1" applyFont="1"/>
    <xf numFmtId="3" fontId="7" fillId="0" borderId="0" xfId="0" applyNumberFormat="1" applyFont="1"/>
    <xf numFmtId="20" fontId="8" fillId="0" borderId="13" xfId="2" applyNumberFormat="1" applyBorder="1" applyAlignment="1">
      <alignment vertical="center"/>
    </xf>
    <xf numFmtId="20" fontId="8" fillId="0" borderId="14" xfId="2" applyNumberFormat="1" applyBorder="1" applyAlignment="1">
      <alignment vertical="center"/>
    </xf>
    <xf numFmtId="20" fontId="7" fillId="0" borderId="15" xfId="2" applyNumberFormat="1" applyFont="1" applyBorder="1" applyAlignment="1">
      <alignment vertical="center"/>
    </xf>
    <xf numFmtId="20" fontId="8" fillId="0" borderId="15" xfId="2" applyNumberFormat="1" applyBorder="1" applyAlignment="1">
      <alignment vertical="center"/>
    </xf>
    <xf numFmtId="166" fontId="2" fillId="7" borderId="3" xfId="0" applyFont="1" applyFill="1" applyBorder="1"/>
    <xf numFmtId="171" fontId="11" fillId="0" borderId="0" xfId="0" applyNumberFormat="1" applyFont="1" applyAlignment="1">
      <alignment horizontal="center"/>
    </xf>
    <xf numFmtId="166" fontId="11" fillId="0" borderId="0" xfId="0" applyFont="1" applyAlignment="1">
      <alignment horizontal="center"/>
    </xf>
    <xf numFmtId="166" fontId="13" fillId="0" borderId="41" xfId="0" applyFont="1" applyBorder="1" applyAlignment="1">
      <alignment vertical="center" wrapText="1"/>
    </xf>
    <xf numFmtId="164" fontId="14" fillId="0" borderId="11" xfId="0" applyNumberFormat="1" applyFont="1" applyBorder="1" applyAlignment="1">
      <alignment horizontal="left" vertical="center"/>
    </xf>
    <xf numFmtId="176" fontId="14" fillId="0" borderId="25" xfId="0" applyNumberFormat="1" applyFont="1" applyBorder="1" applyAlignment="1">
      <alignment horizontal="right" vertical="center"/>
    </xf>
    <xf numFmtId="176" fontId="14" fillId="0" borderId="2" xfId="0" applyNumberFormat="1" applyFont="1" applyBorder="1" applyAlignment="1">
      <alignment horizontal="right" vertical="center"/>
    </xf>
    <xf numFmtId="166" fontId="17" fillId="0" borderId="29" xfId="0" applyFont="1" applyBorder="1" applyAlignment="1">
      <alignment horizontal="right" vertical="center"/>
    </xf>
    <xf numFmtId="164" fontId="17" fillId="0" borderId="29" xfId="0" applyNumberFormat="1" applyFont="1" applyBorder="1" applyAlignment="1">
      <alignment horizontal="right" vertical="center"/>
    </xf>
    <xf numFmtId="166" fontId="17" fillId="0" borderId="8" xfId="0" applyFont="1" applyBorder="1" applyAlignment="1">
      <alignment horizontal="right" vertical="center"/>
    </xf>
    <xf numFmtId="166" fontId="17" fillId="0" borderId="8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right" vertical="center"/>
    </xf>
    <xf numFmtId="166" fontId="15" fillId="5" borderId="9" xfId="0" applyFont="1" applyFill="1" applyBorder="1" applyAlignment="1">
      <alignment horizontal="right" vertical="center"/>
    </xf>
    <xf numFmtId="164" fontId="15" fillId="5" borderId="11" xfId="0" applyNumberFormat="1" applyFont="1" applyFill="1" applyBorder="1" applyAlignment="1">
      <alignment horizontal="left" vertical="center"/>
    </xf>
    <xf numFmtId="176" fontId="13" fillId="5" borderId="25" xfId="0" applyNumberFormat="1" applyFont="1" applyFill="1" applyBorder="1" applyAlignment="1">
      <alignment horizontal="right" vertical="center"/>
    </xf>
    <xf numFmtId="177" fontId="14" fillId="0" borderId="26" xfId="0" applyNumberFormat="1" applyFont="1" applyBorder="1" applyAlignment="1">
      <alignment horizontal="left" vertical="center"/>
    </xf>
    <xf numFmtId="177" fontId="14" fillId="0" borderId="4" xfId="0" applyNumberFormat="1" applyFont="1" applyBorder="1" applyAlignment="1">
      <alignment horizontal="left" vertical="center"/>
    </xf>
    <xf numFmtId="177" fontId="12" fillId="5" borderId="26" xfId="0" applyNumberFormat="1" applyFont="1" applyFill="1" applyBorder="1" applyAlignment="1">
      <alignment horizontal="left" vertical="center"/>
    </xf>
    <xf numFmtId="166" fontId="15" fillId="0" borderId="0" xfId="0" applyFont="1" applyAlignment="1">
      <alignment horizontal="right" vertical="center"/>
    </xf>
    <xf numFmtId="166" fontId="3" fillId="2" borderId="0" xfId="0" applyFont="1" applyFill="1"/>
    <xf numFmtId="166" fontId="3" fillId="2" borderId="17" xfId="0" applyFont="1" applyFill="1" applyBorder="1"/>
    <xf numFmtId="166" fontId="2" fillId="2" borderId="3" xfId="0" applyFont="1" applyFill="1" applyBorder="1"/>
    <xf numFmtId="3" fontId="14" fillId="0" borderId="10" xfId="0" applyNumberFormat="1" applyFont="1" applyBorder="1" applyAlignment="1">
      <alignment horizontal="right" vertical="center"/>
    </xf>
    <xf numFmtId="3" fontId="14" fillId="0" borderId="52" xfId="0" applyNumberFormat="1" applyFont="1" applyBorder="1" applyAlignment="1">
      <alignment horizontal="right" vertical="center"/>
    </xf>
    <xf numFmtId="164" fontId="2" fillId="2" borderId="0" xfId="0" applyNumberFormat="1" applyFont="1" applyFill="1" applyAlignment="1">
      <alignment horizontal="center" vertical="center"/>
    </xf>
    <xf numFmtId="166" fontId="3" fillId="4" borderId="15" xfId="0" applyFont="1" applyFill="1" applyBorder="1" applyAlignment="1">
      <alignment horizontal="center" vertical="center"/>
    </xf>
    <xf numFmtId="166" fontId="3" fillId="0" borderId="6" xfId="0" applyFont="1" applyBorder="1"/>
    <xf numFmtId="166" fontId="3" fillId="4" borderId="33" xfId="0" applyFont="1" applyFill="1" applyBorder="1"/>
    <xf numFmtId="165" fontId="3" fillId="4" borderId="13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15" xfId="0" applyNumberFormat="1" applyFont="1" applyBorder="1" applyAlignment="1">
      <alignment horizontal="center"/>
    </xf>
    <xf numFmtId="165" fontId="2" fillId="0" borderId="6" xfId="0" applyNumberFormat="1" applyFont="1" applyBorder="1"/>
    <xf numFmtId="165" fontId="2" fillId="0" borderId="7" xfId="0" applyNumberFormat="1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3" fillId="0" borderId="6" xfId="0" applyNumberFormat="1" applyFont="1" applyBorder="1"/>
    <xf numFmtId="165" fontId="3" fillId="0" borderId="7" xfId="0" applyNumberFormat="1" applyFont="1" applyBorder="1" applyAlignment="1">
      <alignment horizontal="center"/>
    </xf>
    <xf numFmtId="165" fontId="3" fillId="4" borderId="33" xfId="0" applyNumberFormat="1" applyFont="1" applyFill="1" applyBorder="1" applyAlignment="1">
      <alignment horizontal="center" vertical="center"/>
    </xf>
    <xf numFmtId="165" fontId="3" fillId="4" borderId="57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/>
    <xf numFmtId="3" fontId="2" fillId="4" borderId="12" xfId="0" applyNumberFormat="1" applyFont="1" applyFill="1" applyBorder="1"/>
    <xf numFmtId="3" fontId="2" fillId="4" borderId="5" xfId="0" applyNumberFormat="1" applyFont="1" applyFill="1" applyBorder="1"/>
    <xf numFmtId="3" fontId="2" fillId="4" borderId="1" xfId="0" applyNumberFormat="1" applyFont="1" applyFill="1" applyBorder="1"/>
    <xf numFmtId="166" fontId="3" fillId="4" borderId="5" xfId="0" applyFont="1" applyFill="1" applyBorder="1"/>
    <xf numFmtId="3" fontId="3" fillId="4" borderId="55" xfId="0" applyNumberFormat="1" applyFont="1" applyFill="1" applyBorder="1"/>
    <xf numFmtId="3" fontId="3" fillId="4" borderId="5" xfId="0" applyNumberFormat="1" applyFont="1" applyFill="1" applyBorder="1"/>
    <xf numFmtId="166" fontId="3" fillId="4" borderId="12" xfId="0" applyFont="1" applyFill="1" applyBorder="1" applyAlignment="1">
      <alignment horizontal="center" vertical="center"/>
    </xf>
    <xf numFmtId="166" fontId="3" fillId="4" borderId="1" xfId="0" applyFont="1" applyFill="1" applyBorder="1" applyAlignment="1">
      <alignment horizontal="center"/>
    </xf>
    <xf numFmtId="166" fontId="2" fillId="0" borderId="12" xfId="0" applyFont="1" applyBorder="1"/>
    <xf numFmtId="166" fontId="2" fillId="0" borderId="5" xfId="0" applyFont="1" applyBorder="1"/>
    <xf numFmtId="166" fontId="2" fillId="0" borderId="1" xfId="0" applyFont="1" applyBorder="1"/>
    <xf numFmtId="166" fontId="3" fillId="0" borderId="5" xfId="0" applyFont="1" applyBorder="1"/>
    <xf numFmtId="167" fontId="2" fillId="4" borderId="55" xfId="0" applyNumberFormat="1" applyFont="1" applyFill="1" applyBorder="1"/>
    <xf numFmtId="166" fontId="7" fillId="9" borderId="5" xfId="0" applyFont="1" applyFill="1" applyBorder="1"/>
    <xf numFmtId="166" fontId="2" fillId="7" borderId="5" xfId="0" applyFont="1" applyFill="1" applyBorder="1"/>
    <xf numFmtId="167" fontId="2" fillId="0" borderId="5" xfId="0" applyNumberFormat="1" applyFont="1" applyBorder="1"/>
    <xf numFmtId="167" fontId="2" fillId="0" borderId="1" xfId="0" applyNumberFormat="1" applyFont="1" applyBorder="1"/>
    <xf numFmtId="175" fontId="2" fillId="0" borderId="5" xfId="0" applyNumberFormat="1" applyFont="1" applyBorder="1"/>
    <xf numFmtId="166" fontId="2" fillId="7" borderId="1" xfId="0" applyFont="1" applyFill="1" applyBorder="1"/>
    <xf numFmtId="167" fontId="2" fillId="7" borderId="5" xfId="0" applyNumberFormat="1" applyFont="1" applyFill="1" applyBorder="1"/>
    <xf numFmtId="166" fontId="3" fillId="0" borderId="12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173" fontId="3" fillId="7" borderId="5" xfId="0" applyNumberFormat="1" applyFont="1" applyFill="1" applyBorder="1" applyAlignment="1">
      <alignment horizontal="center" vertical="center"/>
    </xf>
    <xf numFmtId="173" fontId="3" fillId="0" borderId="5" xfId="0" applyNumberFormat="1" applyFont="1" applyBorder="1" applyAlignment="1">
      <alignment horizontal="center" vertical="center"/>
    </xf>
    <xf numFmtId="173" fontId="3" fillId="0" borderId="4" xfId="0" applyNumberFormat="1" applyFont="1" applyBorder="1" applyAlignment="1">
      <alignment horizontal="center" vertical="center"/>
    </xf>
    <xf numFmtId="167" fontId="2" fillId="4" borderId="46" xfId="0" applyNumberFormat="1" applyFont="1" applyFill="1" applyBorder="1"/>
    <xf numFmtId="20" fontId="7" fillId="0" borderId="14" xfId="2" applyNumberFormat="1" applyFont="1" applyBorder="1" applyAlignment="1">
      <alignment vertical="center"/>
    </xf>
    <xf numFmtId="167" fontId="2" fillId="2" borderId="0" xfId="0" applyNumberFormat="1" applyFont="1" applyFill="1"/>
    <xf numFmtId="171" fontId="11" fillId="0" borderId="3" xfId="0" applyNumberFormat="1" applyFont="1" applyBorder="1"/>
    <xf numFmtId="166" fontId="11" fillId="0" borderId="13" xfId="0" applyFont="1" applyBorder="1"/>
    <xf numFmtId="171" fontId="11" fillId="0" borderId="14" xfId="0" applyNumberFormat="1" applyFont="1" applyBorder="1"/>
    <xf numFmtId="171" fontId="11" fillId="0" borderId="15" xfId="0" applyNumberFormat="1" applyFont="1" applyBorder="1" applyAlignment="1">
      <alignment horizontal="right"/>
    </xf>
    <xf numFmtId="166" fontId="11" fillId="0" borderId="6" xfId="0" applyFont="1" applyBorder="1"/>
    <xf numFmtId="171" fontId="11" fillId="0" borderId="7" xfId="0" applyNumberFormat="1" applyFont="1" applyBorder="1" applyAlignment="1">
      <alignment horizontal="right"/>
    </xf>
    <xf numFmtId="171" fontId="11" fillId="0" borderId="4" xfId="0" applyNumberFormat="1" applyFont="1" applyBorder="1" applyAlignment="1">
      <alignment horizontal="right"/>
    </xf>
    <xf numFmtId="166" fontId="11" fillId="0" borderId="2" xfId="0" applyFont="1" applyBorder="1"/>
    <xf numFmtId="166" fontId="11" fillId="0" borderId="3" xfId="0" applyFont="1" applyBorder="1"/>
    <xf numFmtId="172" fontId="4" fillId="0" borderId="54" xfId="2" applyNumberFormat="1" applyFont="1" applyBorder="1" applyAlignment="1">
      <alignment horizontal="center"/>
    </xf>
    <xf numFmtId="172" fontId="4" fillId="0" borderId="55" xfId="2" applyNumberFormat="1" applyFont="1" applyBorder="1" applyAlignment="1">
      <alignment horizontal="center"/>
    </xf>
    <xf numFmtId="172" fontId="4" fillId="0" borderId="46" xfId="2" applyNumberFormat="1" applyFont="1" applyBorder="1" applyAlignment="1">
      <alignment horizontal="center"/>
    </xf>
    <xf numFmtId="172" fontId="4" fillId="0" borderId="47" xfId="2" applyNumberFormat="1" applyFont="1" applyBorder="1" applyAlignment="1">
      <alignment horizontal="center"/>
    </xf>
    <xf numFmtId="172" fontId="11" fillId="0" borderId="3" xfId="0" applyNumberFormat="1" applyFont="1" applyBorder="1"/>
    <xf numFmtId="172" fontId="11" fillId="0" borderId="14" xfId="0" applyNumberFormat="1" applyFont="1" applyBorder="1"/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3" fillId="0" borderId="13" xfId="0" applyNumberFormat="1" applyFont="1" applyBorder="1"/>
    <xf numFmtId="164" fontId="3" fillId="0" borderId="15" xfId="0" applyNumberFormat="1" applyFont="1" applyBorder="1" applyAlignment="1">
      <alignment horizontal="left"/>
    </xf>
    <xf numFmtId="173" fontId="3" fillId="7" borderId="6" xfId="0" applyNumberFormat="1" applyFont="1" applyFill="1" applyBorder="1" applyAlignment="1">
      <alignment horizontal="center" vertical="center"/>
    </xf>
    <xf numFmtId="3" fontId="3" fillId="0" borderId="28" xfId="0" applyNumberFormat="1" applyFont="1" applyBorder="1"/>
    <xf numFmtId="164" fontId="3" fillId="0" borderId="21" xfId="0" applyNumberFormat="1" applyFont="1" applyBorder="1" applyAlignment="1">
      <alignment horizontal="left"/>
    </xf>
    <xf numFmtId="166" fontId="3" fillId="0" borderId="16" xfId="0" applyFont="1" applyBorder="1" applyAlignment="1">
      <alignment horizontal="right"/>
    </xf>
    <xf numFmtId="172" fontId="3" fillId="0" borderId="1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3" fontId="2" fillId="7" borderId="0" xfId="0" applyNumberFormat="1" applyFont="1" applyFill="1"/>
    <xf numFmtId="166" fontId="2" fillId="0" borderId="0" xfId="0" applyFont="1" applyAlignment="1">
      <alignment horizontal="center" vertical="center"/>
    </xf>
    <xf numFmtId="4" fontId="2" fillId="0" borderId="5" xfId="0" applyNumberFormat="1" applyFont="1" applyBorder="1"/>
    <xf numFmtId="3" fontId="2" fillId="7" borderId="3" xfId="0" applyNumberFormat="1" applyFont="1" applyFill="1" applyBorder="1"/>
    <xf numFmtId="173" fontId="3" fillId="9" borderId="5" xfId="0" applyNumberFormat="1" applyFont="1" applyFill="1" applyBorder="1" applyAlignment="1">
      <alignment horizontal="center" vertical="center"/>
    </xf>
    <xf numFmtId="4" fontId="2" fillId="7" borderId="5" xfId="0" applyNumberFormat="1" applyFont="1" applyFill="1" applyBorder="1"/>
    <xf numFmtId="166" fontId="9" fillId="0" borderId="58" xfId="0" applyFont="1" applyBorder="1" applyAlignment="1">
      <alignment vertical="center"/>
    </xf>
    <xf numFmtId="166" fontId="17" fillId="0" borderId="59" xfId="0" applyFont="1" applyBorder="1" applyAlignment="1">
      <alignment horizontal="right" vertical="center"/>
    </xf>
    <xf numFmtId="3" fontId="14" fillId="0" borderId="19" xfId="0" applyNumberFormat="1" applyFont="1" applyBorder="1" applyAlignment="1">
      <alignment horizontal="right" vertical="center"/>
    </xf>
    <xf numFmtId="164" fontId="14" fillId="0" borderId="20" xfId="0" applyNumberFormat="1" applyFont="1" applyBorder="1" applyAlignment="1">
      <alignment horizontal="left" vertical="center"/>
    </xf>
    <xf numFmtId="176" fontId="14" fillId="0" borderId="19" xfId="0" applyNumberFormat="1" applyFont="1" applyBorder="1" applyAlignment="1">
      <alignment horizontal="right" vertical="center"/>
    </xf>
    <xf numFmtId="177" fontId="14" fillId="0" borderId="20" xfId="0" applyNumberFormat="1" applyFont="1" applyBorder="1" applyAlignment="1">
      <alignment horizontal="left" vertical="center"/>
    </xf>
    <xf numFmtId="3" fontId="14" fillId="0" borderId="60" xfId="0" applyNumberFormat="1" applyFont="1" applyBorder="1" applyAlignment="1">
      <alignment horizontal="right" vertical="center"/>
    </xf>
    <xf numFmtId="176" fontId="14" fillId="0" borderId="34" xfId="0" applyNumberFormat="1" applyFont="1" applyBorder="1" applyAlignment="1">
      <alignment horizontal="right" vertical="center"/>
    </xf>
    <xf numFmtId="177" fontId="14" fillId="0" borderId="36" xfId="0" applyNumberFormat="1" applyFont="1" applyBorder="1" applyAlignment="1">
      <alignment horizontal="left" vertical="center"/>
    </xf>
    <xf numFmtId="166" fontId="14" fillId="0" borderId="53" xfId="0" applyFont="1" applyBorder="1" applyAlignment="1">
      <alignment vertical="center"/>
    </xf>
    <xf numFmtId="166" fontId="14" fillId="0" borderId="27" xfId="0" applyFont="1" applyBorder="1" applyAlignment="1">
      <alignment vertical="center"/>
    </xf>
    <xf numFmtId="166" fontId="13" fillId="0" borderId="42" xfId="0" applyFont="1" applyBorder="1" applyAlignment="1">
      <alignment vertical="center"/>
    </xf>
    <xf numFmtId="176" fontId="3" fillId="0" borderId="9" xfId="0" applyNumberFormat="1" applyFont="1" applyBorder="1"/>
    <xf numFmtId="177" fontId="3" fillId="0" borderId="11" xfId="0" applyNumberFormat="1" applyFont="1" applyBorder="1" applyAlignment="1">
      <alignment horizontal="left" vertical="center"/>
    </xf>
    <xf numFmtId="166" fontId="2" fillId="0" borderId="0" xfId="0" applyFont="1" applyAlignment="1">
      <alignment horizontal="right"/>
    </xf>
    <xf numFmtId="166" fontId="3" fillId="13" borderId="17" xfId="0" applyFont="1" applyFill="1" applyBorder="1"/>
    <xf numFmtId="178" fontId="11" fillId="0" borderId="56" xfId="0" applyNumberFormat="1" applyFont="1" applyBorder="1" applyAlignment="1">
      <alignment horizontal="right" vertical="center"/>
    </xf>
    <xf numFmtId="178" fontId="11" fillId="0" borderId="61" xfId="0" applyNumberFormat="1" applyFont="1" applyBorder="1" applyAlignment="1">
      <alignment horizontal="right" vertical="center"/>
    </xf>
    <xf numFmtId="178" fontId="11" fillId="0" borderId="62" xfId="0" applyNumberFormat="1" applyFont="1" applyBorder="1" applyAlignment="1">
      <alignment horizontal="right" vertical="center"/>
    </xf>
    <xf numFmtId="178" fontId="11" fillId="0" borderId="47" xfId="0" applyNumberFormat="1" applyFont="1" applyBorder="1" applyAlignment="1">
      <alignment horizontal="right" vertical="center"/>
    </xf>
    <xf numFmtId="14" fontId="14" fillId="0" borderId="63" xfId="0" applyNumberFormat="1" applyFont="1" applyBorder="1" applyAlignment="1">
      <alignment vertical="center"/>
    </xf>
    <xf numFmtId="20" fontId="2" fillId="0" borderId="0" xfId="0" quotePrefix="1" applyNumberFormat="1" applyFont="1"/>
    <xf numFmtId="1" fontId="3" fillId="3" borderId="10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66" fontId="10" fillId="3" borderId="21" xfId="0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24" xfId="0" applyNumberFormat="1" applyFont="1" applyFill="1" applyBorder="1" applyAlignment="1">
      <alignment horizontal="center" vertical="center"/>
    </xf>
    <xf numFmtId="166" fontId="10" fillId="3" borderId="30" xfId="0" quotePrefix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right" vertical="center"/>
    </xf>
    <xf numFmtId="164" fontId="9" fillId="3" borderId="26" xfId="0" applyNumberFormat="1" applyFont="1" applyFill="1" applyBorder="1" applyAlignment="1">
      <alignment horizontal="left" vertical="center"/>
    </xf>
    <xf numFmtId="3" fontId="14" fillId="0" borderId="9" xfId="0" applyNumberFormat="1" applyFont="1" applyBorder="1" applyAlignment="1">
      <alignment horizontal="right" vertical="center"/>
    </xf>
    <xf numFmtId="14" fontId="14" fillId="0" borderId="58" xfId="0" applyNumberFormat="1" applyFont="1" applyBorder="1" applyAlignment="1">
      <alignment vertical="center"/>
    </xf>
    <xf numFmtId="14" fontId="14" fillId="0" borderId="22" xfId="0" applyNumberFormat="1" applyFont="1" applyBorder="1" applyAlignment="1">
      <alignment vertical="center"/>
    </xf>
    <xf numFmtId="166" fontId="9" fillId="5" borderId="51" xfId="0" applyFont="1" applyFill="1" applyBorder="1" applyAlignment="1">
      <alignment horizontal="center" vertical="center"/>
    </xf>
    <xf numFmtId="3" fontId="9" fillId="3" borderId="13" xfId="0" applyNumberFormat="1" applyFont="1" applyFill="1" applyBorder="1" applyAlignment="1">
      <alignment horizontal="right" vertical="center"/>
    </xf>
    <xf numFmtId="164" fontId="9" fillId="3" borderId="15" xfId="0" applyNumberFormat="1" applyFont="1" applyFill="1" applyBorder="1" applyAlignment="1">
      <alignment horizontal="left" vertical="center"/>
    </xf>
    <xf numFmtId="3" fontId="12" fillId="5" borderId="13" xfId="0" applyNumberFormat="1" applyFont="1" applyFill="1" applyBorder="1" applyAlignment="1">
      <alignment horizontal="right" vertical="center"/>
    </xf>
    <xf numFmtId="164" fontId="12" fillId="5" borderId="15" xfId="0" applyNumberFormat="1" applyFont="1" applyFill="1" applyBorder="1" applyAlignment="1">
      <alignment horizontal="left" vertical="center"/>
    </xf>
    <xf numFmtId="176" fontId="13" fillId="5" borderId="13" xfId="0" applyNumberFormat="1" applyFont="1" applyFill="1" applyBorder="1" applyAlignment="1">
      <alignment horizontal="right" vertical="center"/>
    </xf>
    <xf numFmtId="164" fontId="13" fillId="5" borderId="15" xfId="0" applyNumberFormat="1" applyFont="1" applyFill="1" applyBorder="1" applyAlignment="1">
      <alignment horizontal="left" vertical="center"/>
    </xf>
    <xf numFmtId="176" fontId="14" fillId="0" borderId="9" xfId="0" applyNumberFormat="1" applyFont="1" applyBorder="1" applyAlignment="1">
      <alignment horizontal="right" vertical="center"/>
    </xf>
    <xf numFmtId="177" fontId="14" fillId="0" borderId="11" xfId="0" applyNumberFormat="1" applyFont="1" applyBorder="1" applyAlignment="1">
      <alignment horizontal="left" vertical="center"/>
    </xf>
    <xf numFmtId="3" fontId="12" fillId="5" borderId="24" xfId="0" applyNumberFormat="1" applyFont="1" applyFill="1" applyBorder="1" applyAlignment="1">
      <alignment vertical="center"/>
    </xf>
    <xf numFmtId="166" fontId="2" fillId="2" borderId="5" xfId="0" applyFont="1" applyFill="1" applyBorder="1"/>
    <xf numFmtId="176" fontId="13" fillId="0" borderId="19" xfId="0" applyNumberFormat="1" applyFont="1" applyBorder="1" applyAlignment="1">
      <alignment horizontal="right" vertical="center"/>
    </xf>
    <xf numFmtId="177" fontId="13" fillId="0" borderId="20" xfId="0" applyNumberFormat="1" applyFont="1" applyBorder="1" applyAlignment="1">
      <alignment horizontal="left" vertical="center"/>
    </xf>
    <xf numFmtId="166" fontId="3" fillId="0" borderId="17" xfId="0" applyFont="1" applyBorder="1"/>
    <xf numFmtId="14" fontId="13" fillId="0" borderId="32" xfId="0" applyNumberFormat="1" applyFont="1" applyBorder="1" applyAlignment="1">
      <alignment vertical="center"/>
    </xf>
    <xf numFmtId="3" fontId="13" fillId="0" borderId="25" xfId="0" applyNumberFormat="1" applyFont="1" applyBorder="1" applyAlignment="1">
      <alignment horizontal="right" vertical="center"/>
    </xf>
    <xf numFmtId="164" fontId="13" fillId="0" borderId="26" xfId="0" applyNumberFormat="1" applyFont="1" applyBorder="1" applyAlignment="1">
      <alignment horizontal="left" vertical="center"/>
    </xf>
    <xf numFmtId="3" fontId="13" fillId="0" borderId="52" xfId="0" applyNumberFormat="1" applyFont="1" applyBorder="1" applyAlignment="1">
      <alignment horizontal="right" vertical="center"/>
    </xf>
    <xf numFmtId="176" fontId="13" fillId="0" borderId="34" xfId="0" applyNumberFormat="1" applyFont="1" applyBorder="1" applyAlignment="1">
      <alignment horizontal="right" vertical="center"/>
    </xf>
    <xf numFmtId="177" fontId="13" fillId="0" borderId="36" xfId="0" applyNumberFormat="1" applyFont="1" applyBorder="1" applyAlignment="1">
      <alignment horizontal="left" vertical="center"/>
    </xf>
    <xf numFmtId="3" fontId="13" fillId="0" borderId="60" xfId="0" applyNumberFormat="1" applyFont="1" applyBorder="1" applyAlignment="1">
      <alignment horizontal="right" vertical="center"/>
    </xf>
    <xf numFmtId="164" fontId="13" fillId="0" borderId="20" xfId="0" applyNumberFormat="1" applyFont="1" applyBorder="1" applyAlignment="1">
      <alignment horizontal="left" vertical="center"/>
    </xf>
    <xf numFmtId="14" fontId="13" fillId="0" borderId="64" xfId="0" applyNumberFormat="1" applyFont="1" applyBorder="1" applyAlignment="1">
      <alignment vertical="center"/>
    </xf>
    <xf numFmtId="3" fontId="13" fillId="0" borderId="19" xfId="0" applyNumberFormat="1" applyFont="1" applyBorder="1" applyAlignment="1">
      <alignment horizontal="right" vertical="center"/>
    </xf>
    <xf numFmtId="14" fontId="14" fillId="0" borderId="64" xfId="0" applyNumberFormat="1" applyFont="1" applyBorder="1" applyAlignment="1">
      <alignment vertical="center"/>
    </xf>
    <xf numFmtId="14" fontId="14" fillId="0" borderId="65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73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166" fontId="2" fillId="0" borderId="7" xfId="0" applyFont="1" applyBorder="1" applyAlignment="1">
      <alignment horizontal="center" vertical="center"/>
    </xf>
    <xf numFmtId="166" fontId="3" fillId="0" borderId="6" xfId="0" applyFont="1" applyBorder="1" applyAlignment="1">
      <alignment vertical="center"/>
    </xf>
    <xf numFmtId="166" fontId="2" fillId="0" borderId="6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66" fontId="2" fillId="7" borderId="8" xfId="0" applyFont="1" applyFill="1" applyBorder="1" applyAlignment="1">
      <alignment vertical="center" wrapText="1"/>
    </xf>
    <xf numFmtId="166" fontId="2" fillId="7" borderId="8" xfId="0" applyFont="1" applyFill="1" applyBorder="1" applyAlignment="1">
      <alignment horizontal="center" vertical="center"/>
    </xf>
    <xf numFmtId="166" fontId="2" fillId="6" borderId="8" xfId="0" applyFont="1" applyFill="1" applyBorder="1" applyAlignment="1">
      <alignment horizontal="center" vertical="center"/>
    </xf>
    <xf numFmtId="14" fontId="2" fillId="2" borderId="6" xfId="0" applyNumberFormat="1" applyFont="1" applyFill="1" applyBorder="1"/>
    <xf numFmtId="3" fontId="2" fillId="2" borderId="0" xfId="0" applyNumberFormat="1" applyFont="1" applyFill="1"/>
    <xf numFmtId="166" fontId="2" fillId="2" borderId="0" xfId="0" applyFont="1" applyFill="1" applyAlignment="1">
      <alignment horizontal="center"/>
    </xf>
    <xf numFmtId="2" fontId="2" fillId="2" borderId="0" xfId="0" applyNumberFormat="1" applyFont="1" applyFill="1"/>
    <xf numFmtId="165" fontId="2" fillId="2" borderId="0" xfId="0" applyNumberFormat="1" applyFont="1" applyFill="1"/>
    <xf numFmtId="168" fontId="2" fillId="0" borderId="8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 wrapText="1"/>
    </xf>
    <xf numFmtId="166" fontId="4" fillId="0" borderId="6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20" fontId="8" fillId="0" borderId="6" xfId="2" applyNumberFormat="1" applyBorder="1" applyAlignment="1">
      <alignment horizontal="right" vertical="center"/>
    </xf>
    <xf numFmtId="20" fontId="8" fillId="0" borderId="0" xfId="2" applyNumberFormat="1" applyAlignment="1">
      <alignment horizontal="right" vertical="center"/>
    </xf>
    <xf numFmtId="20" fontId="8" fillId="0" borderId="7" xfId="2" applyNumberFormat="1" applyBorder="1" applyAlignment="1">
      <alignment horizontal="right" vertical="center"/>
    </xf>
    <xf numFmtId="172" fontId="4" fillId="0" borderId="5" xfId="2" applyNumberFormat="1" applyFont="1" applyBorder="1" applyAlignment="1">
      <alignment horizontal="center" vertical="center"/>
    </xf>
    <xf numFmtId="20" fontId="8" fillId="0" borderId="5" xfId="2" applyNumberFormat="1" applyBorder="1" applyAlignment="1">
      <alignment horizontal="center" vertical="center"/>
    </xf>
    <xf numFmtId="172" fontId="8" fillId="0" borderId="5" xfId="2" applyNumberFormat="1" applyBorder="1" applyAlignment="1">
      <alignment horizontal="center" vertical="center"/>
    </xf>
    <xf numFmtId="166" fontId="11" fillId="0" borderId="3" xfId="0" applyFont="1" applyBorder="1" applyAlignment="1">
      <alignment horizontal="right"/>
    </xf>
    <xf numFmtId="1" fontId="10" fillId="0" borderId="54" xfId="0" applyNumberFormat="1" applyFont="1" applyBorder="1"/>
    <xf numFmtId="171" fontId="10" fillId="0" borderId="55" xfId="0" applyNumberFormat="1" applyFont="1" applyBorder="1"/>
    <xf numFmtId="171" fontId="10" fillId="0" borderId="46" xfId="0" applyNumberFormat="1" applyFont="1" applyBorder="1"/>
    <xf numFmtId="173" fontId="2" fillId="2" borderId="0" xfId="0" applyNumberFormat="1" applyFont="1" applyFill="1" applyAlignment="1">
      <alignment horizontal="center" vertical="center"/>
    </xf>
    <xf numFmtId="3" fontId="12" fillId="5" borderId="25" xfId="0" applyNumberFormat="1" applyFont="1" applyFill="1" applyBorder="1" applyAlignment="1">
      <alignment horizontal="right" vertical="center"/>
    </xf>
    <xf numFmtId="3" fontId="13" fillId="3" borderId="19" xfId="0" applyNumberFormat="1" applyFont="1" applyFill="1" applyBorder="1" applyAlignment="1">
      <alignment horizontal="right" vertical="center"/>
    </xf>
    <xf numFmtId="164" fontId="13" fillId="3" borderId="20" xfId="0" applyNumberFormat="1" applyFont="1" applyFill="1" applyBorder="1" applyAlignment="1">
      <alignment horizontal="left" vertical="center"/>
    </xf>
    <xf numFmtId="14" fontId="14" fillId="0" borderId="43" xfId="0" applyNumberFormat="1" applyFont="1" applyBorder="1" applyAlignment="1">
      <alignment vertical="center"/>
    </xf>
    <xf numFmtId="3" fontId="14" fillId="0" borderId="2" xfId="0" applyNumberFormat="1" applyFont="1" applyBorder="1" applyAlignment="1">
      <alignment horizontal="right" vertical="center"/>
    </xf>
    <xf numFmtId="164" fontId="14" fillId="0" borderId="4" xfId="0" applyNumberFormat="1" applyFont="1" applyBorder="1" applyAlignment="1">
      <alignment horizontal="left" vertical="center"/>
    </xf>
    <xf numFmtId="14" fontId="14" fillId="0" borderId="44" xfId="0" applyNumberFormat="1" applyFont="1" applyBorder="1" applyAlignment="1">
      <alignment vertical="center"/>
    </xf>
    <xf numFmtId="3" fontId="14" fillId="0" borderId="34" xfId="0" applyNumberFormat="1" applyFont="1" applyBorder="1" applyAlignment="1">
      <alignment horizontal="right" vertical="center"/>
    </xf>
    <xf numFmtId="164" fontId="14" fillId="0" borderId="36" xfId="0" applyNumberFormat="1" applyFont="1" applyBorder="1" applyAlignment="1">
      <alignment horizontal="left" vertical="center"/>
    </xf>
    <xf numFmtId="14" fontId="13" fillId="3" borderId="58" xfId="0" applyNumberFormat="1" applyFont="1" applyFill="1" applyBorder="1" applyAlignment="1">
      <alignment vertical="center"/>
    </xf>
    <xf numFmtId="14" fontId="13" fillId="3" borderId="64" xfId="0" applyNumberFormat="1" applyFont="1" applyFill="1" applyBorder="1" applyAlignment="1">
      <alignment vertical="center"/>
    </xf>
    <xf numFmtId="14" fontId="13" fillId="0" borderId="43" xfId="0" applyNumberFormat="1" applyFont="1" applyBorder="1" applyAlignment="1">
      <alignment vertical="center"/>
    </xf>
    <xf numFmtId="3" fontId="13" fillId="0" borderId="2" xfId="0" applyNumberFormat="1" applyFont="1" applyBorder="1" applyAlignment="1">
      <alignment horizontal="right" vertical="center"/>
    </xf>
    <xf numFmtId="164" fontId="13" fillId="0" borderId="4" xfId="0" applyNumberFormat="1" applyFont="1" applyBorder="1" applyAlignment="1">
      <alignment horizontal="left" vertical="center"/>
    </xf>
    <xf numFmtId="3" fontId="13" fillId="0" borderId="10" xfId="0" applyNumberFormat="1" applyFont="1" applyBorder="1" applyAlignment="1">
      <alignment horizontal="right" vertical="center"/>
    </xf>
    <xf numFmtId="164" fontId="13" fillId="0" borderId="11" xfId="0" applyNumberFormat="1" applyFont="1" applyBorder="1" applyAlignment="1">
      <alignment horizontal="left" vertical="center"/>
    </xf>
    <xf numFmtId="176" fontId="13" fillId="0" borderId="2" xfId="0" applyNumberFormat="1" applyFont="1" applyBorder="1" applyAlignment="1">
      <alignment horizontal="right" vertical="center"/>
    </xf>
    <xf numFmtId="177" fontId="13" fillId="0" borderId="4" xfId="0" applyNumberFormat="1" applyFont="1" applyBorder="1" applyAlignment="1">
      <alignment horizontal="left" vertical="center"/>
    </xf>
    <xf numFmtId="14" fontId="13" fillId="0" borderId="44" xfId="0" applyNumberFormat="1" applyFont="1" applyBorder="1" applyAlignment="1">
      <alignment vertical="center"/>
    </xf>
    <xf numFmtId="3" fontId="13" fillId="0" borderId="34" xfId="0" applyNumberFormat="1" applyFont="1" applyBorder="1" applyAlignment="1">
      <alignment horizontal="right" vertical="center"/>
    </xf>
    <xf numFmtId="164" fontId="13" fillId="0" borderId="36" xfId="0" applyNumberFormat="1" applyFont="1" applyBorder="1" applyAlignment="1">
      <alignment horizontal="left" vertical="center"/>
    </xf>
    <xf numFmtId="176" fontId="13" fillId="0" borderId="25" xfId="0" applyNumberFormat="1" applyFont="1" applyBorder="1" applyAlignment="1">
      <alignment horizontal="right" vertical="center"/>
    </xf>
    <xf numFmtId="177" fontId="13" fillId="0" borderId="26" xfId="0" applyNumberFormat="1" applyFont="1" applyBorder="1" applyAlignment="1">
      <alignment horizontal="left" vertical="center"/>
    </xf>
    <xf numFmtId="3" fontId="13" fillId="0" borderId="35" xfId="0" applyNumberFormat="1" applyFont="1" applyBorder="1" applyAlignment="1">
      <alignment horizontal="right" vertical="center"/>
    </xf>
    <xf numFmtId="14" fontId="13" fillId="0" borderId="22" xfId="0" applyNumberFormat="1" applyFont="1" applyBorder="1" applyAlignment="1">
      <alignment vertical="center"/>
    </xf>
    <xf numFmtId="3" fontId="13" fillId="0" borderId="9" xfId="0" applyNumberFormat="1" applyFont="1" applyBorder="1" applyAlignment="1">
      <alignment horizontal="right" vertical="center"/>
    </xf>
    <xf numFmtId="176" fontId="13" fillId="0" borderId="9" xfId="0" applyNumberFormat="1" applyFont="1" applyBorder="1" applyAlignment="1">
      <alignment horizontal="right" vertical="center"/>
    </xf>
    <xf numFmtId="177" fontId="13" fillId="0" borderId="11" xfId="0" applyNumberFormat="1" applyFont="1" applyBorder="1" applyAlignment="1">
      <alignment horizontal="left" vertical="center"/>
    </xf>
    <xf numFmtId="14" fontId="13" fillId="0" borderId="63" xfId="0" applyNumberFormat="1" applyFont="1" applyBorder="1" applyAlignment="1">
      <alignment vertical="center"/>
    </xf>
    <xf numFmtId="14" fontId="13" fillId="0" borderId="58" xfId="0" applyNumberFormat="1" applyFont="1" applyBorder="1" applyAlignment="1">
      <alignment vertical="center"/>
    </xf>
    <xf numFmtId="171" fontId="18" fillId="0" borderId="0" xfId="0" applyNumberFormat="1" applyFont="1"/>
    <xf numFmtId="168" fontId="11" fillId="0" borderId="12" xfId="0" applyNumberFormat="1" applyFont="1" applyBorder="1" applyAlignment="1">
      <alignment horizontal="center"/>
    </xf>
    <xf numFmtId="168" fontId="11" fillId="0" borderId="5" xfId="0" applyNumberFormat="1" applyFont="1" applyBorder="1" applyAlignment="1">
      <alignment horizontal="center"/>
    </xf>
    <xf numFmtId="166" fontId="7" fillId="0" borderId="8" xfId="0" applyFont="1" applyBorder="1" applyAlignment="1">
      <alignment horizontal="right" vertical="center" wrapText="1"/>
    </xf>
    <xf numFmtId="173" fontId="3" fillId="0" borderId="0" xfId="0" applyNumberFormat="1" applyFont="1" applyAlignment="1">
      <alignment horizontal="right"/>
    </xf>
    <xf numFmtId="173" fontId="3" fillId="0" borderId="0" xfId="0" applyNumberFormat="1" applyFont="1" applyAlignment="1">
      <alignment horizontal="center"/>
    </xf>
    <xf numFmtId="46" fontId="3" fillId="0" borderId="0" xfId="0" applyNumberFormat="1" applyFont="1"/>
    <xf numFmtId="164" fontId="2" fillId="0" borderId="0" xfId="0" applyNumberFormat="1" applyFont="1" applyAlignment="1">
      <alignment horizontal="left" vertical="center"/>
    </xf>
    <xf numFmtId="166" fontId="2" fillId="7" borderId="0" xfId="0" applyFont="1" applyFill="1" applyAlignment="1">
      <alignment horizontal="center"/>
    </xf>
    <xf numFmtId="3" fontId="2" fillId="0" borderId="13" xfId="0" applyNumberFormat="1" applyFont="1" applyBorder="1"/>
    <xf numFmtId="164" fontId="2" fillId="0" borderId="15" xfId="0" applyNumberFormat="1" applyFont="1" applyBorder="1" applyAlignment="1">
      <alignment horizontal="left"/>
    </xf>
    <xf numFmtId="46" fontId="2" fillId="0" borderId="0" xfId="0" applyNumberFormat="1" applyFont="1"/>
    <xf numFmtId="1" fontId="2" fillId="0" borderId="0" xfId="0" applyNumberFormat="1" applyFont="1" applyAlignment="1">
      <alignment horizontal="right"/>
    </xf>
    <xf numFmtId="166" fontId="0" fillId="14" borderId="0" xfId="0" applyFill="1"/>
    <xf numFmtId="166" fontId="19" fillId="0" borderId="0" xfId="0" applyFont="1"/>
    <xf numFmtId="44" fontId="19" fillId="0" borderId="0" xfId="3" applyFont="1"/>
    <xf numFmtId="166" fontId="4" fillId="0" borderId="12" xfId="0" applyFont="1" applyBorder="1" applyAlignment="1">
      <alignment horizontal="center" vertical="center"/>
    </xf>
    <xf numFmtId="166" fontId="4" fillId="0" borderId="5" xfId="0" applyFont="1" applyBorder="1" applyAlignment="1">
      <alignment horizontal="center" vertical="center"/>
    </xf>
    <xf numFmtId="166" fontId="4" fillId="0" borderId="13" xfId="0" applyFont="1" applyBorder="1" applyAlignment="1">
      <alignment horizontal="center" vertical="center"/>
    </xf>
    <xf numFmtId="166" fontId="4" fillId="0" borderId="15" xfId="0" applyFont="1" applyBorder="1" applyAlignment="1">
      <alignment horizontal="center" vertical="center"/>
    </xf>
    <xf numFmtId="166" fontId="4" fillId="0" borderId="14" xfId="0" applyFont="1" applyBorder="1" applyAlignment="1">
      <alignment horizontal="center" vertical="center"/>
    </xf>
    <xf numFmtId="166" fontId="6" fillId="0" borderId="12" xfId="1" applyFont="1" applyBorder="1" applyAlignment="1" applyProtection="1">
      <alignment horizontal="center" vertical="center"/>
    </xf>
    <xf numFmtId="166" fontId="6" fillId="0" borderId="5" xfId="1" applyFont="1" applyBorder="1" applyAlignment="1" applyProtection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6" fontId="3" fillId="0" borderId="6" xfId="0" applyFont="1" applyBorder="1" applyAlignment="1">
      <alignment horizontal="center" vertical="center" wrapText="1"/>
    </xf>
    <xf numFmtId="166" fontId="3" fillId="0" borderId="6" xfId="0" applyFont="1" applyBorder="1" applyAlignment="1">
      <alignment horizontal="center" vertical="center"/>
    </xf>
    <xf numFmtId="166" fontId="3" fillId="0" borderId="7" xfId="0" applyFont="1" applyBorder="1" applyAlignment="1">
      <alignment horizontal="center" vertical="center"/>
    </xf>
    <xf numFmtId="166" fontId="4" fillId="0" borderId="1" xfId="0" applyFont="1" applyBorder="1" applyAlignment="1">
      <alignment horizontal="center" vertical="center"/>
    </xf>
    <xf numFmtId="166" fontId="4" fillId="0" borderId="12" xfId="0" applyFont="1" applyBorder="1" applyAlignment="1">
      <alignment horizontal="center" vertical="center" wrapText="1"/>
    </xf>
    <xf numFmtId="166" fontId="4" fillId="0" borderId="1" xfId="0" applyFont="1" applyBorder="1" applyAlignment="1">
      <alignment horizontal="center" vertical="center" wrapText="1"/>
    </xf>
    <xf numFmtId="166" fontId="3" fillId="0" borderId="2" xfId="0" applyFont="1" applyBorder="1" applyAlignment="1">
      <alignment horizontal="center"/>
    </xf>
    <xf numFmtId="166" fontId="3" fillId="0" borderId="4" xfId="0" applyFont="1" applyBorder="1" applyAlignment="1">
      <alignment horizontal="center"/>
    </xf>
    <xf numFmtId="166" fontId="3" fillId="0" borderId="44" xfId="0" applyFont="1" applyBorder="1" applyAlignment="1">
      <alignment horizontal="center"/>
    </xf>
    <xf numFmtId="166" fontId="3" fillId="0" borderId="27" xfId="0" applyFont="1" applyBorder="1" applyAlignment="1">
      <alignment horizontal="center"/>
    </xf>
    <xf numFmtId="166" fontId="2" fillId="0" borderId="0" xfId="0" applyFont="1" applyAlignment="1">
      <alignment horizontal="center"/>
    </xf>
    <xf numFmtId="166" fontId="3" fillId="4" borderId="14" xfId="0" applyFont="1" applyFill="1" applyBorder="1" applyAlignment="1">
      <alignment horizontal="center" vertical="center"/>
    </xf>
    <xf numFmtId="166" fontId="3" fillId="4" borderId="15" xfId="0" applyFont="1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6" fontId="3" fillId="4" borderId="13" xfId="0" applyFont="1" applyFill="1" applyBorder="1" applyAlignment="1">
      <alignment horizontal="center" vertical="center"/>
    </xf>
    <xf numFmtId="166" fontId="2" fillId="0" borderId="2" xfId="0" applyFont="1" applyBorder="1" applyAlignment="1">
      <alignment horizontal="center"/>
    </xf>
    <xf numFmtId="166" fontId="2" fillId="0" borderId="4" xfId="0" applyFont="1" applyBorder="1" applyAlignment="1">
      <alignment horizontal="center"/>
    </xf>
    <xf numFmtId="173" fontId="3" fillId="0" borderId="2" xfId="0" applyNumberFormat="1" applyFont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166" fontId="3" fillId="0" borderId="6" xfId="0" applyFont="1" applyBorder="1" applyAlignment="1">
      <alignment horizontal="center"/>
    </xf>
    <xf numFmtId="166" fontId="3" fillId="0" borderId="7" xfId="0" applyFont="1" applyBorder="1" applyAlignment="1">
      <alignment horizontal="center"/>
    </xf>
    <xf numFmtId="3" fontId="3" fillId="0" borderId="44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166" fontId="3" fillId="3" borderId="13" xfId="0" applyFont="1" applyFill="1" applyBorder="1" applyAlignment="1">
      <alignment horizontal="center" vertical="center"/>
    </xf>
    <xf numFmtId="166" fontId="3" fillId="3" borderId="15" xfId="0" applyFont="1" applyFill="1" applyBorder="1" applyAlignment="1">
      <alignment horizontal="center" vertical="center"/>
    </xf>
    <xf numFmtId="166" fontId="3" fillId="3" borderId="6" xfId="0" applyFont="1" applyFill="1" applyBorder="1" applyAlignment="1">
      <alignment horizontal="center"/>
    </xf>
    <xf numFmtId="166" fontId="3" fillId="3" borderId="7" xfId="0" applyFont="1" applyFill="1" applyBorder="1" applyAlignment="1">
      <alignment horizont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13" xfId="2" applyFont="1" applyBorder="1" applyAlignment="1">
      <alignment horizontal="center"/>
    </xf>
    <xf numFmtId="166" fontId="4" fillId="0" borderId="14" xfId="2" applyFont="1" applyBorder="1" applyAlignment="1">
      <alignment horizontal="center"/>
    </xf>
    <xf numFmtId="166" fontId="4" fillId="0" borderId="15" xfId="2" applyFont="1" applyBorder="1" applyAlignment="1">
      <alignment horizontal="center"/>
    </xf>
    <xf numFmtId="1" fontId="8" fillId="0" borderId="6" xfId="2" applyNumberFormat="1" applyBorder="1" applyAlignment="1">
      <alignment horizontal="center" vertical="center"/>
    </xf>
    <xf numFmtId="166" fontId="8" fillId="0" borderId="0" xfId="2" applyAlignment="1">
      <alignment horizontal="center" vertical="center"/>
    </xf>
    <xf numFmtId="173" fontId="8" fillId="0" borderId="0" xfId="2" applyNumberFormat="1" applyAlignment="1">
      <alignment horizontal="center" vertical="center"/>
    </xf>
    <xf numFmtId="173" fontId="8" fillId="0" borderId="7" xfId="2" applyNumberFormat="1" applyBorder="1" applyAlignment="1">
      <alignment horizontal="center" vertical="center"/>
    </xf>
    <xf numFmtId="20" fontId="8" fillId="0" borderId="6" xfId="2" applyNumberFormat="1" applyBorder="1" applyAlignment="1">
      <alignment horizontal="right" vertical="center"/>
    </xf>
    <xf numFmtId="166" fontId="8" fillId="0" borderId="6" xfId="2" applyBorder="1" applyAlignment="1">
      <alignment horizontal="right" vertical="center"/>
    </xf>
    <xf numFmtId="20" fontId="8" fillId="0" borderId="0" xfId="2" applyNumberFormat="1" applyAlignment="1">
      <alignment horizontal="right" vertical="center"/>
    </xf>
    <xf numFmtId="166" fontId="8" fillId="0" borderId="0" xfId="2" applyAlignment="1">
      <alignment horizontal="right" vertical="center"/>
    </xf>
    <xf numFmtId="20" fontId="8" fillId="0" borderId="7" xfId="2" applyNumberFormat="1" applyBorder="1" applyAlignment="1">
      <alignment horizontal="right" vertical="center"/>
    </xf>
    <xf numFmtId="166" fontId="8" fillId="0" borderId="7" xfId="2" applyBorder="1" applyAlignment="1">
      <alignment horizontal="right" vertical="center"/>
    </xf>
    <xf numFmtId="172" fontId="4" fillId="0" borderId="5" xfId="2" applyNumberFormat="1" applyFont="1" applyBorder="1" applyAlignment="1">
      <alignment horizontal="center" vertical="center"/>
    </xf>
    <xf numFmtId="20" fontId="8" fillId="0" borderId="5" xfId="2" applyNumberFormat="1" applyBorder="1" applyAlignment="1">
      <alignment horizontal="center" vertical="center"/>
    </xf>
    <xf numFmtId="172" fontId="8" fillId="0" borderId="5" xfId="2" applyNumberFormat="1" applyBorder="1" applyAlignment="1">
      <alignment horizontal="center" vertical="center"/>
    </xf>
    <xf numFmtId="20" fontId="7" fillId="0" borderId="6" xfId="2" applyNumberFormat="1" applyFont="1" applyBorder="1" applyAlignment="1">
      <alignment horizontal="right" vertical="center"/>
    </xf>
    <xf numFmtId="166" fontId="12" fillId="2" borderId="24" xfId="0" applyFont="1" applyFill="1" applyBorder="1" applyAlignment="1">
      <alignment horizontal="center" vertical="center" wrapText="1"/>
    </xf>
    <xf numFmtId="166" fontId="13" fillId="2" borderId="23" xfId="0" applyFont="1" applyFill="1" applyBorder="1" applyAlignment="1">
      <alignment horizontal="center" vertical="center" wrapText="1"/>
    </xf>
    <xf numFmtId="166" fontId="9" fillId="0" borderId="8" xfId="0" applyFont="1" applyBorder="1" applyAlignment="1">
      <alignment horizontal="center" vertical="center"/>
    </xf>
    <xf numFmtId="166" fontId="12" fillId="3" borderId="59" xfId="0" applyFont="1" applyFill="1" applyBorder="1" applyAlignment="1">
      <alignment horizontal="center" vertical="center"/>
    </xf>
    <xf numFmtId="166" fontId="9" fillId="0" borderId="59" xfId="0" applyFont="1" applyBorder="1" applyAlignment="1">
      <alignment horizontal="center" vertical="center"/>
    </xf>
    <xf numFmtId="17" fontId="16" fillId="2" borderId="0" xfId="0" applyNumberFormat="1" applyFont="1" applyFill="1" applyAlignment="1">
      <alignment horizontal="center" vertical="center"/>
    </xf>
    <xf numFmtId="166" fontId="11" fillId="0" borderId="0" xfId="0" applyFont="1" applyAlignment="1">
      <alignment horizontal="right"/>
    </xf>
    <xf numFmtId="166" fontId="10" fillId="0" borderId="16" xfId="0" applyFont="1" applyBorder="1" applyAlignment="1">
      <alignment horizontal="center" vertical="center"/>
    </xf>
    <xf numFmtId="166" fontId="10" fillId="0" borderId="18" xfId="0" applyFont="1" applyBorder="1" applyAlignment="1">
      <alignment horizontal="center" vertical="center"/>
    </xf>
    <xf numFmtId="166" fontId="11" fillId="0" borderId="14" xfId="0" applyFont="1" applyBorder="1" applyAlignment="1">
      <alignment horizontal="right"/>
    </xf>
    <xf numFmtId="166" fontId="11" fillId="0" borderId="3" xfId="0" applyFont="1" applyBorder="1" applyAlignment="1">
      <alignment horizontal="right"/>
    </xf>
  </cellXfs>
  <cellStyles count="4">
    <cellStyle name="Link" xfId="1" builtinId="8"/>
    <cellStyle name="Standard" xfId="0" builtinId="0"/>
    <cellStyle name="Standard 2" xfId="2" xr:uid="{00000000-0005-0000-0000-000002000000}"/>
    <cellStyle name="Währung" xfId="3" builtinId="4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EEBF6"/>
      <color rgb="FFFFFF00"/>
      <color rgb="FFD8D8D8"/>
      <color rgb="FFFFFF66"/>
      <color rgb="FFD9D9D9"/>
      <color rgb="FFCFFB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fredgaudl@vodafone.de" TargetMode="External"/><Relationship Id="rId1" Type="http://schemas.openxmlformats.org/officeDocument/2006/relationships/hyperlink" Target="mailto:E-M@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G9"/>
  <sheetViews>
    <sheetView workbookViewId="0">
      <selection activeCell="D23" sqref="D23"/>
    </sheetView>
  </sheetViews>
  <sheetFormatPr baseColWidth="10" defaultRowHeight="14.25" x14ac:dyDescent="0.45"/>
  <cols>
    <col min="3" max="3" width="10.6640625" style="629"/>
    <col min="4" max="4" width="34.59765625" customWidth="1"/>
  </cols>
  <sheetData>
    <row r="1" spans="1:7" x14ac:dyDescent="0.45">
      <c r="A1" t="s">
        <v>148</v>
      </c>
      <c r="B1" t="s">
        <v>149</v>
      </c>
      <c r="C1" s="629" t="s">
        <v>150</v>
      </c>
      <c r="D1" t="s">
        <v>151</v>
      </c>
      <c r="G1" s="628" t="s">
        <v>346</v>
      </c>
    </row>
    <row r="2" spans="1:7" x14ac:dyDescent="0.45">
      <c r="A2" t="s">
        <v>5</v>
      </c>
      <c r="B2" t="s">
        <v>122</v>
      </c>
      <c r="C2" s="630">
        <f>Rabatte19!V3</f>
        <v>200</v>
      </c>
      <c r="D2" t="s">
        <v>152</v>
      </c>
      <c r="G2" s="628" t="s">
        <v>347</v>
      </c>
    </row>
    <row r="3" spans="1:7" x14ac:dyDescent="0.45">
      <c r="A3" t="s">
        <v>4</v>
      </c>
      <c r="B3" t="s">
        <v>122</v>
      </c>
      <c r="C3" s="630">
        <f>Rabatte19!V3</f>
        <v>200</v>
      </c>
      <c r="D3" t="str">
        <f>D2</f>
        <v>50-100-50-200</v>
      </c>
      <c r="G3" s="628" t="s">
        <v>348</v>
      </c>
    </row>
    <row r="4" spans="1:7" x14ac:dyDescent="0.45">
      <c r="A4" s="156" t="s">
        <v>123</v>
      </c>
      <c r="B4" s="156" t="s">
        <v>124</v>
      </c>
      <c r="C4" s="630">
        <f>126*1.19</f>
        <v>149.94</v>
      </c>
      <c r="D4" t="str">
        <f>D2</f>
        <v>50-100-50-200</v>
      </c>
      <c r="G4" t="s">
        <v>349</v>
      </c>
    </row>
    <row r="5" spans="1:7" x14ac:dyDescent="0.45">
      <c r="A5" s="156" t="s">
        <v>125</v>
      </c>
      <c r="B5" s="156" t="s">
        <v>126</v>
      </c>
      <c r="C5" s="630">
        <v>200</v>
      </c>
      <c r="D5" t="s">
        <v>153</v>
      </c>
      <c r="G5" t="s">
        <v>350</v>
      </c>
    </row>
    <row r="6" spans="1:7" x14ac:dyDescent="0.45">
      <c r="A6" s="156" t="s">
        <v>158</v>
      </c>
      <c r="B6" s="156"/>
      <c r="C6" s="630"/>
    </row>
    <row r="7" spans="1:7" x14ac:dyDescent="0.45">
      <c r="C7" s="630"/>
    </row>
    <row r="8" spans="1:7" x14ac:dyDescent="0.45">
      <c r="C8" s="630"/>
    </row>
    <row r="9" spans="1:7" x14ac:dyDescent="0.45">
      <c r="C9" s="63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Z14"/>
  <sheetViews>
    <sheetView tabSelected="1" zoomScale="110" zoomScaleNormal="110" workbookViewId="0">
      <pane xSplit="2" ySplit="2" topLeftCell="F3" activePane="bottomRight" state="frozen"/>
      <selection activeCell="G8" sqref="G8"/>
      <selection pane="topRight" activeCell="G8" sqref="G8"/>
      <selection pane="bottomLeft" activeCell="G8" sqref="G8"/>
      <selection pane="bottomRight" activeCell="K3" sqref="K3"/>
    </sheetView>
  </sheetViews>
  <sheetFormatPr baseColWidth="10" defaultColWidth="11.3984375" defaultRowHeight="12.75" x14ac:dyDescent="0.45"/>
  <cols>
    <col min="1" max="1" width="5.86328125" style="332" customWidth="1"/>
    <col min="2" max="2" width="15.3984375" style="322" customWidth="1"/>
    <col min="3" max="3" width="11.3984375" style="322" customWidth="1"/>
    <col min="4" max="4" width="6.59765625" style="322" bestFit="1" customWidth="1"/>
    <col min="5" max="5" width="18.265625" style="322" customWidth="1"/>
    <col min="6" max="6" width="7.86328125" style="322" customWidth="1"/>
    <col min="7" max="7" width="15.73046875" style="322" customWidth="1"/>
    <col min="8" max="8" width="26.73046875" style="322" customWidth="1"/>
    <col min="9" max="9" width="17" style="322" customWidth="1"/>
    <col min="10" max="10" width="11.265625" style="322" bestFit="1" customWidth="1"/>
    <col min="11" max="11" width="11.265625" style="322" customWidth="1"/>
    <col min="12" max="12" width="19" style="322" customWidth="1"/>
    <col min="13" max="13" width="10.1328125" style="322" customWidth="1"/>
    <col min="14" max="14" width="11.86328125" style="322" customWidth="1"/>
    <col min="15" max="15" width="10.1328125" style="322" customWidth="1"/>
    <col min="16" max="16" width="5.1328125" style="486" customWidth="1"/>
    <col min="17" max="17" width="6.265625" style="554" customWidth="1"/>
    <col min="18" max="18" width="10.1328125" style="486" customWidth="1"/>
    <col min="19" max="19" width="10.265625" style="322" bestFit="1" customWidth="1"/>
    <col min="20" max="20" width="8" style="486" bestFit="1" customWidth="1"/>
    <col min="21" max="21" width="12.1328125" style="322" customWidth="1"/>
    <col min="22" max="22" width="6.265625" style="486" customWidth="1"/>
    <col min="23" max="23" width="3" style="560" customWidth="1"/>
    <col min="24" max="24" width="10.1328125" style="558" customWidth="1"/>
    <col min="25" max="25" width="5.59765625" style="557" bestFit="1" customWidth="1"/>
    <col min="26" max="26" width="10.1328125" style="558" customWidth="1"/>
    <col min="27" max="16384" width="11.3984375" style="322"/>
  </cols>
  <sheetData>
    <row r="1" spans="1:26" s="5" customFormat="1" ht="15" customHeight="1" x14ac:dyDescent="0.45">
      <c r="A1" s="631" t="s">
        <v>292</v>
      </c>
      <c r="B1" s="633" t="s">
        <v>36</v>
      </c>
      <c r="C1" s="634"/>
      <c r="D1" s="299"/>
      <c r="E1" s="633" t="s">
        <v>37</v>
      </c>
      <c r="F1" s="635"/>
      <c r="G1" s="634"/>
      <c r="H1" s="636" t="s">
        <v>38</v>
      </c>
      <c r="I1" s="638" t="s">
        <v>39</v>
      </c>
      <c r="J1" s="631" t="s">
        <v>40</v>
      </c>
      <c r="K1" s="631" t="s">
        <v>41</v>
      </c>
      <c r="L1" s="633" t="s">
        <v>42</v>
      </c>
      <c r="M1" s="634"/>
      <c r="N1" s="633" t="s">
        <v>43</v>
      </c>
      <c r="O1" s="634"/>
      <c r="P1" s="633" t="s">
        <v>287</v>
      </c>
      <c r="Q1" s="635"/>
      <c r="R1" s="634"/>
      <c r="S1" s="631" t="s">
        <v>44</v>
      </c>
      <c r="T1" s="631" t="s">
        <v>247</v>
      </c>
      <c r="U1" s="644" t="s">
        <v>293</v>
      </c>
      <c r="V1" s="640" t="s">
        <v>305</v>
      </c>
      <c r="W1" s="641" t="s">
        <v>306</v>
      </c>
      <c r="X1" s="642"/>
      <c r="Y1" s="641" t="s">
        <v>309</v>
      </c>
      <c r="Z1" s="642"/>
    </row>
    <row r="2" spans="1:26" ht="13.15" x14ac:dyDescent="0.45">
      <c r="A2" s="632"/>
      <c r="B2" s="318" t="s">
        <v>45</v>
      </c>
      <c r="C2" s="318" t="s">
        <v>35</v>
      </c>
      <c r="D2" s="318" t="s">
        <v>46</v>
      </c>
      <c r="E2" s="318" t="s">
        <v>47</v>
      </c>
      <c r="F2" s="318" t="s">
        <v>48</v>
      </c>
      <c r="G2" s="318" t="s">
        <v>49</v>
      </c>
      <c r="H2" s="637"/>
      <c r="I2" s="639"/>
      <c r="J2" s="632"/>
      <c r="K2" s="632"/>
      <c r="L2" s="320" t="s">
        <v>50</v>
      </c>
      <c r="M2" s="321" t="s">
        <v>51</v>
      </c>
      <c r="N2" s="320" t="s">
        <v>50</v>
      </c>
      <c r="O2" s="321" t="s">
        <v>51</v>
      </c>
      <c r="P2" s="321" t="s">
        <v>288</v>
      </c>
      <c r="Q2" s="552" t="s">
        <v>290</v>
      </c>
      <c r="R2" s="321" t="s">
        <v>51</v>
      </c>
      <c r="S2" s="643"/>
      <c r="T2" s="643"/>
      <c r="U2" s="645"/>
      <c r="V2" s="640"/>
      <c r="W2" s="559"/>
      <c r="X2" s="558" t="s">
        <v>338</v>
      </c>
      <c r="Y2" s="557" t="s">
        <v>308</v>
      </c>
      <c r="Z2" s="558" t="s">
        <v>338</v>
      </c>
    </row>
    <row r="3" spans="1:26" ht="15" customHeight="1" x14ac:dyDescent="0.45">
      <c r="A3" s="353">
        <v>0</v>
      </c>
      <c r="B3" s="330" t="s">
        <v>28</v>
      </c>
      <c r="C3" s="330" t="s">
        <v>340</v>
      </c>
      <c r="D3" s="323" t="s">
        <v>52</v>
      </c>
      <c r="E3" s="330" t="s">
        <v>87</v>
      </c>
      <c r="F3" s="330" t="s">
        <v>54</v>
      </c>
      <c r="G3" s="330" t="s">
        <v>88</v>
      </c>
      <c r="H3" s="319" t="s">
        <v>145</v>
      </c>
      <c r="I3" s="331" t="s">
        <v>89</v>
      </c>
      <c r="J3" s="46">
        <v>43466</v>
      </c>
      <c r="K3" s="46">
        <v>41275</v>
      </c>
      <c r="L3" s="44" t="s">
        <v>304</v>
      </c>
      <c r="M3" s="43">
        <v>43890</v>
      </c>
      <c r="N3" s="330" t="s">
        <v>314</v>
      </c>
      <c r="O3" s="43">
        <v>43817</v>
      </c>
      <c r="P3" s="47" t="s">
        <v>291</v>
      </c>
      <c r="Q3" s="553">
        <v>6</v>
      </c>
      <c r="R3" s="47">
        <v>58451</v>
      </c>
      <c r="S3" s="43">
        <v>43807</v>
      </c>
      <c r="T3" s="47" t="s">
        <v>52</v>
      </c>
      <c r="U3" s="46">
        <v>41275</v>
      </c>
      <c r="V3" s="486" t="s">
        <v>52</v>
      </c>
      <c r="W3" s="560" t="s">
        <v>53</v>
      </c>
      <c r="X3" s="561" t="str">
        <f>IF(OR(W3="J",W3="j"),"Datum","---")</f>
        <v>---</v>
      </c>
      <c r="Y3" s="557" t="s">
        <v>53</v>
      </c>
      <c r="Z3" s="561" t="str">
        <f>IF(OR(Y3="N",Y3="n",Y3=0,Y3=" "),"---","Datum")</f>
        <v>---</v>
      </c>
    </row>
    <row r="4" spans="1:26" ht="15" customHeight="1" x14ac:dyDescent="0.45">
      <c r="A4" s="570">
        <v>1</v>
      </c>
      <c r="B4" s="330" t="s">
        <v>28</v>
      </c>
      <c r="C4" s="330" t="s">
        <v>341</v>
      </c>
      <c r="D4" s="323" t="str">
        <f t="shared" ref="D4:I4" si="0">D3</f>
        <v>j</v>
      </c>
      <c r="E4" s="330" t="str">
        <f t="shared" si="0"/>
        <v>Derchinger Straße 9</v>
      </c>
      <c r="F4" s="330" t="str">
        <f t="shared" si="0"/>
        <v>D-86444</v>
      </c>
      <c r="G4" s="330" t="str">
        <f t="shared" si="0"/>
        <v>Bergen</v>
      </c>
      <c r="H4" s="319" t="str">
        <f t="shared" si="0"/>
        <v>manfredgaudl@vodafone.de</v>
      </c>
      <c r="I4" s="331" t="str">
        <f t="shared" si="0"/>
        <v>+49 151 1850-9005</v>
      </c>
      <c r="J4" s="46">
        <f t="shared" ref="J4:U4" si="1">J3</f>
        <v>43466</v>
      </c>
      <c r="K4" s="46">
        <f t="shared" si="1"/>
        <v>41275</v>
      </c>
      <c r="L4" s="44" t="str">
        <f t="shared" si="1"/>
        <v>DE.FCL.8031 009524</v>
      </c>
      <c r="M4" s="46">
        <f t="shared" si="1"/>
        <v>43890</v>
      </c>
      <c r="N4" s="330" t="str">
        <f t="shared" si="1"/>
        <v>A 406455</v>
      </c>
      <c r="O4" s="43">
        <f t="shared" si="1"/>
        <v>43817</v>
      </c>
      <c r="P4" s="47" t="s">
        <v>289</v>
      </c>
      <c r="Q4" s="553">
        <v>6</v>
      </c>
      <c r="R4" s="47">
        <v>58451</v>
      </c>
      <c r="S4" s="43">
        <f t="shared" si="1"/>
        <v>43807</v>
      </c>
      <c r="T4" s="47" t="s">
        <v>52</v>
      </c>
      <c r="U4" s="46">
        <f t="shared" si="1"/>
        <v>41275</v>
      </c>
      <c r="V4" s="486" t="s">
        <v>52</v>
      </c>
      <c r="W4" s="560" t="str">
        <f>W3</f>
        <v>n</v>
      </c>
      <c r="X4" s="561" t="str">
        <f>IF(OR(W4="J",W4="j"),"Datum","---")</f>
        <v>---</v>
      </c>
      <c r="Y4" s="557" t="str">
        <f>Y3</f>
        <v>n</v>
      </c>
      <c r="Z4" s="561" t="str">
        <f t="shared" ref="Z4:Z8" si="2">IF(OR(Y4="N",Y4="n",Y4=0,Y4=" "),"---","Datum")</f>
        <v>---</v>
      </c>
    </row>
    <row r="5" spans="1:26" ht="15" customHeight="1" x14ac:dyDescent="0.45">
      <c r="A5" s="571">
        <v>2</v>
      </c>
      <c r="B5" s="324"/>
      <c r="C5" s="324"/>
      <c r="D5" s="323" t="s">
        <v>53</v>
      </c>
      <c r="E5" s="324"/>
      <c r="F5" s="324"/>
      <c r="G5" s="324"/>
      <c r="H5" s="319"/>
      <c r="I5" s="325"/>
      <c r="J5" s="46"/>
      <c r="K5" s="46"/>
      <c r="L5" s="618" t="s">
        <v>331</v>
      </c>
      <c r="M5" s="112">
        <f ca="1">TODAY()</f>
        <v>43566</v>
      </c>
      <c r="N5" s="324"/>
      <c r="O5" s="112">
        <f ca="1">TODAY()</f>
        <v>43566</v>
      </c>
      <c r="P5" s="47" t="s">
        <v>289</v>
      </c>
      <c r="Q5" s="553">
        <v>5</v>
      </c>
      <c r="R5" s="551" t="s">
        <v>335</v>
      </c>
      <c r="S5" s="112">
        <f ca="1">TODAY()</f>
        <v>43566</v>
      </c>
      <c r="T5" s="47" t="s">
        <v>53</v>
      </c>
      <c r="U5" s="46"/>
      <c r="V5" s="486" t="s">
        <v>53</v>
      </c>
      <c r="W5" s="560" t="s">
        <v>53</v>
      </c>
      <c r="X5" s="561" t="str">
        <f t="shared" ref="X5:X8" si="3">IF(OR(W5="J",W5="j"),"Datum","---")</f>
        <v>---</v>
      </c>
      <c r="Y5" s="557" t="s">
        <v>53</v>
      </c>
      <c r="Z5" s="561" t="str">
        <f t="shared" si="2"/>
        <v>---</v>
      </c>
    </row>
    <row r="6" spans="1:26" ht="15" customHeight="1" x14ac:dyDescent="0.45">
      <c r="A6" s="326">
        <v>3</v>
      </c>
      <c r="B6" s="327"/>
      <c r="C6" s="327"/>
      <c r="D6" s="323" t="s">
        <v>53</v>
      </c>
      <c r="E6" s="327"/>
      <c r="F6" s="327"/>
      <c r="G6" s="327"/>
      <c r="H6" s="319"/>
      <c r="I6" s="328"/>
      <c r="J6" s="46"/>
      <c r="K6" s="46"/>
      <c r="L6" s="618" t="s">
        <v>332</v>
      </c>
      <c r="M6" s="43">
        <f ca="1">TODAY()+1</f>
        <v>43567</v>
      </c>
      <c r="N6" s="327"/>
      <c r="O6" s="43">
        <f ca="1">TODAY()+1</f>
        <v>43567</v>
      </c>
      <c r="P6" s="47" t="s">
        <v>291</v>
      </c>
      <c r="Q6" s="553">
        <v>4</v>
      </c>
      <c r="R6" s="47" t="s">
        <v>336</v>
      </c>
      <c r="S6" s="43">
        <f ca="1">TODAY()+1</f>
        <v>43567</v>
      </c>
      <c r="T6" s="47" t="s">
        <v>52</v>
      </c>
      <c r="U6" s="46"/>
      <c r="V6" s="557" t="s">
        <v>52</v>
      </c>
      <c r="W6" s="560" t="s">
        <v>52</v>
      </c>
      <c r="X6" s="561" t="str">
        <f t="shared" si="3"/>
        <v>Datum</v>
      </c>
      <c r="Y6" s="557" t="s">
        <v>339</v>
      </c>
      <c r="Z6" s="561" t="str">
        <f t="shared" si="2"/>
        <v>Datum</v>
      </c>
    </row>
    <row r="7" spans="1:26" ht="15" customHeight="1" x14ac:dyDescent="0.45">
      <c r="A7" s="326">
        <v>4</v>
      </c>
      <c r="B7" s="564"/>
      <c r="C7" s="327"/>
      <c r="D7" s="323" t="s">
        <v>53</v>
      </c>
      <c r="E7" s="327"/>
      <c r="F7" s="327"/>
      <c r="G7" s="327"/>
      <c r="H7" s="319"/>
      <c r="I7" s="328"/>
      <c r="J7" s="46"/>
      <c r="K7" s="46"/>
      <c r="L7" s="618" t="s">
        <v>333</v>
      </c>
      <c r="M7" s="43">
        <f ca="1">TODAY()+45</f>
        <v>43611</v>
      </c>
      <c r="N7" s="352"/>
      <c r="O7" s="43">
        <f ca="1">TODAY()+45</f>
        <v>43611</v>
      </c>
      <c r="P7" s="47" t="s">
        <v>289</v>
      </c>
      <c r="Q7" s="553">
        <v>3</v>
      </c>
      <c r="R7" s="47" t="s">
        <v>337</v>
      </c>
      <c r="S7" s="43">
        <f ca="1">TODAY()+45</f>
        <v>43611</v>
      </c>
      <c r="T7" s="47" t="s">
        <v>53</v>
      </c>
      <c r="U7" s="46"/>
      <c r="V7" s="486" t="s">
        <v>53</v>
      </c>
      <c r="W7" s="560" t="s">
        <v>53</v>
      </c>
      <c r="X7" s="561" t="str">
        <f t="shared" si="3"/>
        <v>---</v>
      </c>
      <c r="Y7" s="557" t="s">
        <v>307</v>
      </c>
      <c r="Z7" s="561" t="str">
        <f t="shared" si="2"/>
        <v>Datum</v>
      </c>
    </row>
    <row r="8" spans="1:26" x14ac:dyDescent="0.45">
      <c r="A8" s="326">
        <v>5</v>
      </c>
      <c r="B8" s="562"/>
      <c r="C8" s="327"/>
      <c r="D8" s="323" t="s">
        <v>53</v>
      </c>
      <c r="E8" s="44"/>
      <c r="F8" s="44"/>
      <c r="G8" s="44"/>
      <c r="H8" s="319"/>
      <c r="I8" s="45"/>
      <c r="J8" s="46"/>
      <c r="K8" s="46"/>
      <c r="L8" s="618" t="s">
        <v>334</v>
      </c>
      <c r="M8" s="43">
        <f ca="1">TODAY()+46</f>
        <v>43612</v>
      </c>
      <c r="N8" s="44"/>
      <c r="O8" s="43">
        <f ca="1">TODAY()+46</f>
        <v>43612</v>
      </c>
      <c r="P8" s="47" t="s">
        <v>289</v>
      </c>
      <c r="Q8" s="553">
        <v>2</v>
      </c>
      <c r="R8" s="47" t="s">
        <v>337</v>
      </c>
      <c r="S8" s="43">
        <f ca="1">TODAY()+46</f>
        <v>43612</v>
      </c>
      <c r="T8" s="47" t="s">
        <v>52</v>
      </c>
      <c r="U8" s="46"/>
      <c r="V8" s="486" t="s">
        <v>52</v>
      </c>
      <c r="W8" s="560" t="s">
        <v>52</v>
      </c>
      <c r="X8" s="561" t="str">
        <f t="shared" si="3"/>
        <v>Datum</v>
      </c>
      <c r="Y8" s="557" t="s">
        <v>310</v>
      </c>
      <c r="Z8" s="561" t="str">
        <f t="shared" si="2"/>
        <v>Datum</v>
      </c>
    </row>
    <row r="9" spans="1:26" ht="15" customHeight="1" x14ac:dyDescent="0.45">
      <c r="A9" s="326">
        <v>6</v>
      </c>
      <c r="B9" s="327"/>
      <c r="C9" s="327"/>
      <c r="D9" s="323" t="s">
        <v>53</v>
      </c>
      <c r="E9" s="44"/>
      <c r="F9" s="44"/>
      <c r="G9" s="44"/>
      <c r="H9" s="319"/>
      <c r="I9" s="48"/>
      <c r="J9" s="46"/>
      <c r="K9" s="46"/>
      <c r="L9" s="44"/>
      <c r="M9" s="43"/>
      <c r="N9" s="44"/>
      <c r="O9" s="43"/>
      <c r="P9" s="47" t="s">
        <v>289</v>
      </c>
      <c r="Q9" s="553">
        <v>1</v>
      </c>
      <c r="R9" s="47" t="s">
        <v>337</v>
      </c>
      <c r="S9" s="43"/>
      <c r="T9" s="47"/>
      <c r="U9" s="46"/>
      <c r="X9" s="561"/>
      <c r="Z9" s="561"/>
    </row>
    <row r="10" spans="1:26" x14ac:dyDescent="0.45">
      <c r="A10" s="326">
        <v>7</v>
      </c>
      <c r="B10" s="327"/>
      <c r="C10" s="327"/>
      <c r="D10" s="323" t="s">
        <v>53</v>
      </c>
      <c r="E10" s="44"/>
      <c r="F10" s="44"/>
      <c r="G10" s="44"/>
      <c r="H10" s="319"/>
      <c r="I10" s="45"/>
      <c r="J10" s="329"/>
      <c r="K10" s="46"/>
      <c r="L10" s="44"/>
      <c r="M10" s="43"/>
      <c r="N10" s="44"/>
      <c r="O10" s="43"/>
      <c r="P10" s="47"/>
      <c r="Q10" s="553"/>
      <c r="R10" s="47"/>
      <c r="S10" s="43"/>
      <c r="T10" s="47"/>
      <c r="U10" s="46"/>
      <c r="X10" s="561"/>
      <c r="Z10" s="561"/>
    </row>
    <row r="11" spans="1:26" x14ac:dyDescent="0.45">
      <c r="B11" s="563" t="s">
        <v>311</v>
      </c>
      <c r="X11" s="561"/>
      <c r="Z11" s="561"/>
    </row>
    <row r="12" spans="1:26" x14ac:dyDescent="0.45">
      <c r="B12" s="564" t="s">
        <v>312</v>
      </c>
      <c r="X12" s="561"/>
      <c r="Z12" s="561"/>
    </row>
    <row r="13" spans="1:26" x14ac:dyDescent="0.45">
      <c r="X13" s="561"/>
      <c r="Z13" s="561"/>
    </row>
    <row r="14" spans="1:26" x14ac:dyDescent="0.45">
      <c r="X14" s="561"/>
      <c r="Z14" s="561"/>
    </row>
  </sheetData>
  <autoFilter ref="M2:M10" xr:uid="{00000000-0009-0000-0000-000001000000}"/>
  <mergeCells count="16">
    <mergeCell ref="V1:V2"/>
    <mergeCell ref="W1:X1"/>
    <mergeCell ref="Y1:Z1"/>
    <mergeCell ref="K1:K2"/>
    <mergeCell ref="L1:M1"/>
    <mergeCell ref="N1:O1"/>
    <mergeCell ref="S1:S2"/>
    <mergeCell ref="U1:U2"/>
    <mergeCell ref="T1:T2"/>
    <mergeCell ref="P1:R1"/>
    <mergeCell ref="J1:J2"/>
    <mergeCell ref="A1:A2"/>
    <mergeCell ref="B1:C1"/>
    <mergeCell ref="E1:G1"/>
    <mergeCell ref="H1:H2"/>
    <mergeCell ref="I1:I2"/>
  </mergeCells>
  <conditionalFormatting sqref="M3:M10 O3:T10">
    <cfRule type="cellIs" dxfId="20" priority="146" stopIfTrue="1" operator="between">
      <formula>TODAY()+1</formula>
      <formula>TODAY()+45</formula>
    </cfRule>
    <cfRule type="cellIs" dxfId="19" priority="147" stopIfTrue="1" operator="lessThan">
      <formula>TODAY()</formula>
    </cfRule>
  </conditionalFormatting>
  <conditionalFormatting sqref="M3:M10 O3:T10">
    <cfRule type="cellIs" dxfId="18" priority="145" stopIfTrue="1" operator="equal">
      <formula>TODAY()</formula>
    </cfRule>
  </conditionalFormatting>
  <conditionalFormatting sqref="D3:D10">
    <cfRule type="containsText" dxfId="17" priority="128" operator="containsText" text="n">
      <formula>NOT(ISERROR(SEARCH("n",D3)))</formula>
    </cfRule>
  </conditionalFormatting>
  <conditionalFormatting sqref="J3:K9 U3:U10">
    <cfRule type="cellIs" dxfId="16" priority="121" operator="equal">
      <formula>0</formula>
    </cfRule>
    <cfRule type="cellIs" dxfId="15" priority="122" operator="equal">
      <formula>0</formula>
    </cfRule>
    <cfRule type="cellIs" dxfId="14" priority="123" operator="equal">
      <formula>0</formula>
    </cfRule>
    <cfRule type="containsText" dxfId="13" priority="124" operator="containsText" text="&quot; &quot;">
      <formula>NOT(ISERROR(SEARCH(""" """,J3)))</formula>
    </cfRule>
  </conditionalFormatting>
  <conditionalFormatting sqref="T3:T10 P3:Q10">
    <cfRule type="cellIs" dxfId="12" priority="32" operator="notEqual">
      <formula>OR("J","j")</formula>
    </cfRule>
  </conditionalFormatting>
  <conditionalFormatting sqref="Q3:Q10">
    <cfRule type="cellIs" dxfId="11" priority="20" operator="between">
      <formula>1</formula>
      <formula>3</formula>
    </cfRule>
  </conditionalFormatting>
  <conditionalFormatting sqref="Q3:Q10">
    <cfRule type="cellIs" dxfId="10" priority="19" operator="equal">
      <formula>OR(0," ")</formula>
    </cfRule>
    <cfRule type="cellIs" dxfId="9" priority="21" operator="between">
      <formula>4</formula>
      <formula>6</formula>
    </cfRule>
  </conditionalFormatting>
  <conditionalFormatting sqref="P3:P10">
    <cfRule type="cellIs" dxfId="8" priority="10" operator="equal">
      <formula>"d"</formula>
    </cfRule>
  </conditionalFormatting>
  <conditionalFormatting sqref="Q3:Q10">
    <cfRule type="cellIs" dxfId="7" priority="7" operator="equal">
      <formula>5</formula>
    </cfRule>
    <cfRule type="cellIs" dxfId="6" priority="8" operator="equal">
      <formula>6</formula>
    </cfRule>
  </conditionalFormatting>
  <hyperlinks>
    <hyperlink ref="H1" r:id="rId1" xr:uid="{00000000-0004-0000-0100-000000000000}"/>
    <hyperlink ref="H3" r:id="rId2" xr:uid="{00000000-0004-0000-0100-000001000000}"/>
  </hyperlinks>
  <pageMargins left="0.70866141732283472" right="0.70866141732283472" top="0.78740157480314965" bottom="0.78740157480314965" header="0.31496062992125984" footer="0.31496062992125984"/>
  <pageSetup paperSize="9" scale="53" fitToHeight="0" orientation="landscape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S382"/>
  <sheetViews>
    <sheetView zoomScaleNormal="100" workbookViewId="0">
      <pane xSplit="2" ySplit="2" topLeftCell="C339" activePane="bottomRight" state="frozen"/>
      <selection pane="topRight" activeCell="C1" sqref="C1"/>
      <selection pane="bottomLeft" activeCell="A3" sqref="A3"/>
      <selection pane="bottomRight" activeCell="A351" sqref="A351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customWidth="1"/>
    <col min="4" max="5" width="11.3984375" style="1" customWidth="1"/>
    <col min="6" max="6" width="9.73046875" style="303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3" width="5.59765625" style="7" customWidth="1"/>
    <col min="14" max="14" width="7.86328125" style="14" customWidth="1"/>
    <col min="15" max="15" width="7.86328125" style="1" customWidth="1"/>
    <col min="16" max="16" width="25.3984375" style="1" customWidth="1"/>
    <col min="17" max="17" width="9.265625" style="1" bestFit="1" customWidth="1"/>
    <col min="18" max="16384" width="11.3984375" style="1"/>
  </cols>
  <sheetData>
    <row r="1" spans="1:17" s="5" customFormat="1" ht="13.15" x14ac:dyDescent="0.45">
      <c r="A1" s="104" t="s">
        <v>5</v>
      </c>
      <c r="B1" s="35" t="s">
        <v>27</v>
      </c>
      <c r="C1" s="513">
        <v>100</v>
      </c>
      <c r="D1" s="37">
        <f>'FH-Überw.'!H2</f>
        <v>8814</v>
      </c>
      <c r="E1" s="105"/>
      <c r="F1" s="300" t="s">
        <v>13</v>
      </c>
      <c r="G1" s="107" t="s">
        <v>10</v>
      </c>
      <c r="H1" s="107" t="s">
        <v>24</v>
      </c>
      <c r="I1" s="429" t="s">
        <v>15</v>
      </c>
      <c r="J1" s="651" t="s">
        <v>14</v>
      </c>
      <c r="K1" s="652"/>
      <c r="L1" s="108" t="s">
        <v>17</v>
      </c>
      <c r="M1" s="108"/>
      <c r="N1" s="411" t="s">
        <v>6</v>
      </c>
      <c r="O1" s="408" t="s">
        <v>7</v>
      </c>
      <c r="P1" s="437" t="s">
        <v>19</v>
      </c>
      <c r="Q1" s="451" t="s">
        <v>9</v>
      </c>
    </row>
    <row r="2" spans="1:17" s="6" customFormat="1" ht="13.15" x14ac:dyDescent="0.4">
      <c r="A2" s="96" t="s">
        <v>0</v>
      </c>
      <c r="B2" s="97" t="s">
        <v>1</v>
      </c>
      <c r="C2" s="98" t="s">
        <v>33</v>
      </c>
      <c r="D2" s="99" t="s">
        <v>2</v>
      </c>
      <c r="E2" s="99" t="s">
        <v>3</v>
      </c>
      <c r="F2" s="301" t="s">
        <v>12</v>
      </c>
      <c r="G2" s="99" t="s">
        <v>11</v>
      </c>
      <c r="H2" s="99" t="s">
        <v>25</v>
      </c>
      <c r="I2" s="430">
        <v>12736</v>
      </c>
      <c r="J2" s="70">
        <v>8525</v>
      </c>
      <c r="K2" s="72">
        <v>20</v>
      </c>
      <c r="L2" s="101" t="s">
        <v>18</v>
      </c>
      <c r="M2" s="101"/>
      <c r="N2" s="412">
        <v>2145.9</v>
      </c>
      <c r="O2" s="413" t="s">
        <v>20</v>
      </c>
      <c r="P2" s="438" t="s">
        <v>26</v>
      </c>
      <c r="Q2" s="452">
        <v>3.472222222222222E-3</v>
      </c>
    </row>
    <row r="3" spans="1:17" s="6" customFormat="1" ht="13.15" x14ac:dyDescent="0.4">
      <c r="A3" s="33">
        <v>42576</v>
      </c>
      <c r="B3" s="15"/>
      <c r="C3" s="39">
        <v>12</v>
      </c>
      <c r="D3" s="16">
        <v>0.69166666666666676</v>
      </c>
      <c r="E3" s="16">
        <v>0.73333333333333339</v>
      </c>
      <c r="F3" s="302"/>
      <c r="G3" s="268">
        <v>1</v>
      </c>
      <c r="H3" s="20"/>
      <c r="I3" s="431">
        <v>1</v>
      </c>
      <c r="J3" s="74">
        <f t="shared" ref="J3:J9" si="0">ROUNDDOWN(M3*24,0)</f>
        <v>0</v>
      </c>
      <c r="K3" s="75">
        <f t="shared" ref="K3:K9" si="1">(M3*24-J3)*60</f>
        <v>59.999999999999943</v>
      </c>
      <c r="L3" s="16">
        <f t="shared" ref="L3:L9" si="2">E3-D3</f>
        <v>4.166666666666663E-2</v>
      </c>
      <c r="M3" s="18">
        <f t="shared" ref="M3:M9" si="3">L3</f>
        <v>4.166666666666663E-2</v>
      </c>
      <c r="N3" s="414">
        <v>2146.9</v>
      </c>
      <c r="O3" s="415"/>
      <c r="P3" s="439"/>
      <c r="Q3" s="453">
        <f>IF(L3=0,0,$Q$2+L3)</f>
        <v>4.5138888888888853E-2</v>
      </c>
    </row>
    <row r="4" spans="1:17" s="6" customFormat="1" ht="13.15" x14ac:dyDescent="0.4">
      <c r="A4" s="34">
        <v>42581</v>
      </c>
      <c r="B4" s="1"/>
      <c r="C4" s="40">
        <v>2</v>
      </c>
      <c r="D4" s="7">
        <v>0.33333333333333331</v>
      </c>
      <c r="E4" s="7">
        <v>0.42708333333333331</v>
      </c>
      <c r="F4" s="303"/>
      <c r="G4" s="2">
        <v>0</v>
      </c>
      <c r="H4" s="3" t="s">
        <v>107</v>
      </c>
      <c r="I4" s="432">
        <v>1</v>
      </c>
      <c r="J4" s="74">
        <f t="shared" si="0"/>
        <v>2</v>
      </c>
      <c r="K4" s="75">
        <f t="shared" si="1"/>
        <v>15</v>
      </c>
      <c r="L4" s="7">
        <f t="shared" si="2"/>
        <v>9.375E-2</v>
      </c>
      <c r="M4" s="22">
        <f t="shared" si="3"/>
        <v>9.375E-2</v>
      </c>
      <c r="N4" s="416">
        <v>2149.4</v>
      </c>
      <c r="O4" s="417"/>
      <c r="P4" s="440"/>
      <c r="Q4" s="453">
        <f t="shared" ref="Q4:Q72" si="4">IF(L4=0,0,$Q$2+L4)</f>
        <v>9.7222222222222224E-2</v>
      </c>
    </row>
    <row r="5" spans="1:17" s="6" customFormat="1" ht="13.15" x14ac:dyDescent="0.4">
      <c r="A5" s="34">
        <v>42581</v>
      </c>
      <c r="B5" s="1"/>
      <c r="C5" s="40">
        <v>2</v>
      </c>
      <c r="D5" s="7">
        <v>0.47986111111111113</v>
      </c>
      <c r="E5" s="7">
        <v>0.57291666666666663</v>
      </c>
      <c r="F5" s="303"/>
      <c r="G5" s="2">
        <v>0</v>
      </c>
      <c r="H5" s="3" t="s">
        <v>108</v>
      </c>
      <c r="I5" s="432">
        <v>1</v>
      </c>
      <c r="J5" s="74">
        <f t="shared" si="0"/>
        <v>2</v>
      </c>
      <c r="K5" s="75">
        <f t="shared" si="1"/>
        <v>13.999999999999924</v>
      </c>
      <c r="L5" s="7">
        <f t="shared" si="2"/>
        <v>9.3055555555555503E-2</v>
      </c>
      <c r="M5" s="22">
        <f t="shared" si="3"/>
        <v>9.3055555555555503E-2</v>
      </c>
      <c r="N5" s="416">
        <v>2151.6</v>
      </c>
      <c r="O5" s="417"/>
      <c r="P5" s="440"/>
      <c r="Q5" s="453">
        <f t="shared" si="4"/>
        <v>9.6527777777777726E-2</v>
      </c>
    </row>
    <row r="6" spans="1:17" s="6" customFormat="1" ht="13.15" x14ac:dyDescent="0.4">
      <c r="A6" s="34">
        <v>42582</v>
      </c>
      <c r="B6" s="1"/>
      <c r="C6" s="40">
        <v>2</v>
      </c>
      <c r="D6" s="7">
        <v>0.3263888888888889</v>
      </c>
      <c r="E6" s="7">
        <v>0.43194444444444446</v>
      </c>
      <c r="F6" s="303"/>
      <c r="G6" s="2">
        <v>0</v>
      </c>
      <c r="H6" s="3" t="s">
        <v>107</v>
      </c>
      <c r="I6" s="432">
        <v>1</v>
      </c>
      <c r="J6" s="74">
        <f t="shared" si="0"/>
        <v>2</v>
      </c>
      <c r="K6" s="75">
        <f t="shared" si="1"/>
        <v>32.000000000000021</v>
      </c>
      <c r="L6" s="7">
        <f t="shared" si="2"/>
        <v>0.10555555555555557</v>
      </c>
      <c r="M6" s="22">
        <f t="shared" si="3"/>
        <v>0.10555555555555557</v>
      </c>
      <c r="N6" s="416">
        <v>2154.3000000000002</v>
      </c>
      <c r="O6" s="417"/>
      <c r="P6" s="440"/>
      <c r="Q6" s="453">
        <f t="shared" si="4"/>
        <v>0.10902777777777779</v>
      </c>
    </row>
    <row r="7" spans="1:17" s="6" customFormat="1" ht="13.15" x14ac:dyDescent="0.4">
      <c r="A7" s="34">
        <v>42582</v>
      </c>
      <c r="B7" s="1"/>
      <c r="C7" s="40">
        <v>2</v>
      </c>
      <c r="D7" s="7">
        <v>0.46458333333333335</v>
      </c>
      <c r="E7" s="7">
        <v>0.60138888888888886</v>
      </c>
      <c r="F7" s="303"/>
      <c r="G7" s="2">
        <v>1</v>
      </c>
      <c r="H7" s="3"/>
      <c r="I7" s="432">
        <v>1</v>
      </c>
      <c r="J7" s="74">
        <f t="shared" si="0"/>
        <v>3</v>
      </c>
      <c r="K7" s="75">
        <f t="shared" si="1"/>
        <v>16.99999999999994</v>
      </c>
      <c r="L7" s="7">
        <f t="shared" si="2"/>
        <v>0.13680555555555551</v>
      </c>
      <c r="M7" s="22">
        <f t="shared" si="3"/>
        <v>0.13680555555555551</v>
      </c>
      <c r="N7" s="416">
        <v>2157.5</v>
      </c>
      <c r="O7" s="417"/>
      <c r="P7" s="440"/>
      <c r="Q7" s="453">
        <f t="shared" si="4"/>
        <v>0.14027777777777772</v>
      </c>
    </row>
    <row r="8" spans="1:17" s="6" customFormat="1" ht="13.15" x14ac:dyDescent="0.4">
      <c r="A8" s="34">
        <v>42583</v>
      </c>
      <c r="B8" s="1"/>
      <c r="C8" s="40">
        <v>9</v>
      </c>
      <c r="D8" s="7">
        <v>0.66805555555555562</v>
      </c>
      <c r="E8" s="7">
        <v>0.69166666666666676</v>
      </c>
      <c r="F8" s="303"/>
      <c r="G8" s="2">
        <v>0</v>
      </c>
      <c r="H8" s="3" t="s">
        <v>109</v>
      </c>
      <c r="I8" s="432">
        <v>2</v>
      </c>
      <c r="J8" s="74">
        <f t="shared" si="0"/>
        <v>0</v>
      </c>
      <c r="K8" s="75">
        <f t="shared" si="1"/>
        <v>34.000000000000043</v>
      </c>
      <c r="L8" s="7">
        <f t="shared" si="2"/>
        <v>2.3611111111111138E-2</v>
      </c>
      <c r="M8" s="22">
        <f t="shared" si="3"/>
        <v>2.3611111111111138E-2</v>
      </c>
      <c r="N8" s="416">
        <v>2158</v>
      </c>
      <c r="O8" s="417"/>
      <c r="P8" s="440"/>
      <c r="Q8" s="453">
        <f t="shared" si="4"/>
        <v>2.7083333333333362E-2</v>
      </c>
    </row>
    <row r="9" spans="1:17" s="6" customFormat="1" ht="13.5" thickBot="1" x14ac:dyDescent="0.45">
      <c r="A9" s="38">
        <v>42583</v>
      </c>
      <c r="B9" s="24"/>
      <c r="C9" s="41">
        <v>12</v>
      </c>
      <c r="D9" s="9">
        <v>0.71250000000000002</v>
      </c>
      <c r="E9" s="9">
        <v>0.74583333333333324</v>
      </c>
      <c r="F9" s="304"/>
      <c r="G9" s="269">
        <v>2</v>
      </c>
      <c r="H9" s="28"/>
      <c r="I9" s="433">
        <v>2</v>
      </c>
      <c r="J9" s="76">
        <f t="shared" si="0"/>
        <v>0</v>
      </c>
      <c r="K9" s="77">
        <f t="shared" si="1"/>
        <v>47.999999999999829</v>
      </c>
      <c r="L9" s="9">
        <f t="shared" si="2"/>
        <v>3.3333333333333215E-2</v>
      </c>
      <c r="M9" s="26">
        <f t="shared" si="3"/>
        <v>3.3333333333333215E-2</v>
      </c>
      <c r="N9" s="418">
        <v>2158.8000000000002</v>
      </c>
      <c r="O9" s="419"/>
      <c r="P9" s="441"/>
      <c r="Q9" s="453">
        <f t="shared" si="4"/>
        <v>3.6805555555555439E-2</v>
      </c>
    </row>
    <row r="10" spans="1:17" s="6" customFormat="1" ht="13.5" hidden="1" thickBot="1" x14ac:dyDescent="0.45">
      <c r="A10" s="409"/>
      <c r="C10" s="42"/>
      <c r="F10" s="305"/>
      <c r="G10" s="266"/>
      <c r="H10" s="12"/>
      <c r="I10" s="434"/>
      <c r="J10" s="79">
        <f>SUM(J2:J9)</f>
        <v>8534</v>
      </c>
      <c r="K10" s="80">
        <f>SUM(K2:K9)</f>
        <v>239.99999999999972</v>
      </c>
      <c r="L10" s="10">
        <f>SUM(L3:L9)</f>
        <v>0.52777777777777757</v>
      </c>
      <c r="M10" s="10"/>
      <c r="N10" s="420">
        <f>MAX(N3:N9)</f>
        <v>2158.8000000000002</v>
      </c>
      <c r="O10" s="421">
        <f>MAX(O3:O9)</f>
        <v>0</v>
      </c>
      <c r="P10" s="442"/>
      <c r="Q10" s="454">
        <f t="shared" si="4"/>
        <v>0.53124999999999978</v>
      </c>
    </row>
    <row r="11" spans="1:17" s="6" customFormat="1" ht="13.5" thickBot="1" x14ac:dyDescent="0.45">
      <c r="A11" s="410" t="s">
        <v>16</v>
      </c>
      <c r="B11" s="89"/>
      <c r="C11" s="90"/>
      <c r="D11" s="89"/>
      <c r="E11" s="89"/>
      <c r="F11" s="306"/>
      <c r="G11" s="81"/>
      <c r="H11" s="92"/>
      <c r="I11" s="435">
        <f>I2+I3+I4+I5+I6+I7+I8+I9</f>
        <v>12745</v>
      </c>
      <c r="J11" s="81">
        <f>ROUNDDOWN(K10/60,0)+J10</f>
        <v>8538</v>
      </c>
      <c r="K11" s="82">
        <f>ROUND(K10-(ROUNDDOWN(K10/60,0)*60),0)</f>
        <v>0</v>
      </c>
      <c r="L11" s="271">
        <f>L10</f>
        <v>0.52777777777777757</v>
      </c>
      <c r="M11" s="93"/>
      <c r="N11" s="422">
        <f>N10-N2</f>
        <v>12.900000000000091</v>
      </c>
      <c r="O11" s="423" t="str">
        <f>IF(OR(O2="N/A",O2="N / A", O2="N/ A",O2="N /A"),"N / A",O10-O2)</f>
        <v>N / A</v>
      </c>
      <c r="P11" s="443"/>
      <c r="Q11" s="454">
        <f>SUM(Q3:Q9)</f>
        <v>0.55208333333333315</v>
      </c>
    </row>
    <row r="12" spans="1:17" ht="13.15" x14ac:dyDescent="0.35">
      <c r="A12" s="33">
        <v>42588</v>
      </c>
      <c r="B12" s="15"/>
      <c r="C12" s="39">
        <f>Charterer!A5</f>
        <v>2</v>
      </c>
      <c r="D12" s="16">
        <v>0.4513888888888889</v>
      </c>
      <c r="E12" s="16">
        <v>0.53611111111111109</v>
      </c>
      <c r="F12" s="302"/>
      <c r="G12" s="268">
        <v>0</v>
      </c>
      <c r="H12" s="20" t="s">
        <v>21</v>
      </c>
      <c r="I12" s="431">
        <v>1</v>
      </c>
      <c r="J12" s="74">
        <f>ROUNDDOWN(M12*24,0)</f>
        <v>2</v>
      </c>
      <c r="K12" s="75">
        <f>(M12*24-J12)*60</f>
        <v>1.9999999999999662</v>
      </c>
      <c r="L12" s="16">
        <f>E12-D12</f>
        <v>8.4722222222222199E-2</v>
      </c>
      <c r="M12" s="18">
        <f t="shared" ref="M12:M18" si="5">L12</f>
        <v>8.4722222222222199E-2</v>
      </c>
      <c r="N12" s="414">
        <v>2161</v>
      </c>
      <c r="O12" s="415"/>
      <c r="P12" s="439"/>
      <c r="Q12" s="453">
        <f t="shared" si="4"/>
        <v>8.8194444444444423E-2</v>
      </c>
    </row>
    <row r="13" spans="1:17" ht="13.15" x14ac:dyDescent="0.35">
      <c r="A13" s="34">
        <v>42589</v>
      </c>
      <c r="C13" s="40">
        <f>Charterer!A5</f>
        <v>2</v>
      </c>
      <c r="D13" s="7">
        <v>0.48819444444444443</v>
      </c>
      <c r="E13" s="7">
        <v>0.56041666666666667</v>
      </c>
      <c r="G13" s="2">
        <v>1</v>
      </c>
      <c r="I13" s="432">
        <v>1</v>
      </c>
      <c r="J13" s="74">
        <f t="shared" ref="J13:J18" si="6">ROUNDDOWN(M13*24,0)</f>
        <v>1</v>
      </c>
      <c r="K13" s="75">
        <f t="shared" ref="K13:K18" si="7">(M13*24-J13)*60</f>
        <v>44.000000000000028</v>
      </c>
      <c r="L13" s="7">
        <f t="shared" ref="L13:L18" si="8">E13-D13</f>
        <v>7.2222222222222243E-2</v>
      </c>
      <c r="M13" s="22">
        <f t="shared" si="5"/>
        <v>7.2222222222222243E-2</v>
      </c>
      <c r="N13" s="416">
        <v>2162.8000000000002</v>
      </c>
      <c r="O13" s="417"/>
      <c r="P13" s="440"/>
      <c r="Q13" s="453">
        <f t="shared" si="4"/>
        <v>7.5694444444444467E-2</v>
      </c>
    </row>
    <row r="14" spans="1:17" ht="13.15" x14ac:dyDescent="0.35">
      <c r="A14" s="34">
        <v>42595</v>
      </c>
      <c r="C14" s="40">
        <f>Charterer!A5</f>
        <v>2</v>
      </c>
      <c r="D14" s="7">
        <v>0.40347222222222223</v>
      </c>
      <c r="E14" s="7">
        <v>0.4916666666666667</v>
      </c>
      <c r="G14" s="2">
        <v>0</v>
      </c>
      <c r="H14" s="3" t="s">
        <v>22</v>
      </c>
      <c r="I14" s="432">
        <v>1</v>
      </c>
      <c r="J14" s="74">
        <f>ROUNDDOWN(M14*24,0)</f>
        <v>2</v>
      </c>
      <c r="K14" s="75">
        <f>(M14*24-J14)*60</f>
        <v>7.0000000000000284</v>
      </c>
      <c r="L14" s="7">
        <f>E14-D14</f>
        <v>8.8194444444444464E-2</v>
      </c>
      <c r="M14" s="22">
        <f t="shared" si="5"/>
        <v>8.8194444444444464E-2</v>
      </c>
      <c r="N14" s="416">
        <v>2165.1</v>
      </c>
      <c r="O14" s="417"/>
      <c r="P14" s="440"/>
      <c r="Q14" s="453">
        <f t="shared" si="4"/>
        <v>9.1666666666666688E-2</v>
      </c>
    </row>
    <row r="15" spans="1:17" ht="13.15" x14ac:dyDescent="0.35">
      <c r="A15" s="34">
        <v>42596</v>
      </c>
      <c r="C15" s="40">
        <f>Charterer!A5</f>
        <v>2</v>
      </c>
      <c r="D15" s="7">
        <v>0.63541666666666663</v>
      </c>
      <c r="E15" s="7">
        <v>0.73125000000000007</v>
      </c>
      <c r="G15" s="2">
        <v>1</v>
      </c>
      <c r="I15" s="432">
        <v>1</v>
      </c>
      <c r="J15" s="74">
        <f t="shared" si="6"/>
        <v>2</v>
      </c>
      <c r="K15" s="75">
        <f t="shared" si="7"/>
        <v>18.000000000000149</v>
      </c>
      <c r="L15" s="7">
        <f t="shared" si="8"/>
        <v>9.5833333333333437E-2</v>
      </c>
      <c r="M15" s="22">
        <f t="shared" si="5"/>
        <v>9.5833333333333437E-2</v>
      </c>
      <c r="N15" s="416">
        <v>2167.4</v>
      </c>
      <c r="O15" s="417"/>
      <c r="P15" s="444" t="s">
        <v>23</v>
      </c>
      <c r="Q15" s="453">
        <f t="shared" si="4"/>
        <v>9.9305555555555661E-2</v>
      </c>
    </row>
    <row r="16" spans="1:17" ht="13.15" x14ac:dyDescent="0.35">
      <c r="A16" s="34">
        <v>42603</v>
      </c>
      <c r="C16" s="40">
        <f>Charterer!A7</f>
        <v>4</v>
      </c>
      <c r="D16" s="7">
        <v>0.31944444444444448</v>
      </c>
      <c r="E16" s="7">
        <v>0.37986111111111115</v>
      </c>
      <c r="G16" s="2">
        <v>4</v>
      </c>
      <c r="I16" s="432">
        <v>4</v>
      </c>
      <c r="J16" s="74">
        <f>ROUNDDOWN(M16*24,0)</f>
        <v>1</v>
      </c>
      <c r="K16" s="75">
        <f>(M16*24-J16)*60</f>
        <v>27.000000000000011</v>
      </c>
      <c r="L16" s="7">
        <f t="shared" si="8"/>
        <v>6.0416666666666674E-2</v>
      </c>
      <c r="M16" s="22">
        <f t="shared" si="5"/>
        <v>6.0416666666666674E-2</v>
      </c>
      <c r="N16" s="416">
        <v>2168.6999999999998</v>
      </c>
      <c r="O16" s="417"/>
      <c r="P16" s="440"/>
      <c r="Q16" s="453">
        <f t="shared" si="4"/>
        <v>6.3888888888888898E-2</v>
      </c>
    </row>
    <row r="17" spans="1:17" ht="13.15" x14ac:dyDescent="0.35">
      <c r="A17" s="34">
        <v>42609</v>
      </c>
      <c r="C17" s="40">
        <f>Charterer!A5</f>
        <v>2</v>
      </c>
      <c r="D17" s="7">
        <v>0.3354166666666667</v>
      </c>
      <c r="E17" s="7">
        <v>0.46111111111111108</v>
      </c>
      <c r="G17" s="2">
        <v>0</v>
      </c>
      <c r="H17" s="3" t="s">
        <v>99</v>
      </c>
      <c r="I17" s="432">
        <v>1</v>
      </c>
      <c r="J17" s="74">
        <f t="shared" si="6"/>
        <v>3</v>
      </c>
      <c r="K17" s="75">
        <f t="shared" si="7"/>
        <v>0.99999999999991651</v>
      </c>
      <c r="L17" s="7">
        <f t="shared" si="8"/>
        <v>0.12569444444444439</v>
      </c>
      <c r="M17" s="22">
        <f t="shared" si="5"/>
        <v>0.12569444444444439</v>
      </c>
      <c r="N17" s="416">
        <v>2171.9</v>
      </c>
      <c r="O17" s="417"/>
      <c r="P17" s="440"/>
      <c r="Q17" s="453">
        <f t="shared" si="4"/>
        <v>0.1291666666666666</v>
      </c>
    </row>
    <row r="18" spans="1:17" ht="13.5" thickBot="1" x14ac:dyDescent="0.4">
      <c r="A18" s="38">
        <v>42610</v>
      </c>
      <c r="B18" s="24"/>
      <c r="C18" s="41">
        <f>Charterer!A5</f>
        <v>2</v>
      </c>
      <c r="D18" s="9">
        <v>0.70416666666666661</v>
      </c>
      <c r="E18" s="9">
        <v>0.78194444444444444</v>
      </c>
      <c r="F18" s="304"/>
      <c r="G18" s="269">
        <v>1</v>
      </c>
      <c r="H18" s="28"/>
      <c r="I18" s="433">
        <v>1</v>
      </c>
      <c r="J18" s="76">
        <f t="shared" si="6"/>
        <v>1</v>
      </c>
      <c r="K18" s="77">
        <f t="shared" si="7"/>
        <v>52.000000000000085</v>
      </c>
      <c r="L18" s="9">
        <f t="shared" si="8"/>
        <v>7.7777777777777835E-2</v>
      </c>
      <c r="M18" s="26">
        <f t="shared" si="5"/>
        <v>7.7777777777777835E-2</v>
      </c>
      <c r="N18" s="418">
        <v>2173.6999999999998</v>
      </c>
      <c r="O18" s="419"/>
      <c r="P18" s="441"/>
      <c r="Q18" s="453">
        <f t="shared" si="4"/>
        <v>8.1250000000000058E-2</v>
      </c>
    </row>
    <row r="19" spans="1:17" s="6" customFormat="1" ht="13.5" hidden="1" thickBot="1" x14ac:dyDescent="0.45">
      <c r="A19" s="409"/>
      <c r="C19" s="42"/>
      <c r="F19" s="305"/>
      <c r="G19" s="266"/>
      <c r="H19" s="12"/>
      <c r="I19" s="434"/>
      <c r="J19" s="79">
        <f>SUM(J11:J18)</f>
        <v>8550</v>
      </c>
      <c r="K19" s="80">
        <f>SUM(K11:K18)</f>
        <v>151.00000000000017</v>
      </c>
      <c r="L19" s="10">
        <f>SUM(L12:L18)</f>
        <v>0.60486111111111118</v>
      </c>
      <c r="M19" s="10"/>
      <c r="N19" s="420">
        <f>MAX(N12:N18)</f>
        <v>2173.6999999999998</v>
      </c>
      <c r="O19" s="421">
        <f>MAX(O12:O18)</f>
        <v>0</v>
      </c>
      <c r="P19" s="442"/>
      <c r="Q19" s="454">
        <f t="shared" si="4"/>
        <v>0.60833333333333339</v>
      </c>
    </row>
    <row r="20" spans="1:17" ht="13.5" thickBot="1" x14ac:dyDescent="0.45">
      <c r="A20" s="410" t="s">
        <v>16</v>
      </c>
      <c r="B20" s="89"/>
      <c r="C20" s="90"/>
      <c r="D20" s="89"/>
      <c r="E20" s="89"/>
      <c r="F20" s="306"/>
      <c r="G20" s="81"/>
      <c r="H20" s="92"/>
      <c r="I20" s="435">
        <f>I11+I12+I13+I14+I15+I16+I17+I18</f>
        <v>12755</v>
      </c>
      <c r="J20" s="81">
        <f>ROUNDDOWN(K19/60,0)+J19</f>
        <v>8552</v>
      </c>
      <c r="K20" s="82">
        <f>ROUND(K19-(ROUNDDOWN(K19/60,0)*60),0)</f>
        <v>31</v>
      </c>
      <c r="L20" s="271">
        <f>L19</f>
        <v>0.60486111111111118</v>
      </c>
      <c r="M20" s="93"/>
      <c r="N20" s="422">
        <f>N19-N10</f>
        <v>14.899999999999636</v>
      </c>
      <c r="O20" s="423" t="str">
        <f>IF(OR(O11="N/A",O11="N / A", O11="N/ A",O11="N /A"),"N / A",O19-O10)</f>
        <v>N / A</v>
      </c>
      <c r="P20" s="443"/>
      <c r="Q20" s="454">
        <f>SUM(Q12:Q18)</f>
        <v>0.62916666666666676</v>
      </c>
    </row>
    <row r="21" spans="1:17" ht="13.15" x14ac:dyDescent="0.35">
      <c r="A21" s="34">
        <v>42623</v>
      </c>
      <c r="C21" s="40" t="e">
        <f>Charterer!#REF!</f>
        <v>#REF!</v>
      </c>
      <c r="D21" s="7">
        <v>0.4236111111111111</v>
      </c>
      <c r="E21" s="7">
        <v>0.4604166666666667</v>
      </c>
      <c r="G21" s="2">
        <v>1</v>
      </c>
      <c r="I21" s="432">
        <v>1</v>
      </c>
      <c r="J21" s="74">
        <f>ROUNDDOWN(M21*24,0)</f>
        <v>0</v>
      </c>
      <c r="K21" s="75">
        <f>(M21*24-J21)*60</f>
        <v>53.00000000000005</v>
      </c>
      <c r="L21" s="7">
        <f>E21-D21</f>
        <v>3.6805555555555591E-2</v>
      </c>
      <c r="M21" s="22">
        <f>L21</f>
        <v>3.6805555555555591E-2</v>
      </c>
      <c r="N21" s="416">
        <v>2174.5</v>
      </c>
      <c r="O21" s="417"/>
      <c r="P21" s="440"/>
      <c r="Q21" s="453">
        <f t="shared" si="4"/>
        <v>4.0277777777777815E-2</v>
      </c>
    </row>
    <row r="22" spans="1:17" ht="13.15" x14ac:dyDescent="0.35">
      <c r="A22" s="34">
        <v>42623</v>
      </c>
      <c r="C22" s="40">
        <f>Charterer!A9</f>
        <v>6</v>
      </c>
      <c r="D22" s="7">
        <v>0.56388888888888888</v>
      </c>
      <c r="E22" s="7">
        <v>0.61319444444444449</v>
      </c>
      <c r="G22" s="2">
        <v>0</v>
      </c>
      <c r="H22" s="3" t="s">
        <v>103</v>
      </c>
      <c r="I22" s="432">
        <v>1</v>
      </c>
      <c r="J22" s="74">
        <f t="shared" ref="J22:J27" si="9">ROUNDDOWN(M22*24,0)</f>
        <v>1</v>
      </c>
      <c r="K22" s="75">
        <f t="shared" ref="K22:K27" si="10">(M22*24-J22)*60</f>
        <v>11.000000000000068</v>
      </c>
      <c r="L22" s="7">
        <f t="shared" ref="L22:L27" si="11">E22-D22</f>
        <v>4.9305555555555602E-2</v>
      </c>
      <c r="M22" s="22">
        <f t="shared" ref="M22:M27" si="12">L22</f>
        <v>4.9305555555555602E-2</v>
      </c>
      <c r="N22" s="416">
        <v>2175.6</v>
      </c>
      <c r="O22" s="417"/>
      <c r="P22" s="445" t="s">
        <v>120</v>
      </c>
      <c r="Q22" s="453">
        <f t="shared" si="4"/>
        <v>5.2777777777777826E-2</v>
      </c>
    </row>
    <row r="23" spans="1:17" ht="13.15" x14ac:dyDescent="0.35">
      <c r="A23" s="34">
        <v>42623</v>
      </c>
      <c r="C23" s="40">
        <f>Charterer!A9</f>
        <v>6</v>
      </c>
      <c r="D23" s="7">
        <v>0.67222222222222217</v>
      </c>
      <c r="E23" s="7">
        <v>0.71527777777777779</v>
      </c>
      <c r="G23" s="2">
        <v>1</v>
      </c>
      <c r="I23" s="432">
        <v>1</v>
      </c>
      <c r="J23" s="74">
        <f t="shared" si="9"/>
        <v>1</v>
      </c>
      <c r="K23" s="75">
        <f t="shared" si="10"/>
        <v>2.0000000000000995</v>
      </c>
      <c r="L23" s="7">
        <f t="shared" si="11"/>
        <v>4.3055555555555625E-2</v>
      </c>
      <c r="M23" s="22">
        <f t="shared" si="12"/>
        <v>4.3055555555555625E-2</v>
      </c>
      <c r="N23" s="416">
        <v>2176.6</v>
      </c>
      <c r="O23" s="417"/>
      <c r="P23" s="440"/>
      <c r="Q23" s="453">
        <f t="shared" si="4"/>
        <v>4.6527777777777848E-2</v>
      </c>
    </row>
    <row r="24" spans="1:17" ht="13.15" x14ac:dyDescent="0.35">
      <c r="A24" s="34">
        <v>42634</v>
      </c>
      <c r="C24" s="40">
        <v>0</v>
      </c>
      <c r="D24" s="7">
        <v>0.7402777777777777</v>
      </c>
      <c r="E24" s="7">
        <v>0.75</v>
      </c>
      <c r="G24" s="2">
        <v>3</v>
      </c>
      <c r="I24" s="432">
        <v>3</v>
      </c>
      <c r="J24" s="74">
        <f t="shared" si="9"/>
        <v>0</v>
      </c>
      <c r="K24" s="75">
        <f t="shared" si="10"/>
        <v>14.00000000000011</v>
      </c>
      <c r="L24" s="7">
        <f t="shared" si="11"/>
        <v>9.7222222222222987E-3</v>
      </c>
      <c r="M24" s="22">
        <f t="shared" si="12"/>
        <v>9.7222222222222987E-3</v>
      </c>
      <c r="N24" s="416">
        <v>2176.9</v>
      </c>
      <c r="O24" s="417"/>
      <c r="P24" s="440"/>
      <c r="Q24" s="453">
        <f t="shared" si="4"/>
        <v>1.3194444444444521E-2</v>
      </c>
    </row>
    <row r="25" spans="1:17" ht="13.15" x14ac:dyDescent="0.35">
      <c r="A25" s="34">
        <v>42637</v>
      </c>
      <c r="C25" s="40">
        <v>9</v>
      </c>
      <c r="D25" s="7">
        <v>0.36805555555555558</v>
      </c>
      <c r="E25" s="7">
        <v>0.41319444444444442</v>
      </c>
      <c r="G25" s="2">
        <v>0</v>
      </c>
      <c r="H25" s="3" t="s">
        <v>104</v>
      </c>
      <c r="I25" s="432">
        <v>1</v>
      </c>
      <c r="J25" s="74">
        <f t="shared" si="9"/>
        <v>1</v>
      </c>
      <c r="K25" s="75">
        <f t="shared" si="10"/>
        <v>4.9999999999999289</v>
      </c>
      <c r="L25" s="7">
        <f t="shared" si="11"/>
        <v>4.513888888888884E-2</v>
      </c>
      <c r="M25" s="22">
        <f t="shared" si="12"/>
        <v>4.513888888888884E-2</v>
      </c>
      <c r="N25" s="416">
        <v>2178</v>
      </c>
      <c r="O25" s="417"/>
      <c r="P25" s="440"/>
      <c r="Q25" s="453">
        <f t="shared" si="4"/>
        <v>4.8611111111111063E-2</v>
      </c>
    </row>
    <row r="26" spans="1:17" ht="13.15" x14ac:dyDescent="0.35">
      <c r="A26" s="34">
        <v>42637</v>
      </c>
      <c r="C26" s="40">
        <v>9</v>
      </c>
      <c r="D26" s="7">
        <v>0.5541666666666667</v>
      </c>
      <c r="E26" s="7">
        <v>0.57847222222222217</v>
      </c>
      <c r="G26" s="2">
        <v>0</v>
      </c>
      <c r="H26" s="3" t="s">
        <v>105</v>
      </c>
      <c r="I26" s="432">
        <v>1</v>
      </c>
      <c r="J26" s="74">
        <f t="shared" si="9"/>
        <v>0</v>
      </c>
      <c r="K26" s="75">
        <f t="shared" si="10"/>
        <v>34.999999999999872</v>
      </c>
      <c r="L26" s="7">
        <f t="shared" si="11"/>
        <v>2.4305555555555469E-2</v>
      </c>
      <c r="M26" s="22">
        <f t="shared" si="12"/>
        <v>2.4305555555555469E-2</v>
      </c>
      <c r="N26" s="416">
        <v>2178.6</v>
      </c>
      <c r="O26" s="417"/>
      <c r="P26" s="440"/>
      <c r="Q26" s="453">
        <f t="shared" si="4"/>
        <v>2.7777777777777693E-2</v>
      </c>
    </row>
    <row r="27" spans="1:17" ht="13.5" thickBot="1" x14ac:dyDescent="0.4">
      <c r="A27" s="38">
        <v>42637</v>
      </c>
      <c r="B27" s="24"/>
      <c r="C27" s="41">
        <v>12</v>
      </c>
      <c r="D27" s="9">
        <v>0.61111111111111105</v>
      </c>
      <c r="E27" s="9">
        <v>0.65833333333333333</v>
      </c>
      <c r="F27" s="304"/>
      <c r="G27" s="269">
        <v>1</v>
      </c>
      <c r="H27" s="28"/>
      <c r="I27" s="433">
        <v>1</v>
      </c>
      <c r="J27" s="76">
        <f t="shared" si="9"/>
        <v>1</v>
      </c>
      <c r="K27" s="77">
        <f t="shared" si="10"/>
        <v>8.0000000000000782</v>
      </c>
      <c r="L27" s="9">
        <f t="shared" si="11"/>
        <v>4.7222222222222276E-2</v>
      </c>
      <c r="M27" s="26">
        <f t="shared" si="12"/>
        <v>4.7222222222222276E-2</v>
      </c>
      <c r="N27" s="418">
        <v>2179.6999999999998</v>
      </c>
      <c r="O27" s="419"/>
      <c r="P27" s="441"/>
      <c r="Q27" s="453">
        <f t="shared" si="4"/>
        <v>5.06944444444445E-2</v>
      </c>
    </row>
    <row r="28" spans="1:17" ht="13.5" hidden="1" thickBot="1" x14ac:dyDescent="0.45">
      <c r="A28" s="409"/>
      <c r="B28" s="6"/>
      <c r="C28" s="42"/>
      <c r="D28" s="6"/>
      <c r="E28" s="6"/>
      <c r="F28" s="305"/>
      <c r="G28" s="266"/>
      <c r="H28" s="12"/>
      <c r="I28" s="434"/>
      <c r="J28" s="79">
        <f>SUM(J20:J27)</f>
        <v>8556</v>
      </c>
      <c r="K28" s="80">
        <f>SUM(K20:K27)</f>
        <v>159.00000000000023</v>
      </c>
      <c r="L28" s="10">
        <f>SUM(L21:L27)</f>
        <v>0.2555555555555557</v>
      </c>
      <c r="M28" s="10"/>
      <c r="N28" s="420">
        <f>MAX(N21:N27)</f>
        <v>2179.6999999999998</v>
      </c>
      <c r="O28" s="421">
        <f>MAX(O21:O27)</f>
        <v>0</v>
      </c>
      <c r="P28" s="442"/>
      <c r="Q28" s="454">
        <f t="shared" si="4"/>
        <v>0.25902777777777791</v>
      </c>
    </row>
    <row r="29" spans="1:17" ht="13.5" thickBot="1" x14ac:dyDescent="0.45">
      <c r="A29" s="410" t="s">
        <v>16</v>
      </c>
      <c r="B29" s="89"/>
      <c r="C29" s="90"/>
      <c r="D29" s="89"/>
      <c r="E29" s="89"/>
      <c r="F29" s="306"/>
      <c r="G29" s="81"/>
      <c r="H29" s="92"/>
      <c r="I29" s="435">
        <f>I20+I21+I22+I23+I24+I25+I26+I27</f>
        <v>12764</v>
      </c>
      <c r="J29" s="81">
        <f>ROUNDDOWN(K28/60,0)+J28</f>
        <v>8558</v>
      </c>
      <c r="K29" s="82">
        <f>ROUND(K28-(ROUNDDOWN(K28/60,0)*60),0)</f>
        <v>39</v>
      </c>
      <c r="L29" s="271">
        <f>L28</f>
        <v>0.2555555555555557</v>
      </c>
      <c r="M29" s="93"/>
      <c r="N29" s="422">
        <f>N28-N19</f>
        <v>6</v>
      </c>
      <c r="O29" s="423" t="str">
        <f>IF(OR(O20="N/A",O20="N / A", O20="N/ A",O20="N /A"),"N / A",O28-O19)</f>
        <v>N / A</v>
      </c>
      <c r="P29" s="443"/>
      <c r="Q29" s="454">
        <f>SUM(Q21:Q27)</f>
        <v>0.27986111111111123</v>
      </c>
    </row>
    <row r="30" spans="1:17" ht="13.15" x14ac:dyDescent="0.35">
      <c r="A30" s="34">
        <v>42638</v>
      </c>
      <c r="C30" s="40">
        <v>13</v>
      </c>
      <c r="D30" s="7">
        <v>0.51527777777777783</v>
      </c>
      <c r="E30" s="7">
        <v>0.56597222222222221</v>
      </c>
      <c r="G30" s="2">
        <v>0</v>
      </c>
      <c r="H30" s="3" t="s">
        <v>103</v>
      </c>
      <c r="I30" s="432">
        <v>1</v>
      </c>
      <c r="J30" s="74">
        <f>ROUNDDOWN(M30*24,0)</f>
        <v>1</v>
      </c>
      <c r="K30" s="75">
        <f>(M30*24-J30)*60</f>
        <v>12.999999999999901</v>
      </c>
      <c r="L30" s="7">
        <f>E30-D30</f>
        <v>5.0694444444444375E-2</v>
      </c>
      <c r="M30" s="22">
        <f>L30</f>
        <v>5.0694444444444375E-2</v>
      </c>
      <c r="N30" s="416">
        <v>2179.9</v>
      </c>
      <c r="O30" s="417"/>
      <c r="P30" s="445" t="s">
        <v>120</v>
      </c>
      <c r="Q30" s="453">
        <f t="shared" si="4"/>
        <v>5.4166666666666599E-2</v>
      </c>
    </row>
    <row r="31" spans="1:17" ht="13.15" x14ac:dyDescent="0.35">
      <c r="A31" s="34">
        <v>42638</v>
      </c>
      <c r="C31" s="40">
        <v>13</v>
      </c>
      <c r="D31" s="7">
        <v>0.60902777777777783</v>
      </c>
      <c r="E31" s="7">
        <v>0.64861111111111114</v>
      </c>
      <c r="G31" s="2">
        <v>1</v>
      </c>
      <c r="H31" s="3" t="s">
        <v>11</v>
      </c>
      <c r="I31" s="432">
        <v>1</v>
      </c>
      <c r="J31" s="74">
        <f t="shared" ref="J31:J36" si="13">ROUNDDOWN(M31*24,0)</f>
        <v>0</v>
      </c>
      <c r="K31" s="75">
        <f t="shared" ref="K31:K36" si="14">(M31*24-J31)*60</f>
        <v>56.999999999999957</v>
      </c>
      <c r="L31" s="7">
        <f t="shared" ref="L31:L36" si="15">E31-D31</f>
        <v>3.9583333333333304E-2</v>
      </c>
      <c r="M31" s="22">
        <f t="shared" ref="M31:M36" si="16">L31</f>
        <v>3.9583333333333304E-2</v>
      </c>
      <c r="N31" s="416">
        <v>2181.9</v>
      </c>
      <c r="O31" s="417"/>
      <c r="P31" s="440"/>
      <c r="Q31" s="453">
        <f t="shared" si="4"/>
        <v>4.3055555555555527E-2</v>
      </c>
    </row>
    <row r="32" spans="1:17" ht="13.15" x14ac:dyDescent="0.35">
      <c r="A32" s="34">
        <v>42646</v>
      </c>
      <c r="C32" s="40">
        <v>15</v>
      </c>
      <c r="D32" s="7">
        <v>0.49652777777777773</v>
      </c>
      <c r="E32" s="7">
        <v>0.53472222222222221</v>
      </c>
      <c r="G32" s="2">
        <v>0</v>
      </c>
      <c r="H32" s="3" t="s">
        <v>110</v>
      </c>
      <c r="I32" s="432">
        <v>3</v>
      </c>
      <c r="J32" s="74">
        <f t="shared" si="13"/>
        <v>0</v>
      </c>
      <c r="K32" s="75">
        <f t="shared" si="14"/>
        <v>55.000000000000043</v>
      </c>
      <c r="L32" s="7">
        <f t="shared" si="15"/>
        <v>3.8194444444444475E-2</v>
      </c>
      <c r="M32" s="22">
        <f t="shared" si="16"/>
        <v>3.8194444444444475E-2</v>
      </c>
      <c r="N32" s="416">
        <v>2182.6999999999998</v>
      </c>
      <c r="O32" s="417"/>
      <c r="P32" s="440"/>
      <c r="Q32" s="453">
        <f t="shared" si="4"/>
        <v>4.1666666666666699E-2</v>
      </c>
    </row>
    <row r="33" spans="1:19" ht="13.15" x14ac:dyDescent="0.35">
      <c r="A33" s="34">
        <v>42646</v>
      </c>
      <c r="C33" s="40">
        <v>15</v>
      </c>
      <c r="D33" s="7">
        <v>0.5541666666666667</v>
      </c>
      <c r="E33" s="7">
        <v>0.56458333333333333</v>
      </c>
      <c r="G33" s="2">
        <v>1</v>
      </c>
      <c r="I33" s="432">
        <v>1</v>
      </c>
      <c r="J33" s="74">
        <f t="shared" si="13"/>
        <v>0</v>
      </c>
      <c r="K33" s="75">
        <f t="shared" si="14"/>
        <v>14.999999999999947</v>
      </c>
      <c r="L33" s="7">
        <f t="shared" si="15"/>
        <v>1.041666666666663E-2</v>
      </c>
      <c r="M33" s="22">
        <f t="shared" si="16"/>
        <v>1.041666666666663E-2</v>
      </c>
      <c r="N33" s="416">
        <v>2183</v>
      </c>
      <c r="O33" s="417"/>
      <c r="P33" s="440"/>
      <c r="Q33" s="453">
        <f t="shared" si="4"/>
        <v>1.3888888888888852E-2</v>
      </c>
    </row>
    <row r="34" spans="1:19" ht="13.15" x14ac:dyDescent="0.35">
      <c r="A34" s="34">
        <v>42666</v>
      </c>
      <c r="C34" s="40">
        <v>15</v>
      </c>
      <c r="D34" s="7">
        <v>0.5229166666666667</v>
      </c>
      <c r="E34" s="7">
        <v>0.57916666666666672</v>
      </c>
      <c r="G34" s="2">
        <v>1</v>
      </c>
      <c r="I34" s="432">
        <v>1</v>
      </c>
      <c r="J34" s="74">
        <f t="shared" si="13"/>
        <v>1</v>
      </c>
      <c r="K34" s="75">
        <f t="shared" si="14"/>
        <v>21.000000000000032</v>
      </c>
      <c r="L34" s="7">
        <f t="shared" si="15"/>
        <v>5.6250000000000022E-2</v>
      </c>
      <c r="M34" s="22">
        <f t="shared" si="16"/>
        <v>5.6250000000000022E-2</v>
      </c>
      <c r="N34" s="416">
        <v>2184.4</v>
      </c>
      <c r="O34" s="417"/>
      <c r="P34" s="440"/>
      <c r="Q34" s="453">
        <f t="shared" si="4"/>
        <v>5.9722222222222246E-2</v>
      </c>
    </row>
    <row r="35" spans="1:19" ht="13.15" x14ac:dyDescent="0.35">
      <c r="A35" s="34">
        <v>42674</v>
      </c>
      <c r="C35" s="40">
        <v>1</v>
      </c>
      <c r="D35" s="7">
        <v>0.71458333333333324</v>
      </c>
      <c r="E35" s="7">
        <v>0.75347222222222221</v>
      </c>
      <c r="G35" s="2">
        <v>1</v>
      </c>
      <c r="I35" s="432">
        <v>1</v>
      </c>
      <c r="J35" s="74">
        <f t="shared" si="13"/>
        <v>0</v>
      </c>
      <c r="K35" s="75">
        <f t="shared" si="14"/>
        <v>56.000000000000121</v>
      </c>
      <c r="L35" s="7">
        <f t="shared" si="15"/>
        <v>3.8888888888888973E-2</v>
      </c>
      <c r="M35" s="22">
        <f t="shared" si="16"/>
        <v>3.8888888888888973E-2</v>
      </c>
      <c r="N35" s="416">
        <v>2185.1999999999998</v>
      </c>
      <c r="O35" s="417"/>
      <c r="P35" s="440"/>
      <c r="Q35" s="453">
        <f t="shared" si="4"/>
        <v>4.2361111111111197E-2</v>
      </c>
    </row>
    <row r="36" spans="1:19" ht="13.5" thickBot="1" x14ac:dyDescent="0.4">
      <c r="A36" s="38">
        <v>42686</v>
      </c>
      <c r="B36" s="24"/>
      <c r="C36" s="41">
        <v>1</v>
      </c>
      <c r="D36" s="9">
        <v>0.54652777777777783</v>
      </c>
      <c r="E36" s="9">
        <v>0.59027777777777779</v>
      </c>
      <c r="F36" s="304"/>
      <c r="G36" s="269">
        <v>1</v>
      </c>
      <c r="H36" s="28"/>
      <c r="I36" s="433">
        <v>1</v>
      </c>
      <c r="J36" s="76">
        <f t="shared" si="13"/>
        <v>1</v>
      </c>
      <c r="K36" s="77">
        <f t="shared" si="14"/>
        <v>2.9999999999999361</v>
      </c>
      <c r="L36" s="9">
        <f t="shared" si="15"/>
        <v>4.3749999999999956E-2</v>
      </c>
      <c r="M36" s="26">
        <f t="shared" si="16"/>
        <v>4.3749999999999956E-2</v>
      </c>
      <c r="N36" s="418">
        <v>2186.4</v>
      </c>
      <c r="O36" s="419"/>
      <c r="P36" s="441"/>
      <c r="Q36" s="453">
        <f t="shared" si="4"/>
        <v>4.7222222222222179E-2</v>
      </c>
    </row>
    <row r="37" spans="1:19" ht="13.5" hidden="1" thickBot="1" x14ac:dyDescent="0.45">
      <c r="A37" s="409"/>
      <c r="B37" s="6"/>
      <c r="C37" s="42"/>
      <c r="D37" s="6"/>
      <c r="E37" s="6"/>
      <c r="F37" s="305"/>
      <c r="G37" s="266"/>
      <c r="H37" s="12"/>
      <c r="I37" s="434"/>
      <c r="J37" s="79">
        <f>SUM(J29:J36)</f>
        <v>8561</v>
      </c>
      <c r="K37" s="80">
        <f>SUM(K29:K36)</f>
        <v>258.99999999999989</v>
      </c>
      <c r="L37" s="10">
        <f>SUM(L30:L36)</f>
        <v>0.27777777777777773</v>
      </c>
      <c r="M37" s="10"/>
      <c r="N37" s="424">
        <f>MAX(N30:N36)</f>
        <v>2186.4</v>
      </c>
      <c r="O37" s="425">
        <f>MAX(O30:O36)</f>
        <v>0</v>
      </c>
      <c r="P37" s="442"/>
      <c r="Q37" s="454">
        <f t="shared" si="4"/>
        <v>0.28124999999999994</v>
      </c>
    </row>
    <row r="38" spans="1:19" ht="13.5" thickBot="1" x14ac:dyDescent="0.45">
      <c r="A38" s="410" t="s">
        <v>16</v>
      </c>
      <c r="B38" s="89"/>
      <c r="C38" s="90"/>
      <c r="D38" s="89"/>
      <c r="E38" s="89"/>
      <c r="F38" s="306"/>
      <c r="G38" s="81"/>
      <c r="H38" s="92"/>
      <c r="I38" s="435">
        <f>I29+I30+I31+I32+I33+I34+I35+I36</f>
        <v>12773</v>
      </c>
      <c r="J38" s="81">
        <f>ROUNDDOWN(K37/60,0)+J37</f>
        <v>8565</v>
      </c>
      <c r="K38" s="82">
        <f>ROUND(K37-(ROUNDDOWN(K37/60,0)*60),0)</f>
        <v>19</v>
      </c>
      <c r="L38" s="271">
        <f>L37</f>
        <v>0.27777777777777773</v>
      </c>
      <c r="M38" s="93"/>
      <c r="N38" s="422">
        <f>N37-N28</f>
        <v>6.7000000000002728</v>
      </c>
      <c r="O38" s="423" t="str">
        <f>IF(OR(O29="N/A",O29="N / A", O29="N/ A",O29="N /A"),"N / A", O37-O28)</f>
        <v>N / A</v>
      </c>
      <c r="P38" s="443"/>
      <c r="Q38" s="454">
        <f>SUM(Q30:Q36)</f>
        <v>0.30208333333333326</v>
      </c>
    </row>
    <row r="39" spans="1:19" ht="13.15" x14ac:dyDescent="0.35">
      <c r="A39" s="34">
        <v>42731</v>
      </c>
      <c r="C39" s="40">
        <v>0</v>
      </c>
      <c r="D39" s="7">
        <v>0.51458333333333328</v>
      </c>
      <c r="E39" s="7">
        <v>0.57013888888888886</v>
      </c>
      <c r="G39" s="2">
        <v>0</v>
      </c>
      <c r="H39" s="3" t="s">
        <v>103</v>
      </c>
      <c r="I39" s="432">
        <v>1</v>
      </c>
      <c r="J39" s="74">
        <f>ROUNDDOWN(M39*24,0)</f>
        <v>1</v>
      </c>
      <c r="K39" s="75">
        <f>(M39*24-J39)*60</f>
        <v>20.000000000000036</v>
      </c>
      <c r="L39" s="7">
        <f>E39-D39</f>
        <v>5.555555555555558E-2</v>
      </c>
      <c r="M39" s="22">
        <f>L39</f>
        <v>5.555555555555558E-2</v>
      </c>
      <c r="N39" s="416">
        <v>2187.9</v>
      </c>
      <c r="O39" s="417"/>
      <c r="P39" s="440"/>
      <c r="Q39" s="453">
        <f t="shared" si="4"/>
        <v>5.9027777777777804E-2</v>
      </c>
    </row>
    <row r="40" spans="1:19" ht="13.15" x14ac:dyDescent="0.35">
      <c r="A40" s="34">
        <v>42792</v>
      </c>
      <c r="C40" s="40">
        <v>8</v>
      </c>
      <c r="D40" s="7">
        <v>0.49513888888888885</v>
      </c>
      <c r="E40" s="7">
        <v>0.53263888888888888</v>
      </c>
      <c r="G40" s="2">
        <v>1</v>
      </c>
      <c r="I40" s="432">
        <v>1</v>
      </c>
      <c r="J40" s="74">
        <f t="shared" ref="J40:J45" si="17">ROUNDDOWN(M40*24,0)</f>
        <v>0</v>
      </c>
      <c r="K40" s="75">
        <f t="shared" ref="K40:K45" si="18">(M40*24-J40)*60</f>
        <v>54.00000000000005</v>
      </c>
      <c r="L40" s="7">
        <f t="shared" ref="L40:L45" si="19">E40-D40</f>
        <v>3.7500000000000033E-2</v>
      </c>
      <c r="M40" s="22">
        <f t="shared" ref="M40:M45" si="20">L40</f>
        <v>3.7500000000000033E-2</v>
      </c>
      <c r="N40" s="416">
        <v>2189.1</v>
      </c>
      <c r="O40" s="417"/>
      <c r="P40" s="445" t="s">
        <v>156</v>
      </c>
      <c r="Q40" s="453">
        <f t="shared" si="4"/>
        <v>4.0972222222222257E-2</v>
      </c>
      <c r="R40" s="2">
        <f>J38</f>
        <v>8565</v>
      </c>
      <c r="S40" s="475">
        <f>K38</f>
        <v>19</v>
      </c>
    </row>
    <row r="41" spans="1:19" ht="13.15" x14ac:dyDescent="0.35">
      <c r="A41" s="34">
        <v>42792</v>
      </c>
      <c r="C41" s="40">
        <v>0</v>
      </c>
      <c r="D41" s="7">
        <v>0.64166666666666672</v>
      </c>
      <c r="E41" s="7">
        <v>0.65069444444444446</v>
      </c>
      <c r="G41" s="2">
        <v>1</v>
      </c>
      <c r="I41" s="432">
        <v>1</v>
      </c>
      <c r="J41" s="74">
        <f t="shared" si="17"/>
        <v>0</v>
      </c>
      <c r="K41" s="75">
        <f t="shared" si="18"/>
        <v>12.999999999999954</v>
      </c>
      <c r="L41" s="7">
        <f t="shared" si="19"/>
        <v>9.0277777777777457E-3</v>
      </c>
      <c r="M41" s="22">
        <f t="shared" si="20"/>
        <v>9.0277777777777457E-3</v>
      </c>
      <c r="N41" s="426">
        <v>2189.3000000000002</v>
      </c>
      <c r="O41" s="417"/>
      <c r="P41" s="440"/>
      <c r="Q41" s="453">
        <f t="shared" si="4"/>
        <v>1.2499999999999968E-2</v>
      </c>
      <c r="R41" s="2">
        <f>J39</f>
        <v>1</v>
      </c>
      <c r="S41" s="475">
        <f>K39</f>
        <v>20.000000000000036</v>
      </c>
    </row>
    <row r="42" spans="1:19" ht="13.15" x14ac:dyDescent="0.4">
      <c r="A42" s="34">
        <v>42806</v>
      </c>
      <c r="C42" s="40">
        <v>2</v>
      </c>
      <c r="D42" s="7">
        <v>0.4055555555555555</v>
      </c>
      <c r="E42" s="7">
        <v>0.51180555555555551</v>
      </c>
      <c r="G42" s="2">
        <v>0</v>
      </c>
      <c r="H42" s="3" t="s">
        <v>160</v>
      </c>
      <c r="I42" s="432">
        <v>1</v>
      </c>
      <c r="J42" s="74">
        <f t="shared" si="17"/>
        <v>2</v>
      </c>
      <c r="K42" s="75">
        <f t="shared" si="18"/>
        <v>33.000000000000014</v>
      </c>
      <c r="L42" s="7">
        <f t="shared" si="19"/>
        <v>0.10625000000000001</v>
      </c>
      <c r="M42" s="22">
        <f t="shared" si="20"/>
        <v>0.10625000000000001</v>
      </c>
      <c r="N42" s="426">
        <v>2191.6999999999998</v>
      </c>
      <c r="O42" s="417"/>
      <c r="P42" s="440"/>
      <c r="Q42" s="453">
        <f t="shared" si="4"/>
        <v>0.10972222222222223</v>
      </c>
      <c r="R42" s="476">
        <f>R40+R41</f>
        <v>8566</v>
      </c>
      <c r="S42" s="477">
        <f>S40+S41</f>
        <v>39.000000000000036</v>
      </c>
    </row>
    <row r="43" spans="1:19" ht="13.15" x14ac:dyDescent="0.4">
      <c r="A43" s="34">
        <v>42806</v>
      </c>
      <c r="C43" s="40">
        <v>2</v>
      </c>
      <c r="D43" s="7">
        <v>0.56458333333333333</v>
      </c>
      <c r="E43" s="7">
        <v>0.58402777777777781</v>
      </c>
      <c r="G43" s="2">
        <v>0</v>
      </c>
      <c r="H43" s="3" t="s">
        <v>161</v>
      </c>
      <c r="I43" s="432">
        <v>1</v>
      </c>
      <c r="J43" s="74">
        <f t="shared" si="17"/>
        <v>0</v>
      </c>
      <c r="K43" s="75">
        <f t="shared" si="18"/>
        <v>28.00000000000006</v>
      </c>
      <c r="L43" s="7">
        <f t="shared" si="19"/>
        <v>1.9444444444444486E-2</v>
      </c>
      <c r="M43" s="22">
        <f t="shared" si="20"/>
        <v>1.9444444444444486E-2</v>
      </c>
      <c r="N43" s="426">
        <v>2192.1999999999998</v>
      </c>
      <c r="O43" s="417"/>
      <c r="P43" s="440"/>
      <c r="Q43" s="453">
        <f t="shared" si="4"/>
        <v>2.291666666666671E-2</v>
      </c>
      <c r="R43" s="646" t="s">
        <v>224</v>
      </c>
      <c r="S43" s="647"/>
    </row>
    <row r="44" spans="1:19" ht="13.15" x14ac:dyDescent="0.35">
      <c r="A44" s="34">
        <v>42806</v>
      </c>
      <c r="C44" s="40">
        <v>2</v>
      </c>
      <c r="D44" s="7">
        <v>0.66319444444444442</v>
      </c>
      <c r="E44" s="7">
        <v>0.70833333333333337</v>
      </c>
      <c r="G44" s="2">
        <v>1</v>
      </c>
      <c r="I44" s="432">
        <v>1</v>
      </c>
      <c r="J44" s="74">
        <f t="shared" si="17"/>
        <v>1</v>
      </c>
      <c r="K44" s="75">
        <f t="shared" si="18"/>
        <v>5.0000000000000888</v>
      </c>
      <c r="L44" s="7">
        <f t="shared" si="19"/>
        <v>4.5138888888888951E-2</v>
      </c>
      <c r="M44" s="22">
        <f t="shared" si="20"/>
        <v>4.5138888888888951E-2</v>
      </c>
      <c r="N44" s="426">
        <v>2193.3000000000002</v>
      </c>
      <c r="O44" s="417"/>
      <c r="P44" s="440"/>
      <c r="Q44" s="453">
        <f t="shared" si="4"/>
        <v>4.8611111111111174E-2</v>
      </c>
    </row>
    <row r="45" spans="1:19" ht="13.5" thickBot="1" x14ac:dyDescent="0.4">
      <c r="A45" s="38">
        <v>42808</v>
      </c>
      <c r="B45" s="24"/>
      <c r="C45" s="41">
        <v>15</v>
      </c>
      <c r="D45" s="9">
        <v>0.56111111111111112</v>
      </c>
      <c r="E45" s="9">
        <v>0.62083333333333335</v>
      </c>
      <c r="F45" s="304"/>
      <c r="G45" s="269">
        <v>3</v>
      </c>
      <c r="H45" s="28"/>
      <c r="I45" s="433">
        <v>3</v>
      </c>
      <c r="J45" s="76">
        <f t="shared" si="17"/>
        <v>1</v>
      </c>
      <c r="K45" s="77">
        <f t="shared" si="18"/>
        <v>26.000000000000014</v>
      </c>
      <c r="L45" s="9">
        <f t="shared" si="19"/>
        <v>5.9722222222222232E-2</v>
      </c>
      <c r="M45" s="26">
        <f t="shared" si="20"/>
        <v>5.9722222222222232E-2</v>
      </c>
      <c r="N45" s="427">
        <v>2194.6999999999998</v>
      </c>
      <c r="O45" s="419"/>
      <c r="P45" s="441"/>
      <c r="Q45" s="453">
        <f t="shared" si="4"/>
        <v>6.3194444444444456E-2</v>
      </c>
    </row>
    <row r="46" spans="1:19" ht="13.5" hidden="1" thickBot="1" x14ac:dyDescent="0.45">
      <c r="A46" s="409"/>
      <c r="B46" s="6"/>
      <c r="C46" s="42"/>
      <c r="D46" s="6"/>
      <c r="E46" s="6"/>
      <c r="F46" s="305"/>
      <c r="G46" s="266"/>
      <c r="H46" s="12"/>
      <c r="I46" s="434"/>
      <c r="J46" s="79">
        <f>SUM(J38:J45)</f>
        <v>8570</v>
      </c>
      <c r="K46" s="80">
        <f>SUM(K38:K45)</f>
        <v>198.00000000000023</v>
      </c>
      <c r="L46" s="10">
        <f>SUM(L39:L45)</f>
        <v>0.33263888888888904</v>
      </c>
      <c r="M46" s="10"/>
      <c r="N46" s="424">
        <f>MAX(N39:N45)</f>
        <v>2194.6999999999998</v>
      </c>
      <c r="O46" s="425">
        <f>MAX(O39:O45)</f>
        <v>0</v>
      </c>
      <c r="P46" s="442"/>
      <c r="Q46" s="454">
        <f t="shared" si="4"/>
        <v>0.33611111111111125</v>
      </c>
    </row>
    <row r="47" spans="1:19" ht="13.5" thickBot="1" x14ac:dyDescent="0.45">
      <c r="A47" s="410" t="s">
        <v>16</v>
      </c>
      <c r="B47" s="89"/>
      <c r="C47" s="90"/>
      <c r="D47" s="89"/>
      <c r="E47" s="89"/>
      <c r="F47" s="306"/>
      <c r="G47" s="81"/>
      <c r="H47" s="92"/>
      <c r="I47" s="435">
        <f>I38+I39+I40+I41+I42+I43+I44+I45</f>
        <v>12782</v>
      </c>
      <c r="J47" s="81">
        <f>ROUNDDOWN(K46/60,0)+J46</f>
        <v>8573</v>
      </c>
      <c r="K47" s="82">
        <f>ROUND(K46-(ROUNDDOWN(K46/60,0)*60),0)</f>
        <v>18</v>
      </c>
      <c r="L47" s="271">
        <f>L46</f>
        <v>0.33263888888888904</v>
      </c>
      <c r="M47" s="93"/>
      <c r="N47" s="422">
        <f>N46-N37</f>
        <v>8.2999999999997272</v>
      </c>
      <c r="O47" s="423" t="str">
        <f>IF(OR(O38="N/A",O38="N / A", O38="N/ A",O38="N /A"),"N / A", O46-O37)</f>
        <v>N / A</v>
      </c>
      <c r="P47" s="443"/>
      <c r="Q47" s="454">
        <f>SUM(Q39:Q45)</f>
        <v>0.35694444444444456</v>
      </c>
    </row>
    <row r="48" spans="1:19" ht="13.15" x14ac:dyDescent="0.35">
      <c r="A48" s="34">
        <v>42810</v>
      </c>
      <c r="C48" s="40">
        <v>9</v>
      </c>
      <c r="D48" s="7">
        <v>0.45624999999999999</v>
      </c>
      <c r="E48" s="7">
        <v>0.51250000000000007</v>
      </c>
      <c r="G48" s="2">
        <v>0</v>
      </c>
      <c r="H48" s="3" t="s">
        <v>164</v>
      </c>
      <c r="I48" s="432">
        <v>1</v>
      </c>
      <c r="J48" s="74">
        <f>ROUNDDOWN(M48*24,0)</f>
        <v>1</v>
      </c>
      <c r="K48" s="75">
        <f>(M48*24-J48)*60</f>
        <v>21.000000000000114</v>
      </c>
      <c r="L48" s="7">
        <f>E48-D48</f>
        <v>5.6250000000000078E-2</v>
      </c>
      <c r="M48" s="22">
        <f>L48</f>
        <v>5.6250000000000078E-2</v>
      </c>
      <c r="N48" s="426">
        <v>2196.1</v>
      </c>
      <c r="O48" s="417"/>
      <c r="P48" s="446"/>
      <c r="Q48" s="453">
        <f t="shared" si="4"/>
        <v>5.9722222222222301E-2</v>
      </c>
    </row>
    <row r="49" spans="1:17" ht="13.15" x14ac:dyDescent="0.35">
      <c r="A49" s="34">
        <v>42810</v>
      </c>
      <c r="C49" s="40">
        <v>12</v>
      </c>
      <c r="D49" s="7">
        <v>0.61249999999999993</v>
      </c>
      <c r="E49" s="7">
        <v>0.66111111111111109</v>
      </c>
      <c r="G49" s="2">
        <v>3</v>
      </c>
      <c r="I49" s="432">
        <v>3</v>
      </c>
      <c r="J49" s="74">
        <f t="shared" ref="J49:J54" si="21">ROUNDDOWN(M49*24,0)</f>
        <v>1</v>
      </c>
      <c r="K49" s="75">
        <f t="shared" ref="K49:K54" si="22">(M49*24-J49)*60</f>
        <v>10.000000000000071</v>
      </c>
      <c r="L49" s="7">
        <f t="shared" ref="L49:L54" si="23">E49-D49</f>
        <v>4.861111111111116E-2</v>
      </c>
      <c r="M49" s="22">
        <f t="shared" ref="M49:M54" si="24">L49</f>
        <v>4.861111111111116E-2</v>
      </c>
      <c r="N49" s="426">
        <v>2197.3000000000002</v>
      </c>
      <c r="O49" s="417"/>
      <c r="P49" s="446"/>
      <c r="Q49" s="453">
        <f t="shared" si="4"/>
        <v>5.2083333333333384E-2</v>
      </c>
    </row>
    <row r="50" spans="1:17" ht="13.15" x14ac:dyDescent="0.35">
      <c r="A50" s="34">
        <v>42826</v>
      </c>
      <c r="C50" s="40">
        <v>15</v>
      </c>
      <c r="D50" s="7">
        <v>0.4604166666666667</v>
      </c>
      <c r="E50" s="7">
        <v>0.4916666666666667</v>
      </c>
      <c r="G50" s="2">
        <v>1</v>
      </c>
      <c r="I50" s="432">
        <v>1</v>
      </c>
      <c r="J50" s="74">
        <f t="shared" si="21"/>
        <v>0</v>
      </c>
      <c r="K50" s="75">
        <f t="shared" si="22"/>
        <v>45</v>
      </c>
      <c r="L50" s="7">
        <f t="shared" si="23"/>
        <v>3.125E-2</v>
      </c>
      <c r="M50" s="22">
        <f t="shared" si="24"/>
        <v>3.125E-2</v>
      </c>
      <c r="N50" s="426">
        <v>2198.1</v>
      </c>
      <c r="O50" s="417"/>
      <c r="P50" s="446"/>
      <c r="Q50" s="453">
        <f t="shared" si="4"/>
        <v>3.4722222222222224E-2</v>
      </c>
    </row>
    <row r="51" spans="1:17" ht="13.15" x14ac:dyDescent="0.35">
      <c r="A51" s="34">
        <v>42827</v>
      </c>
      <c r="C51" s="40">
        <v>4</v>
      </c>
      <c r="D51" s="7">
        <v>0.32222222222222224</v>
      </c>
      <c r="E51" s="7">
        <v>0.40416666666666662</v>
      </c>
      <c r="G51" s="2">
        <v>2</v>
      </c>
      <c r="I51" s="432">
        <v>2</v>
      </c>
      <c r="J51" s="74">
        <f t="shared" si="21"/>
        <v>1</v>
      </c>
      <c r="K51" s="75">
        <f t="shared" si="22"/>
        <v>57.999999999999901</v>
      </c>
      <c r="L51" s="7">
        <f t="shared" si="23"/>
        <v>8.1944444444444375E-2</v>
      </c>
      <c r="M51" s="22">
        <f t="shared" si="24"/>
        <v>8.1944444444444375E-2</v>
      </c>
      <c r="N51" s="426">
        <v>2199.9</v>
      </c>
      <c r="O51" s="417"/>
      <c r="P51" s="446"/>
      <c r="Q51" s="453">
        <f t="shared" si="4"/>
        <v>8.5416666666666599E-2</v>
      </c>
    </row>
    <row r="52" spans="1:17" ht="13.15" x14ac:dyDescent="0.35">
      <c r="A52" s="34">
        <v>42828</v>
      </c>
      <c r="C52" s="40">
        <v>16</v>
      </c>
      <c r="D52" s="7">
        <v>0.73333333333333339</v>
      </c>
      <c r="E52" s="7">
        <v>0.76250000000000007</v>
      </c>
      <c r="G52" s="2">
        <v>4</v>
      </c>
      <c r="I52" s="432">
        <v>4</v>
      </c>
      <c r="J52" s="74">
        <f t="shared" si="21"/>
        <v>0</v>
      </c>
      <c r="K52" s="75">
        <f t="shared" si="22"/>
        <v>42.000000000000014</v>
      </c>
      <c r="L52" s="7">
        <f t="shared" si="23"/>
        <v>2.9166666666666674E-2</v>
      </c>
      <c r="M52" s="22">
        <f t="shared" si="24"/>
        <v>2.9166666666666674E-2</v>
      </c>
      <c r="N52" s="426">
        <v>2200.6</v>
      </c>
      <c r="O52" s="417"/>
      <c r="P52" s="446"/>
      <c r="Q52" s="453">
        <f t="shared" si="4"/>
        <v>3.2638888888888898E-2</v>
      </c>
    </row>
    <row r="53" spans="1:17" ht="13.15" x14ac:dyDescent="0.35">
      <c r="A53" s="34">
        <v>42833</v>
      </c>
      <c r="C53" s="40">
        <v>16</v>
      </c>
      <c r="D53" s="7">
        <v>0.39652777777777781</v>
      </c>
      <c r="E53" s="7">
        <v>0.44236111111111115</v>
      </c>
      <c r="G53" s="2">
        <v>0</v>
      </c>
      <c r="H53" s="3" t="s">
        <v>166</v>
      </c>
      <c r="I53" s="432">
        <v>1</v>
      </c>
      <c r="J53" s="74">
        <f t="shared" si="21"/>
        <v>1</v>
      </c>
      <c r="K53" s="75">
        <f t="shared" si="22"/>
        <v>6.0000000000000053</v>
      </c>
      <c r="L53" s="7">
        <f t="shared" si="23"/>
        <v>4.5833333333333337E-2</v>
      </c>
      <c r="M53" s="22">
        <f t="shared" si="24"/>
        <v>4.5833333333333337E-2</v>
      </c>
      <c r="N53" s="426">
        <v>2201.6</v>
      </c>
      <c r="O53" s="417"/>
      <c r="P53" s="446"/>
      <c r="Q53" s="453">
        <f t="shared" si="4"/>
        <v>4.9305555555555561E-2</v>
      </c>
    </row>
    <row r="54" spans="1:17" ht="13.5" thickBot="1" x14ac:dyDescent="0.4">
      <c r="A54" s="38">
        <v>42833</v>
      </c>
      <c r="B54" s="24"/>
      <c r="C54" s="41">
        <v>16</v>
      </c>
      <c r="D54" s="9">
        <v>0.48541666666666666</v>
      </c>
      <c r="E54" s="9">
        <v>0.50763888888888886</v>
      </c>
      <c r="F54" s="304"/>
      <c r="G54" s="269">
        <v>1</v>
      </c>
      <c r="H54" s="28"/>
      <c r="I54" s="433">
        <v>1</v>
      </c>
      <c r="J54" s="76">
        <f t="shared" si="21"/>
        <v>0</v>
      </c>
      <c r="K54" s="77">
        <f t="shared" si="22"/>
        <v>31.999999999999964</v>
      </c>
      <c r="L54" s="9">
        <f t="shared" si="23"/>
        <v>2.2222222222222199E-2</v>
      </c>
      <c r="M54" s="26">
        <f t="shared" si="24"/>
        <v>2.2222222222222199E-2</v>
      </c>
      <c r="N54" s="427">
        <v>2202.3000000000002</v>
      </c>
      <c r="O54" s="419"/>
      <c r="P54" s="447"/>
      <c r="Q54" s="453">
        <f t="shared" si="4"/>
        <v>2.5694444444444423E-2</v>
      </c>
    </row>
    <row r="55" spans="1:17" ht="13.5" hidden="1" thickBot="1" x14ac:dyDescent="0.45">
      <c r="A55" s="409"/>
      <c r="B55" s="6"/>
      <c r="C55" s="42"/>
      <c r="D55" s="6"/>
      <c r="E55" s="6"/>
      <c r="F55" s="305"/>
      <c r="G55" s="266"/>
      <c r="H55" s="12"/>
      <c r="I55" s="436"/>
      <c r="J55" s="79">
        <f>SUM(J47:J54)</f>
        <v>8577</v>
      </c>
      <c r="K55" s="80">
        <f>SUM(K47:K54)</f>
        <v>232.00000000000009</v>
      </c>
      <c r="L55" s="10">
        <f>SUM(L48:L54)</f>
        <v>0.31527777777777782</v>
      </c>
      <c r="M55" s="10"/>
      <c r="N55" s="424">
        <f>MAX(N48:N54)</f>
        <v>2202.3000000000002</v>
      </c>
      <c r="O55" s="425">
        <f>MAX(O48:O54)</f>
        <v>0</v>
      </c>
      <c r="P55" s="446"/>
      <c r="Q55" s="454">
        <f t="shared" si="4"/>
        <v>0.31875000000000003</v>
      </c>
    </row>
    <row r="56" spans="1:17" ht="13.5" thickBot="1" x14ac:dyDescent="0.45">
      <c r="A56" s="410" t="s">
        <v>16</v>
      </c>
      <c r="B56" s="89"/>
      <c r="C56" s="90"/>
      <c r="D56" s="89"/>
      <c r="E56" s="89"/>
      <c r="F56" s="306"/>
      <c r="G56" s="81"/>
      <c r="H56" s="92"/>
      <c r="I56" s="435">
        <f>I47+I48+I49+I50+I51+I52+I53+I54</f>
        <v>12795</v>
      </c>
      <c r="J56" s="81">
        <f>ROUNDDOWN(K55/60,0)+J55</f>
        <v>8580</v>
      </c>
      <c r="K56" s="82">
        <f>ROUND(K55-(ROUNDDOWN(K55/60,0)*60),0)</f>
        <v>52</v>
      </c>
      <c r="L56" s="271">
        <f>L55</f>
        <v>0.31527777777777782</v>
      </c>
      <c r="M56" s="93"/>
      <c r="N56" s="422">
        <f>N55-N46</f>
        <v>7.6000000000003638</v>
      </c>
      <c r="O56" s="423" t="str">
        <f>IF(OR(O47="N/A",O47="N / A", O47="N/ A",O47="N /A"),"N / A", O55-O46)</f>
        <v>N / A</v>
      </c>
      <c r="P56" s="443"/>
      <c r="Q56" s="454">
        <f>SUM(Q48:Q54)</f>
        <v>0.33958333333333335</v>
      </c>
    </row>
    <row r="57" spans="1:17" ht="13.15" x14ac:dyDescent="0.35">
      <c r="A57" s="34">
        <v>42839</v>
      </c>
      <c r="C57" s="40">
        <v>15</v>
      </c>
      <c r="D57" s="7">
        <v>0.54166666666666663</v>
      </c>
      <c r="E57" s="7">
        <v>0.56944444444444442</v>
      </c>
      <c r="G57" s="2">
        <v>1</v>
      </c>
      <c r="I57" s="432">
        <v>1</v>
      </c>
      <c r="J57" s="74">
        <f>ROUNDDOWN(M57*24,0)</f>
        <v>0</v>
      </c>
      <c r="K57" s="75">
        <f>(M57*24-J57)*60</f>
        <v>40.000000000000014</v>
      </c>
      <c r="L57" s="7">
        <f>E57-D57</f>
        <v>2.777777777777779E-2</v>
      </c>
      <c r="M57" s="22">
        <f>L57</f>
        <v>2.777777777777779E-2</v>
      </c>
      <c r="N57" s="426">
        <v>2203</v>
      </c>
      <c r="O57" s="417"/>
      <c r="P57" s="440"/>
      <c r="Q57" s="453">
        <f t="shared" si="4"/>
        <v>3.1250000000000014E-2</v>
      </c>
    </row>
    <row r="58" spans="1:17" ht="13.15" x14ac:dyDescent="0.35">
      <c r="A58" s="34">
        <v>42839</v>
      </c>
      <c r="C58" s="40">
        <v>15</v>
      </c>
      <c r="D58" s="7">
        <v>0.60277777777777775</v>
      </c>
      <c r="E58" s="7">
        <v>0.63402777777777775</v>
      </c>
      <c r="G58" s="2">
        <v>1</v>
      </c>
      <c r="I58" s="432">
        <v>1</v>
      </c>
      <c r="J58" s="74">
        <f t="shared" ref="J58:J63" si="25">ROUNDDOWN(M58*24,0)</f>
        <v>0</v>
      </c>
      <c r="K58" s="75">
        <f t="shared" ref="K58:K63" si="26">(M58*24-J58)*60</f>
        <v>45</v>
      </c>
      <c r="L58" s="7">
        <f t="shared" ref="L58:L63" si="27">E58-D58</f>
        <v>3.125E-2</v>
      </c>
      <c r="M58" s="22">
        <f t="shared" ref="M58:M63" si="28">L58</f>
        <v>3.125E-2</v>
      </c>
      <c r="N58" s="426">
        <v>2203.8000000000002</v>
      </c>
      <c r="O58" s="417"/>
      <c r="P58" s="440"/>
      <c r="Q58" s="453">
        <f t="shared" si="4"/>
        <v>3.4722222222222224E-2</v>
      </c>
    </row>
    <row r="59" spans="1:17" ht="13.15" x14ac:dyDescent="0.35">
      <c r="A59" s="34">
        <v>42854</v>
      </c>
      <c r="C59" s="40">
        <v>2</v>
      </c>
      <c r="D59" s="7">
        <v>0.3347222222222222</v>
      </c>
      <c r="E59" s="7">
        <v>0.4201388888888889</v>
      </c>
      <c r="G59" s="2">
        <v>0</v>
      </c>
      <c r="H59" s="3" t="s">
        <v>168</v>
      </c>
      <c r="I59" s="432">
        <v>1</v>
      </c>
      <c r="J59" s="74">
        <f t="shared" si="25"/>
        <v>2</v>
      </c>
      <c r="K59" s="75">
        <f t="shared" si="26"/>
        <v>3.0000000000000426</v>
      </c>
      <c r="L59" s="7">
        <f t="shared" si="27"/>
        <v>8.5416666666666696E-2</v>
      </c>
      <c r="M59" s="22">
        <f t="shared" si="28"/>
        <v>8.5416666666666696E-2</v>
      </c>
      <c r="N59" s="426">
        <v>2205.8000000000002</v>
      </c>
      <c r="O59" s="417"/>
      <c r="P59" s="440"/>
      <c r="Q59" s="453">
        <f t="shared" si="4"/>
        <v>8.888888888888892E-2</v>
      </c>
    </row>
    <row r="60" spans="1:17" ht="13.15" x14ac:dyDescent="0.35">
      <c r="A60" s="34">
        <v>42855</v>
      </c>
      <c r="C60" s="40">
        <v>2</v>
      </c>
      <c r="D60" s="7">
        <v>0.71736111111111101</v>
      </c>
      <c r="E60" s="7">
        <v>0.79652777777777783</v>
      </c>
      <c r="G60" s="2">
        <v>1</v>
      </c>
      <c r="I60" s="432">
        <v>1</v>
      </c>
      <c r="J60" s="74">
        <f t="shared" si="25"/>
        <v>1</v>
      </c>
      <c r="K60" s="75">
        <f t="shared" si="26"/>
        <v>54.000000000000234</v>
      </c>
      <c r="L60" s="7">
        <f t="shared" si="27"/>
        <v>7.9166666666666829E-2</v>
      </c>
      <c r="M60" s="22">
        <f t="shared" si="28"/>
        <v>7.9166666666666829E-2</v>
      </c>
      <c r="N60" s="426">
        <v>2207.6999999999998</v>
      </c>
      <c r="O60" s="417"/>
      <c r="P60" s="440"/>
      <c r="Q60" s="453">
        <f t="shared" si="4"/>
        <v>8.2638888888889053E-2</v>
      </c>
    </row>
    <row r="61" spans="1:17" ht="13.15" x14ac:dyDescent="0.35">
      <c r="A61" s="34">
        <v>43237</v>
      </c>
      <c r="C61" s="40">
        <v>16</v>
      </c>
      <c r="D61" s="7">
        <v>0.49444444444444446</v>
      </c>
      <c r="E61" s="7">
        <v>0.61249999999999993</v>
      </c>
      <c r="G61" s="2">
        <v>3</v>
      </c>
      <c r="I61" s="432">
        <v>3</v>
      </c>
      <c r="J61" s="74">
        <f t="shared" si="25"/>
        <v>2</v>
      </c>
      <c r="K61" s="75">
        <f t="shared" si="26"/>
        <v>49.999999999999872</v>
      </c>
      <c r="L61" s="7">
        <f t="shared" si="27"/>
        <v>0.11805555555555547</v>
      </c>
      <c r="M61" s="22">
        <f t="shared" si="28"/>
        <v>0.11805555555555547</v>
      </c>
      <c r="N61" s="426">
        <v>2210.4</v>
      </c>
      <c r="O61" s="417"/>
      <c r="P61" s="440"/>
      <c r="Q61" s="453">
        <f t="shared" si="4"/>
        <v>0.12152777777777769</v>
      </c>
    </row>
    <row r="62" spans="1:17" ht="13.15" x14ac:dyDescent="0.35">
      <c r="A62" s="34">
        <v>42875</v>
      </c>
      <c r="C62" s="40">
        <v>2</v>
      </c>
      <c r="D62" s="7">
        <v>0.33263888888888887</v>
      </c>
      <c r="E62" s="7">
        <v>0.37361111111111112</v>
      </c>
      <c r="G62" s="2">
        <v>0</v>
      </c>
      <c r="H62" s="3" t="s">
        <v>172</v>
      </c>
      <c r="I62" s="432">
        <v>1</v>
      </c>
      <c r="J62" s="74">
        <f t="shared" si="25"/>
        <v>0</v>
      </c>
      <c r="K62" s="75">
        <f t="shared" si="26"/>
        <v>59.000000000000028</v>
      </c>
      <c r="L62" s="7">
        <f t="shared" si="27"/>
        <v>4.0972222222222243E-2</v>
      </c>
      <c r="M62" s="22">
        <f t="shared" si="28"/>
        <v>4.0972222222222243E-2</v>
      </c>
      <c r="N62" s="426">
        <v>2211.5</v>
      </c>
      <c r="O62" s="417"/>
      <c r="P62" s="440"/>
      <c r="Q62" s="453">
        <f t="shared" si="4"/>
        <v>4.4444444444444467E-2</v>
      </c>
    </row>
    <row r="63" spans="1:17" ht="13.5" thickBot="1" x14ac:dyDescent="0.4">
      <c r="A63" s="38">
        <v>42875</v>
      </c>
      <c r="B63" s="24"/>
      <c r="C63" s="41">
        <v>2</v>
      </c>
      <c r="D63" s="9">
        <v>0.3833333333333333</v>
      </c>
      <c r="E63" s="9">
        <v>0.40486111111111112</v>
      </c>
      <c r="F63" s="304"/>
      <c r="G63" s="269">
        <v>0</v>
      </c>
      <c r="H63" s="28" t="s">
        <v>173</v>
      </c>
      <c r="I63" s="433">
        <v>1</v>
      </c>
      <c r="J63" s="76">
        <f t="shared" si="25"/>
        <v>0</v>
      </c>
      <c r="K63" s="77">
        <f t="shared" si="26"/>
        <v>31.00000000000005</v>
      </c>
      <c r="L63" s="9">
        <f t="shared" si="27"/>
        <v>2.1527777777777812E-2</v>
      </c>
      <c r="M63" s="26">
        <f t="shared" si="28"/>
        <v>2.1527777777777812E-2</v>
      </c>
      <c r="N63" s="427">
        <v>2211.9</v>
      </c>
      <c r="O63" s="419"/>
      <c r="P63" s="441"/>
      <c r="Q63" s="453">
        <f t="shared" si="4"/>
        <v>2.5000000000000036E-2</v>
      </c>
    </row>
    <row r="64" spans="1:17" ht="13.5" hidden="1" thickBot="1" x14ac:dyDescent="0.45">
      <c r="A64" s="409"/>
      <c r="B64" s="6"/>
      <c r="C64" s="42"/>
      <c r="D64" s="6"/>
      <c r="E64" s="6"/>
      <c r="F64" s="305"/>
      <c r="G64" s="266"/>
      <c r="H64" s="12"/>
      <c r="I64" s="434"/>
      <c r="J64" s="79">
        <f>SUM(J56:J63)</f>
        <v>8585</v>
      </c>
      <c r="K64" s="80">
        <f>SUM(K56:K63)</f>
        <v>334.00000000000028</v>
      </c>
      <c r="L64" s="10">
        <f>SUM(L57:L63)</f>
        <v>0.40416666666666684</v>
      </c>
      <c r="M64" s="10"/>
      <c r="N64" s="424">
        <f>MAX(N57:N63)</f>
        <v>2211.9</v>
      </c>
      <c r="O64" s="425">
        <f>MAX(O57:O63)</f>
        <v>0</v>
      </c>
      <c r="P64" s="442"/>
      <c r="Q64" s="454">
        <f t="shared" si="4"/>
        <v>0.40763888888888905</v>
      </c>
    </row>
    <row r="65" spans="1:17" ht="13.5" thickBot="1" x14ac:dyDescent="0.45">
      <c r="A65" s="410" t="s">
        <v>16</v>
      </c>
      <c r="B65" s="89"/>
      <c r="C65" s="90"/>
      <c r="D65" s="89"/>
      <c r="E65" s="89"/>
      <c r="F65" s="306"/>
      <c r="G65" s="81"/>
      <c r="H65" s="92"/>
      <c r="I65" s="435">
        <f>I56+I57+I58+I59+I60+I61+I62+I63</f>
        <v>12804</v>
      </c>
      <c r="J65" s="81">
        <f>ROUNDDOWN(K64/60,0)+J64</f>
        <v>8590</v>
      </c>
      <c r="K65" s="82">
        <f>ROUND(K64-(ROUNDDOWN(K64/60,0)*60),0)</f>
        <v>34</v>
      </c>
      <c r="L65" s="271">
        <f>L64</f>
        <v>0.40416666666666684</v>
      </c>
      <c r="M65" s="93"/>
      <c r="N65" s="422">
        <f>N64-N55</f>
        <v>9.5999999999999091</v>
      </c>
      <c r="O65" s="423" t="str">
        <f>IF(OR(O56="N/A",O56="N / A", O56="N/ A",O56="N /A"),"N / A", O64-O55)</f>
        <v>N / A</v>
      </c>
      <c r="P65" s="443"/>
      <c r="Q65" s="454">
        <f>SUM(Q57:Q63)</f>
        <v>0.42847222222222237</v>
      </c>
    </row>
    <row r="66" spans="1:17" ht="13.15" x14ac:dyDescent="0.35">
      <c r="A66" s="34">
        <v>42875</v>
      </c>
      <c r="C66" s="40">
        <v>2</v>
      </c>
      <c r="D66" s="7">
        <v>0.73541666666666661</v>
      </c>
      <c r="E66" s="7">
        <v>0.75902777777777775</v>
      </c>
      <c r="G66" s="2">
        <v>0</v>
      </c>
      <c r="H66" s="3" t="s">
        <v>172</v>
      </c>
      <c r="I66" s="432">
        <v>1</v>
      </c>
      <c r="J66" s="74">
        <f>ROUNDDOWN(M66*24,0)</f>
        <v>0</v>
      </c>
      <c r="K66" s="75">
        <f>(M66*24-J66)*60</f>
        <v>34.000000000000043</v>
      </c>
      <c r="L66" s="7">
        <f>E66-D66</f>
        <v>2.3611111111111138E-2</v>
      </c>
      <c r="M66" s="22">
        <f>L66</f>
        <v>2.3611111111111138E-2</v>
      </c>
      <c r="N66" s="426">
        <v>2212.5</v>
      </c>
      <c r="O66" s="417"/>
      <c r="P66" s="440"/>
      <c r="Q66" s="453">
        <f t="shared" si="4"/>
        <v>2.7083333333333362E-2</v>
      </c>
    </row>
    <row r="67" spans="1:17" ht="13.15" x14ac:dyDescent="0.35">
      <c r="A67" s="34">
        <v>42875</v>
      </c>
      <c r="C67" s="40">
        <v>2</v>
      </c>
      <c r="D67" s="7">
        <v>0.76944444444444438</v>
      </c>
      <c r="E67" s="7">
        <v>0.81180555555555556</v>
      </c>
      <c r="G67" s="2">
        <v>1</v>
      </c>
      <c r="I67" s="432">
        <v>1</v>
      </c>
      <c r="J67" s="74">
        <f t="shared" ref="J67:J72" si="29">ROUNDDOWN(M67*24,0)</f>
        <v>1</v>
      </c>
      <c r="K67" s="75">
        <f t="shared" ref="K67:K72" si="30">(M67*24-J67)*60</f>
        <v>1.000000000000103</v>
      </c>
      <c r="L67" s="7">
        <f t="shared" ref="L67:L72" si="31">E67-D67</f>
        <v>4.2361111111111183E-2</v>
      </c>
      <c r="M67" s="22">
        <f t="shared" ref="M67:M72" si="32">L67</f>
        <v>4.2361111111111183E-2</v>
      </c>
      <c r="N67" s="426">
        <v>2213.5</v>
      </c>
      <c r="O67" s="417"/>
      <c r="P67" s="440"/>
      <c r="Q67" s="453">
        <f t="shared" si="4"/>
        <v>4.5833333333333406E-2</v>
      </c>
    </row>
    <row r="68" spans="1:17" ht="13.15" x14ac:dyDescent="0.35">
      <c r="A68" s="34">
        <v>42878</v>
      </c>
      <c r="C68" s="40">
        <v>15</v>
      </c>
      <c r="D68" s="7">
        <v>0.35694444444444445</v>
      </c>
      <c r="E68" s="7">
        <v>0.38263888888888892</v>
      </c>
      <c r="G68" s="2">
        <v>0</v>
      </c>
      <c r="H68" s="3" t="s">
        <v>174</v>
      </c>
      <c r="I68" s="432">
        <v>2</v>
      </c>
      <c r="J68" s="74">
        <f t="shared" si="29"/>
        <v>0</v>
      </c>
      <c r="K68" s="75">
        <f t="shared" si="30"/>
        <v>37.000000000000028</v>
      </c>
      <c r="L68" s="7">
        <f t="shared" si="31"/>
        <v>2.5694444444444464E-2</v>
      </c>
      <c r="M68" s="22">
        <f t="shared" si="32"/>
        <v>2.5694444444444464E-2</v>
      </c>
      <c r="N68" s="426">
        <v>2214.1999999999998</v>
      </c>
      <c r="O68" s="417"/>
      <c r="P68" s="440"/>
      <c r="Q68" s="453">
        <f t="shared" si="4"/>
        <v>2.9166666666666688E-2</v>
      </c>
    </row>
    <row r="69" spans="1:17" ht="13.15" x14ac:dyDescent="0.35">
      <c r="A69" s="34">
        <v>42878</v>
      </c>
      <c r="C69" s="40">
        <v>15</v>
      </c>
      <c r="D69" s="7">
        <v>0.41180555555555554</v>
      </c>
      <c r="E69" s="7">
        <v>0.4458333333333333</v>
      </c>
      <c r="G69" s="2">
        <v>2</v>
      </c>
      <c r="I69" s="432">
        <v>2</v>
      </c>
      <c r="J69" s="74">
        <f t="shared" si="29"/>
        <v>0</v>
      </c>
      <c r="K69" s="75">
        <f t="shared" si="30"/>
        <v>48.999999999999986</v>
      </c>
      <c r="L69" s="7">
        <f t="shared" si="31"/>
        <v>3.4027777777777768E-2</v>
      </c>
      <c r="M69" s="22">
        <f t="shared" si="32"/>
        <v>3.4027777777777768E-2</v>
      </c>
      <c r="N69" s="426">
        <v>2215</v>
      </c>
      <c r="O69" s="417"/>
      <c r="P69" s="440"/>
      <c r="Q69" s="453">
        <f t="shared" si="4"/>
        <v>3.7499999999999992E-2</v>
      </c>
    </row>
    <row r="70" spans="1:17" ht="13.15" x14ac:dyDescent="0.35">
      <c r="A70" s="34">
        <v>42881</v>
      </c>
      <c r="C70" s="40">
        <v>20</v>
      </c>
      <c r="D70" s="7">
        <v>0.41041666666666665</v>
      </c>
      <c r="E70" s="7">
        <v>0.4513888888888889</v>
      </c>
      <c r="G70" s="2">
        <v>4</v>
      </c>
      <c r="I70" s="432">
        <v>4</v>
      </c>
      <c r="J70" s="74">
        <f t="shared" si="29"/>
        <v>0</v>
      </c>
      <c r="K70" s="75">
        <f t="shared" si="30"/>
        <v>59.000000000000028</v>
      </c>
      <c r="L70" s="7">
        <f t="shared" si="31"/>
        <v>4.0972222222222243E-2</v>
      </c>
      <c r="M70" s="22">
        <f t="shared" si="32"/>
        <v>4.0972222222222243E-2</v>
      </c>
      <c r="N70" s="426">
        <v>2215.9</v>
      </c>
      <c r="O70" s="417"/>
      <c r="P70" s="440"/>
      <c r="Q70" s="453">
        <f t="shared" si="4"/>
        <v>4.4444444444444467E-2</v>
      </c>
    </row>
    <row r="71" spans="1:17" ht="13.15" x14ac:dyDescent="0.35">
      <c r="A71" s="34">
        <v>42881</v>
      </c>
      <c r="C71" s="40">
        <v>0</v>
      </c>
      <c r="D71" s="7">
        <v>0.54513888888888895</v>
      </c>
      <c r="E71" s="7">
        <v>0.5493055555555556</v>
      </c>
      <c r="G71" s="2">
        <v>1</v>
      </c>
      <c r="I71" s="432">
        <v>1</v>
      </c>
      <c r="J71" s="74">
        <f t="shared" si="29"/>
        <v>0</v>
      </c>
      <c r="K71" s="75">
        <f t="shared" si="30"/>
        <v>5.9999999999999787</v>
      </c>
      <c r="L71" s="7">
        <f t="shared" si="31"/>
        <v>4.1666666666666519E-3</v>
      </c>
      <c r="M71" s="22">
        <f t="shared" si="32"/>
        <v>4.1666666666666519E-3</v>
      </c>
      <c r="N71" s="426">
        <v>2216.1</v>
      </c>
      <c r="O71" s="417"/>
      <c r="P71" s="445" t="s">
        <v>177</v>
      </c>
      <c r="Q71" s="453">
        <f t="shared" si="4"/>
        <v>7.6388888888888739E-3</v>
      </c>
    </row>
    <row r="72" spans="1:17" ht="13.5" thickBot="1" x14ac:dyDescent="0.4">
      <c r="A72" s="38">
        <v>42882</v>
      </c>
      <c r="B72" s="24"/>
      <c r="C72" s="41">
        <v>20</v>
      </c>
      <c r="D72" s="9">
        <v>0.45624999999999999</v>
      </c>
      <c r="E72" s="9">
        <v>0.54583333333333328</v>
      </c>
      <c r="F72" s="304"/>
      <c r="G72" s="269">
        <v>0</v>
      </c>
      <c r="H72" s="28" t="s">
        <v>176</v>
      </c>
      <c r="I72" s="433">
        <v>1</v>
      </c>
      <c r="J72" s="76">
        <f t="shared" si="29"/>
        <v>2</v>
      </c>
      <c r="K72" s="77">
        <f t="shared" si="30"/>
        <v>8.9999999999999414</v>
      </c>
      <c r="L72" s="9">
        <f t="shared" si="31"/>
        <v>8.9583333333333293E-2</v>
      </c>
      <c r="M72" s="26">
        <f t="shared" si="32"/>
        <v>8.9583333333333293E-2</v>
      </c>
      <c r="N72" s="427">
        <v>2218.3000000000002</v>
      </c>
      <c r="O72" s="419"/>
      <c r="P72" s="441"/>
      <c r="Q72" s="453">
        <f t="shared" si="4"/>
        <v>9.3055555555555516E-2</v>
      </c>
    </row>
    <row r="73" spans="1:17" ht="13.5" hidden="1" thickBot="1" x14ac:dyDescent="0.45">
      <c r="A73" s="409"/>
      <c r="B73" s="6"/>
      <c r="C73" s="42"/>
      <c r="D73" s="6"/>
      <c r="E73" s="6"/>
      <c r="F73" s="305"/>
      <c r="G73" s="266"/>
      <c r="H73" s="12"/>
      <c r="I73" s="434"/>
      <c r="J73" s="79">
        <f>SUM(J65:J72)</f>
        <v>8593</v>
      </c>
      <c r="K73" s="80">
        <f>SUM(K65:K72)</f>
        <v>229.00000000000011</v>
      </c>
      <c r="L73" s="10">
        <f>SUM(L66:L72)</f>
        <v>0.26041666666666674</v>
      </c>
      <c r="M73" s="10"/>
      <c r="N73" s="424">
        <f>MAX(N66:N72)</f>
        <v>2218.3000000000002</v>
      </c>
      <c r="O73" s="425">
        <f>MAX(O66:O72)</f>
        <v>0</v>
      </c>
      <c r="P73" s="442"/>
      <c r="Q73" s="454">
        <f t="shared" ref="Q73:Q90" si="33">IF(L73=0,0,$Q$2+L73)</f>
        <v>0.26388888888888895</v>
      </c>
    </row>
    <row r="74" spans="1:17" ht="13.5" thickBot="1" x14ac:dyDescent="0.45">
      <c r="A74" s="410" t="s">
        <v>16</v>
      </c>
      <c r="B74" s="89"/>
      <c r="C74" s="90"/>
      <c r="D74" s="89"/>
      <c r="E74" s="89"/>
      <c r="F74" s="306"/>
      <c r="G74" s="81"/>
      <c r="H74" s="92"/>
      <c r="I74" s="435">
        <f>SUM(I65:I72)</f>
        <v>12816</v>
      </c>
      <c r="J74" s="81">
        <f>ROUNDDOWN(K73/60,0)+J73</f>
        <v>8596</v>
      </c>
      <c r="K74" s="82">
        <f>ROUND(K73-(ROUNDDOWN(K73/60,0)*60),0)</f>
        <v>49</v>
      </c>
      <c r="L74" s="271">
        <f>L73</f>
        <v>0.26041666666666674</v>
      </c>
      <c r="M74" s="93"/>
      <c r="N74" s="422">
        <f>N73-N64</f>
        <v>6.4000000000000909</v>
      </c>
      <c r="O74" s="423" t="str">
        <f>IF(OR(O65="N/A",O65="N / A", O65="N/ A",O65="N /A"),"N / A", O73-O64)</f>
        <v>N / A</v>
      </c>
      <c r="P74" s="443"/>
      <c r="Q74" s="454">
        <f>SUM(Q66:Q72)</f>
        <v>0.28472222222222227</v>
      </c>
    </row>
    <row r="75" spans="1:17" ht="13.15" x14ac:dyDescent="0.35">
      <c r="A75" s="34">
        <v>42883</v>
      </c>
      <c r="C75" s="40">
        <v>20</v>
      </c>
      <c r="D75" s="7">
        <v>0.45277777777777778</v>
      </c>
      <c r="E75" s="7">
        <v>0.54236111111111118</v>
      </c>
      <c r="G75" s="2">
        <v>1</v>
      </c>
      <c r="I75" s="432">
        <v>1</v>
      </c>
      <c r="J75" s="74">
        <f>ROUNDDOWN(M75*24,0)</f>
        <v>2</v>
      </c>
      <c r="K75" s="75">
        <f>(M75*24-J75)*60</f>
        <v>9.0000000000001013</v>
      </c>
      <c r="L75" s="7">
        <f>E75-D75</f>
        <v>8.9583333333333404E-2</v>
      </c>
      <c r="M75" s="22">
        <f>L75</f>
        <v>8.9583333333333404E-2</v>
      </c>
      <c r="N75" s="426">
        <v>2220.6</v>
      </c>
      <c r="O75" s="417"/>
      <c r="P75" s="440"/>
      <c r="Q75" s="453">
        <f t="shared" si="33"/>
        <v>9.3055555555555627E-2</v>
      </c>
    </row>
    <row r="76" spans="1:17" ht="13.15" x14ac:dyDescent="0.35">
      <c r="A76" s="34">
        <v>42883</v>
      </c>
      <c r="C76" s="40">
        <v>16</v>
      </c>
      <c r="D76" s="7">
        <v>0.71111111111111114</v>
      </c>
      <c r="E76" s="7">
        <v>0.77777777777777779</v>
      </c>
      <c r="G76" s="2">
        <v>1</v>
      </c>
      <c r="I76" s="432">
        <v>1</v>
      </c>
      <c r="J76" s="74">
        <f t="shared" ref="J76:J81" si="34">ROUNDDOWN(M76*24,0)</f>
        <v>1</v>
      </c>
      <c r="K76" s="75">
        <f t="shared" ref="K76:K81" si="35">(M76*24-J76)*60</f>
        <v>35.999999999999979</v>
      </c>
      <c r="L76" s="7">
        <f t="shared" ref="L76:L81" si="36">E76-D76</f>
        <v>6.6666666666666652E-2</v>
      </c>
      <c r="M76" s="22">
        <f t="shared" ref="M76:M81" si="37">L76</f>
        <v>6.6666666666666652E-2</v>
      </c>
      <c r="N76" s="426">
        <v>2222.1999999999998</v>
      </c>
      <c r="O76" s="417"/>
      <c r="P76" s="440"/>
      <c r="Q76" s="453">
        <f t="shared" si="33"/>
        <v>7.0138888888888876E-2</v>
      </c>
    </row>
    <row r="77" spans="1:17" ht="13.15" x14ac:dyDescent="0.35">
      <c r="A77" s="34">
        <v>42899</v>
      </c>
      <c r="C77" s="40">
        <v>15</v>
      </c>
      <c r="D77" s="7">
        <v>0.47986111111111113</v>
      </c>
      <c r="E77" s="7">
        <v>0.53333333333333333</v>
      </c>
      <c r="G77" s="2">
        <v>1</v>
      </c>
      <c r="I77" s="432">
        <v>1</v>
      </c>
      <c r="J77" s="74">
        <f t="shared" si="34"/>
        <v>1</v>
      </c>
      <c r="K77" s="75">
        <f t="shared" si="35"/>
        <v>16.999999999999964</v>
      </c>
      <c r="L77" s="7">
        <f t="shared" si="36"/>
        <v>5.3472222222222199E-2</v>
      </c>
      <c r="M77" s="22">
        <f t="shared" si="37"/>
        <v>5.3472222222222199E-2</v>
      </c>
      <c r="N77" s="426">
        <v>2223.5</v>
      </c>
      <c r="O77" s="417"/>
      <c r="P77" s="440"/>
      <c r="Q77" s="453">
        <f t="shared" si="33"/>
        <v>5.6944444444444423E-2</v>
      </c>
    </row>
    <row r="78" spans="1:17" ht="13.15" x14ac:dyDescent="0.35">
      <c r="A78" s="34">
        <v>42902</v>
      </c>
      <c r="C78" s="40">
        <v>19</v>
      </c>
      <c r="D78" s="7">
        <v>0.55694444444444446</v>
      </c>
      <c r="E78" s="7">
        <v>0.61458333333333337</v>
      </c>
      <c r="G78" s="2">
        <v>5</v>
      </c>
      <c r="I78" s="432">
        <v>5</v>
      </c>
      <c r="J78" s="74">
        <f t="shared" si="34"/>
        <v>1</v>
      </c>
      <c r="K78" s="75">
        <f t="shared" si="35"/>
        <v>23.000000000000025</v>
      </c>
      <c r="L78" s="7">
        <f t="shared" si="36"/>
        <v>5.7638888888888906E-2</v>
      </c>
      <c r="M78" s="22">
        <f t="shared" si="37"/>
        <v>5.7638888888888906E-2</v>
      </c>
      <c r="N78" s="426">
        <v>2224.6999999999998</v>
      </c>
      <c r="O78" s="417"/>
      <c r="P78" s="440"/>
      <c r="Q78" s="453">
        <f t="shared" si="33"/>
        <v>6.111111111111113E-2</v>
      </c>
    </row>
    <row r="79" spans="1:17" ht="13.15" x14ac:dyDescent="0.35">
      <c r="A79" s="34">
        <v>42903</v>
      </c>
      <c r="C79" s="40">
        <v>18</v>
      </c>
      <c r="D79" s="7">
        <v>0.55069444444444449</v>
      </c>
      <c r="E79" s="7">
        <v>0.60902777777777783</v>
      </c>
      <c r="G79" s="2">
        <v>1</v>
      </c>
      <c r="I79" s="432">
        <v>1</v>
      </c>
      <c r="J79" s="74">
        <f t="shared" si="34"/>
        <v>1</v>
      </c>
      <c r="K79" s="75">
        <f t="shared" si="35"/>
        <v>24.000000000000021</v>
      </c>
      <c r="L79" s="7">
        <f t="shared" si="36"/>
        <v>5.8333333333333348E-2</v>
      </c>
      <c r="M79" s="22">
        <f t="shared" si="37"/>
        <v>5.8333333333333348E-2</v>
      </c>
      <c r="N79" s="426">
        <v>2226.1</v>
      </c>
      <c r="O79" s="417"/>
      <c r="P79" s="440"/>
      <c r="Q79" s="453">
        <f t="shared" si="33"/>
        <v>6.1805555555555572E-2</v>
      </c>
    </row>
    <row r="80" spans="1:17" ht="13.15" x14ac:dyDescent="0.35">
      <c r="A80" s="34">
        <v>42904</v>
      </c>
      <c r="C80" s="40">
        <v>15</v>
      </c>
      <c r="D80" s="7">
        <v>0.33263888888888887</v>
      </c>
      <c r="E80" s="7">
        <v>0.37638888888888888</v>
      </c>
      <c r="G80" s="2">
        <v>1</v>
      </c>
      <c r="I80" s="432">
        <v>1</v>
      </c>
      <c r="J80" s="74">
        <f t="shared" si="34"/>
        <v>1</v>
      </c>
      <c r="K80" s="75">
        <f t="shared" si="35"/>
        <v>3.000000000000016</v>
      </c>
      <c r="L80" s="7">
        <f t="shared" si="36"/>
        <v>4.3750000000000011E-2</v>
      </c>
      <c r="M80" s="22">
        <f t="shared" si="37"/>
        <v>4.3750000000000011E-2</v>
      </c>
      <c r="N80" s="426">
        <v>2227.6</v>
      </c>
      <c r="O80" s="417"/>
      <c r="P80" s="440"/>
      <c r="Q80" s="453">
        <f t="shared" si="33"/>
        <v>4.7222222222222235E-2</v>
      </c>
    </row>
    <row r="81" spans="1:17" ht="13.5" thickBot="1" x14ac:dyDescent="0.4">
      <c r="A81" s="38">
        <v>42908</v>
      </c>
      <c r="B81" s="24"/>
      <c r="C81" s="41">
        <v>19</v>
      </c>
      <c r="D81" s="9">
        <v>0.62361111111111112</v>
      </c>
      <c r="E81" s="9">
        <v>0.64166666666666672</v>
      </c>
      <c r="F81" s="304">
        <v>1</v>
      </c>
      <c r="G81" s="269">
        <v>3</v>
      </c>
      <c r="H81" s="28"/>
      <c r="I81" s="433">
        <v>3</v>
      </c>
      <c r="J81" s="76">
        <f t="shared" si="34"/>
        <v>0</v>
      </c>
      <c r="K81" s="77">
        <f t="shared" si="35"/>
        <v>26.000000000000068</v>
      </c>
      <c r="L81" s="9">
        <f t="shared" si="36"/>
        <v>1.8055555555555602E-2</v>
      </c>
      <c r="M81" s="26">
        <f t="shared" si="37"/>
        <v>1.8055555555555602E-2</v>
      </c>
      <c r="N81" s="427">
        <v>2227.6</v>
      </c>
      <c r="O81" s="419"/>
      <c r="P81" s="441"/>
      <c r="Q81" s="453">
        <f t="shared" si="33"/>
        <v>2.1527777777777826E-2</v>
      </c>
    </row>
    <row r="82" spans="1:17" ht="13.5" hidden="1" thickBot="1" x14ac:dyDescent="0.45">
      <c r="A82" s="409"/>
      <c r="B82" s="6"/>
      <c r="C82" s="42"/>
      <c r="D82" s="6"/>
      <c r="E82" s="6"/>
      <c r="F82" s="305"/>
      <c r="G82" s="266"/>
      <c r="H82" s="12"/>
      <c r="I82" s="434"/>
      <c r="J82" s="79">
        <f>SUM(J74:J81)</f>
        <v>8603</v>
      </c>
      <c r="K82" s="80">
        <f>SUM(K74:K81)</f>
        <v>187.0000000000002</v>
      </c>
      <c r="L82" s="10">
        <f>SUM(L75:L81)</f>
        <v>0.38750000000000012</v>
      </c>
      <c r="M82" s="10"/>
      <c r="N82" s="424">
        <f>MAX(N75:N81)</f>
        <v>2227.6</v>
      </c>
      <c r="O82" s="425">
        <f>MAX(O75:O81)</f>
        <v>0</v>
      </c>
      <c r="P82" s="442"/>
      <c r="Q82" s="454">
        <f t="shared" si="33"/>
        <v>0.39097222222222233</v>
      </c>
    </row>
    <row r="83" spans="1:17" ht="13.5" thickBot="1" x14ac:dyDescent="0.45">
      <c r="A83" s="410" t="s">
        <v>16</v>
      </c>
      <c r="B83" s="89"/>
      <c r="C83" s="90"/>
      <c r="D83" s="89"/>
      <c r="E83" s="89"/>
      <c r="F83" s="306"/>
      <c r="G83" s="81"/>
      <c r="H83" s="92"/>
      <c r="I83" s="435">
        <f>SUM(I74:I81)</f>
        <v>12829</v>
      </c>
      <c r="J83" s="81">
        <f>ROUNDDOWN(K82/60,0)+J82</f>
        <v>8606</v>
      </c>
      <c r="K83" s="82">
        <f>ROUND(K82-(ROUNDDOWN(K82/60,0)*60),0)</f>
        <v>7</v>
      </c>
      <c r="L83" s="271">
        <f>L82</f>
        <v>0.38750000000000012</v>
      </c>
      <c r="M83" s="93"/>
      <c r="N83" s="422">
        <f>N82-N73</f>
        <v>9.2999999999997272</v>
      </c>
      <c r="O83" s="423" t="str">
        <f>IF(OR(O74="N/A",O74="N / A", O74="N/ A",O74="N /A"),"N / A", O82-O73)</f>
        <v>N / A</v>
      </c>
      <c r="P83" s="443"/>
      <c r="Q83" s="454">
        <f>SUM(Q75:Q81)</f>
        <v>0.41180555555555565</v>
      </c>
    </row>
    <row r="84" spans="1:17" ht="13.15" x14ac:dyDescent="0.35">
      <c r="A84" s="34">
        <v>42913</v>
      </c>
      <c r="C84" s="40">
        <v>14</v>
      </c>
      <c r="D84" s="7">
        <v>0.62013888888888891</v>
      </c>
      <c r="E84" s="7">
        <v>0.66319444444444442</v>
      </c>
      <c r="G84" s="2">
        <v>3</v>
      </c>
      <c r="I84" s="432">
        <v>3</v>
      </c>
      <c r="J84" s="74">
        <f t="shared" ref="J84:J89" si="38">ROUNDDOWN(M84*24,0)</f>
        <v>1</v>
      </c>
      <c r="K84" s="75">
        <f t="shared" ref="K84:K89" si="39">(M84*24-J84)*60</f>
        <v>1.9999999999999396</v>
      </c>
      <c r="L84" s="7">
        <f t="shared" ref="L84:L89" si="40">E84-D84</f>
        <v>4.3055555555555514E-2</v>
      </c>
      <c r="M84" s="22">
        <f>L84</f>
        <v>4.3055555555555514E-2</v>
      </c>
      <c r="N84" s="426">
        <v>2228.5</v>
      </c>
      <c r="O84" s="417"/>
      <c r="P84" s="440"/>
      <c r="Q84" s="453">
        <f t="shared" si="33"/>
        <v>4.6527777777777737E-2</v>
      </c>
    </row>
    <row r="85" spans="1:17" ht="13.15" x14ac:dyDescent="0.35">
      <c r="A85" s="34">
        <v>42567</v>
      </c>
      <c r="C85" s="40">
        <v>12</v>
      </c>
      <c r="D85" s="7">
        <v>0.53888888888888886</v>
      </c>
      <c r="E85" s="7">
        <v>0.55555555555555558</v>
      </c>
      <c r="G85" s="2">
        <v>0</v>
      </c>
      <c r="H85" s="3" t="s">
        <v>174</v>
      </c>
      <c r="I85" s="432">
        <v>1</v>
      </c>
      <c r="J85" s="74">
        <f t="shared" si="38"/>
        <v>0</v>
      </c>
      <c r="K85" s="75">
        <f t="shared" si="39"/>
        <v>24.000000000000075</v>
      </c>
      <c r="L85" s="7">
        <f t="shared" si="40"/>
        <v>1.6666666666666718E-2</v>
      </c>
      <c r="M85" s="22">
        <f t="shared" ref="M85:M90" si="41">L85</f>
        <v>1.6666666666666718E-2</v>
      </c>
      <c r="N85" s="426">
        <v>2229</v>
      </c>
      <c r="O85" s="417"/>
      <c r="P85" s="440"/>
      <c r="Q85" s="453">
        <f t="shared" si="33"/>
        <v>2.0138888888888942E-2</v>
      </c>
    </row>
    <row r="86" spans="1:17" ht="13.15" x14ac:dyDescent="0.35">
      <c r="A86" s="34">
        <v>42932</v>
      </c>
      <c r="C86" s="40">
        <v>12</v>
      </c>
      <c r="D86" s="7">
        <v>0.59652777777777777</v>
      </c>
      <c r="E86" s="7">
        <v>0.60486111111111118</v>
      </c>
      <c r="G86" s="2">
        <v>0</v>
      </c>
      <c r="H86" s="3" t="s">
        <v>182</v>
      </c>
      <c r="I86" s="432">
        <v>1</v>
      </c>
      <c r="J86" s="74">
        <f t="shared" si="38"/>
        <v>0</v>
      </c>
      <c r="K86" s="75">
        <f t="shared" si="39"/>
        <v>12.000000000000117</v>
      </c>
      <c r="L86" s="7">
        <f t="shared" si="40"/>
        <v>8.3333333333334147E-3</v>
      </c>
      <c r="M86" s="22">
        <f t="shared" si="41"/>
        <v>8.3333333333334147E-3</v>
      </c>
      <c r="N86" s="426">
        <v>2229.3000000000002</v>
      </c>
      <c r="O86" s="417"/>
      <c r="P86" s="440"/>
      <c r="Q86" s="453">
        <f t="shared" si="33"/>
        <v>1.1805555555555637E-2</v>
      </c>
    </row>
    <row r="87" spans="1:17" ht="13.15" x14ac:dyDescent="0.35">
      <c r="A87" s="34">
        <v>42932</v>
      </c>
      <c r="C87" s="40">
        <v>12</v>
      </c>
      <c r="D87" s="7">
        <v>0.61875000000000002</v>
      </c>
      <c r="E87" s="7">
        <v>0.63472222222222219</v>
      </c>
      <c r="G87" s="2">
        <v>1</v>
      </c>
      <c r="I87" s="432">
        <v>1</v>
      </c>
      <c r="J87" s="74">
        <f t="shared" si="38"/>
        <v>0</v>
      </c>
      <c r="K87" s="75">
        <f t="shared" si="39"/>
        <v>22.999999999999918</v>
      </c>
      <c r="L87" s="7">
        <f t="shared" si="40"/>
        <v>1.5972222222222165E-2</v>
      </c>
      <c r="M87" s="22">
        <f t="shared" si="41"/>
        <v>1.5972222222222165E-2</v>
      </c>
      <c r="N87" s="426">
        <v>2229.6999999999998</v>
      </c>
      <c r="O87" s="417"/>
      <c r="P87" s="440"/>
      <c r="Q87" s="453">
        <f t="shared" si="33"/>
        <v>1.9444444444444389E-2</v>
      </c>
    </row>
    <row r="88" spans="1:17" ht="13.15" x14ac:dyDescent="0.35">
      <c r="A88" s="34">
        <v>42935</v>
      </c>
      <c r="C88" s="40">
        <v>16</v>
      </c>
      <c r="D88" s="7">
        <v>0.40972222222222227</v>
      </c>
      <c r="E88" s="7">
        <v>0.47083333333333338</v>
      </c>
      <c r="G88" s="2">
        <v>4</v>
      </c>
      <c r="I88" s="432">
        <v>4</v>
      </c>
      <c r="J88" s="74">
        <f t="shared" si="38"/>
        <v>1</v>
      </c>
      <c r="K88" s="75">
        <f t="shared" si="39"/>
        <v>28.000000000000007</v>
      </c>
      <c r="L88" s="7">
        <f t="shared" si="40"/>
        <v>6.1111111111111116E-2</v>
      </c>
      <c r="M88" s="22">
        <f t="shared" si="41"/>
        <v>6.1111111111111116E-2</v>
      </c>
      <c r="N88" s="426">
        <v>2231.1</v>
      </c>
      <c r="O88" s="417"/>
      <c r="P88" s="440"/>
      <c r="Q88" s="453">
        <f t="shared" si="33"/>
        <v>6.458333333333334E-2</v>
      </c>
    </row>
    <row r="89" spans="1:17" ht="13.15" x14ac:dyDescent="0.35">
      <c r="A89" s="34">
        <v>42939</v>
      </c>
      <c r="C89" s="40">
        <v>13</v>
      </c>
      <c r="D89" s="7">
        <v>0.49652777777777773</v>
      </c>
      <c r="E89" s="7">
        <v>0.54513888888888895</v>
      </c>
      <c r="G89" s="2">
        <v>1</v>
      </c>
      <c r="I89" s="432">
        <v>1</v>
      </c>
      <c r="J89" s="74">
        <f t="shared" si="38"/>
        <v>1</v>
      </c>
      <c r="K89" s="75">
        <f t="shared" si="39"/>
        <v>10.000000000000151</v>
      </c>
      <c r="L89" s="7">
        <f t="shared" si="40"/>
        <v>4.8611111111111216E-2</v>
      </c>
      <c r="M89" s="22">
        <f t="shared" si="41"/>
        <v>4.8611111111111216E-2</v>
      </c>
      <c r="N89" s="426">
        <v>2232.1999999999998</v>
      </c>
      <c r="O89" s="417"/>
      <c r="P89" s="440"/>
      <c r="Q89" s="453">
        <f t="shared" si="33"/>
        <v>5.208333333333344E-2</v>
      </c>
    </row>
    <row r="90" spans="1:17" ht="13.5" thickBot="1" x14ac:dyDescent="0.4">
      <c r="A90" s="38">
        <v>42948</v>
      </c>
      <c r="B90" s="24"/>
      <c r="C90" s="41">
        <v>16</v>
      </c>
      <c r="D90" s="309" t="s">
        <v>183</v>
      </c>
      <c r="E90" s="309" t="s">
        <v>183</v>
      </c>
      <c r="F90" s="304"/>
      <c r="G90" s="308">
        <v>0</v>
      </c>
      <c r="H90" s="28"/>
      <c r="I90" s="433">
        <v>0</v>
      </c>
      <c r="J90" s="76">
        <v>0</v>
      </c>
      <c r="K90" s="77">
        <v>0</v>
      </c>
      <c r="L90" s="9">
        <v>0</v>
      </c>
      <c r="M90" s="26">
        <f t="shared" si="41"/>
        <v>0</v>
      </c>
      <c r="N90" s="427">
        <v>2232.4</v>
      </c>
      <c r="O90" s="419"/>
      <c r="P90" s="441"/>
      <c r="Q90" s="453">
        <f t="shared" si="33"/>
        <v>0</v>
      </c>
    </row>
    <row r="91" spans="1:17" ht="13.5" hidden="1" thickBot="1" x14ac:dyDescent="0.45">
      <c r="A91" s="409"/>
      <c r="B91" s="6"/>
      <c r="C91" s="42"/>
      <c r="D91" s="6"/>
      <c r="E91" s="6"/>
      <c r="F91" s="305"/>
      <c r="G91" s="266"/>
      <c r="H91" s="12"/>
      <c r="I91" s="434"/>
      <c r="J91" s="79">
        <f>SUM(J83:J90)</f>
        <v>8609</v>
      </c>
      <c r="K91" s="80">
        <f>SUM(K83:K90)</f>
        <v>106.00000000000021</v>
      </c>
      <c r="L91" s="10">
        <f>SUM(L84:L90)</f>
        <v>0.19375000000000014</v>
      </c>
      <c r="M91" s="10"/>
      <c r="N91" s="424">
        <f>MAX(N84:N90)</f>
        <v>2232.4</v>
      </c>
      <c r="O91" s="425">
        <f>MAX(O84:O90)</f>
        <v>0</v>
      </c>
      <c r="P91" s="442"/>
      <c r="Q91" s="454">
        <f t="shared" ref="Q91:Q117" si="42">IF(L91=0,0,$Q$2+L91)</f>
        <v>0.19722222222222235</v>
      </c>
    </row>
    <row r="92" spans="1:17" ht="13.5" thickBot="1" x14ac:dyDescent="0.45">
      <c r="A92" s="410" t="s">
        <v>16</v>
      </c>
      <c r="B92" s="89"/>
      <c r="C92" s="90"/>
      <c r="D92" s="89"/>
      <c r="E92" s="89"/>
      <c r="F92" s="306"/>
      <c r="G92" s="81"/>
      <c r="H92" s="92"/>
      <c r="I92" s="435">
        <f>SUM(I83:I90)</f>
        <v>12840</v>
      </c>
      <c r="J92" s="81">
        <f>ROUNDDOWN(K91/60,0)+J91</f>
        <v>8610</v>
      </c>
      <c r="K92" s="82">
        <f>ROUND(K91-(ROUNDDOWN(K91/60,0)*60),0)</f>
        <v>46</v>
      </c>
      <c r="L92" s="271">
        <f>L91</f>
        <v>0.19375000000000014</v>
      </c>
      <c r="M92" s="93"/>
      <c r="N92" s="422">
        <f>N91-N82</f>
        <v>4.8000000000001819</v>
      </c>
      <c r="O92" s="423" t="str">
        <f>IF(OR(O83="N/A",O83="N / A", O83="N/ A",O83="N /A"),"N / A", O91-O82)</f>
        <v>N / A</v>
      </c>
      <c r="P92" s="443"/>
      <c r="Q92" s="454">
        <f>SUM(Q84:Q90)</f>
        <v>0.21458333333333346</v>
      </c>
    </row>
    <row r="93" spans="1:17" ht="13.15" x14ac:dyDescent="0.35">
      <c r="A93" s="34">
        <v>42952</v>
      </c>
      <c r="C93" s="40">
        <v>15</v>
      </c>
      <c r="D93" s="7">
        <v>0.36458333333333331</v>
      </c>
      <c r="E93" s="7">
        <v>0.40972222222222227</v>
      </c>
      <c r="G93" s="2">
        <v>4</v>
      </c>
      <c r="I93" s="432">
        <v>4</v>
      </c>
      <c r="J93" s="74">
        <f>ROUNDDOWN(M93*24,0)</f>
        <v>1</v>
      </c>
      <c r="K93" s="75">
        <f>(M93*24-J93)*60</f>
        <v>5.0000000000000888</v>
      </c>
      <c r="L93" s="7">
        <f>E93-D93</f>
        <v>4.5138888888888951E-2</v>
      </c>
      <c r="M93" s="22">
        <f>L93</f>
        <v>4.5138888888888951E-2</v>
      </c>
      <c r="N93" s="426">
        <v>2233.5</v>
      </c>
      <c r="O93" s="417"/>
      <c r="P93" s="440"/>
      <c r="Q93" s="453">
        <f t="shared" si="42"/>
        <v>4.8611111111111174E-2</v>
      </c>
    </row>
    <row r="94" spans="1:17" ht="13.15" x14ac:dyDescent="0.35">
      <c r="A94" s="34">
        <v>42957</v>
      </c>
      <c r="C94" s="40">
        <v>18</v>
      </c>
      <c r="D94" s="7">
        <v>0.41666666666666669</v>
      </c>
      <c r="E94" s="7">
        <v>0.43333333333333335</v>
      </c>
      <c r="G94" s="2">
        <v>0</v>
      </c>
      <c r="H94" s="3" t="s">
        <v>165</v>
      </c>
      <c r="I94" s="432">
        <v>1</v>
      </c>
      <c r="J94" s="74">
        <f t="shared" ref="J94:J99" si="43">ROUNDDOWN(M94*24,0)</f>
        <v>0</v>
      </c>
      <c r="K94" s="75">
        <f t="shared" ref="K94:K99" si="44">(M94*24-J94)*60</f>
        <v>23.999999999999993</v>
      </c>
      <c r="L94" s="7">
        <f t="shared" ref="L94:L99" si="45">E94-D94</f>
        <v>1.6666666666666663E-2</v>
      </c>
      <c r="M94" s="22">
        <f t="shared" ref="M94:M99" si="46">L94</f>
        <v>1.6666666666666663E-2</v>
      </c>
      <c r="N94" s="426">
        <v>2234.1</v>
      </c>
      <c r="O94" s="417"/>
      <c r="P94" s="440"/>
      <c r="Q94" s="453">
        <f t="shared" si="42"/>
        <v>2.0138888888888887E-2</v>
      </c>
    </row>
    <row r="95" spans="1:17" ht="13.15" x14ac:dyDescent="0.35">
      <c r="A95" s="34">
        <v>42957</v>
      </c>
      <c r="C95" s="40">
        <v>18</v>
      </c>
      <c r="D95" s="7">
        <v>0.48472222222222222</v>
      </c>
      <c r="E95" s="7">
        <v>0.50694444444444442</v>
      </c>
      <c r="G95" s="2">
        <v>1</v>
      </c>
      <c r="I95" s="432">
        <v>1</v>
      </c>
      <c r="J95" s="74">
        <f t="shared" si="43"/>
        <v>0</v>
      </c>
      <c r="K95" s="75">
        <f t="shared" si="44"/>
        <v>31.999999999999964</v>
      </c>
      <c r="L95" s="7">
        <f t="shared" si="45"/>
        <v>2.2222222222222199E-2</v>
      </c>
      <c r="M95" s="22">
        <f t="shared" si="46"/>
        <v>2.2222222222222199E-2</v>
      </c>
      <c r="N95" s="426">
        <v>2234.6999999999998</v>
      </c>
      <c r="O95" s="417"/>
      <c r="P95" s="440"/>
      <c r="Q95" s="453">
        <f t="shared" si="42"/>
        <v>2.5694444444444423E-2</v>
      </c>
    </row>
    <row r="96" spans="1:17" ht="13.15" x14ac:dyDescent="0.35">
      <c r="A96" s="34">
        <v>42960</v>
      </c>
      <c r="C96" s="40">
        <v>2</v>
      </c>
      <c r="D96" s="7">
        <v>0.32013888888888892</v>
      </c>
      <c r="E96" s="7">
        <v>0.35972222222222222</v>
      </c>
      <c r="G96" s="2">
        <v>0</v>
      </c>
      <c r="H96" s="3" t="s">
        <v>172</v>
      </c>
      <c r="I96" s="432">
        <v>1</v>
      </c>
      <c r="J96" s="74">
        <f t="shared" si="43"/>
        <v>0</v>
      </c>
      <c r="K96" s="75">
        <f t="shared" si="44"/>
        <v>56.999999999999957</v>
      </c>
      <c r="L96" s="7">
        <f t="shared" si="45"/>
        <v>3.9583333333333304E-2</v>
      </c>
      <c r="M96" s="22">
        <f t="shared" si="46"/>
        <v>3.9583333333333304E-2</v>
      </c>
      <c r="N96" s="426">
        <v>2235.6999999999998</v>
      </c>
      <c r="O96" s="417"/>
      <c r="P96" s="440"/>
      <c r="Q96" s="453">
        <f t="shared" si="42"/>
        <v>4.3055555555555527E-2</v>
      </c>
    </row>
    <row r="97" spans="1:17" ht="13.15" x14ac:dyDescent="0.35">
      <c r="A97" s="34">
        <v>42960</v>
      </c>
      <c r="C97" s="40">
        <v>2</v>
      </c>
      <c r="D97" s="7">
        <v>0.37986111111111115</v>
      </c>
      <c r="E97" s="7">
        <v>0.45763888888888887</v>
      </c>
      <c r="G97" s="2">
        <v>0</v>
      </c>
      <c r="H97" s="3" t="s">
        <v>184</v>
      </c>
      <c r="I97" s="432">
        <v>1</v>
      </c>
      <c r="J97" s="74">
        <f t="shared" si="43"/>
        <v>1</v>
      </c>
      <c r="K97" s="75">
        <f t="shared" si="44"/>
        <v>51.999999999999922</v>
      </c>
      <c r="L97" s="7">
        <f t="shared" si="45"/>
        <v>7.7777777777777724E-2</v>
      </c>
      <c r="M97" s="22">
        <f t="shared" si="46"/>
        <v>7.7777777777777724E-2</v>
      </c>
      <c r="N97" s="426">
        <v>2236.6</v>
      </c>
      <c r="O97" s="417"/>
      <c r="P97" s="440"/>
      <c r="Q97" s="453">
        <f t="shared" si="42"/>
        <v>8.1249999999999947E-2</v>
      </c>
    </row>
    <row r="98" spans="1:17" ht="13.15" x14ac:dyDescent="0.35">
      <c r="A98" s="34">
        <v>42960</v>
      </c>
      <c r="C98" s="40">
        <v>2</v>
      </c>
      <c r="D98" s="7">
        <v>0.64583333333333337</v>
      </c>
      <c r="E98" s="7">
        <v>0.71666666666666667</v>
      </c>
      <c r="G98" s="2">
        <v>0</v>
      </c>
      <c r="H98" s="3" t="s">
        <v>172</v>
      </c>
      <c r="I98" s="432">
        <v>1</v>
      </c>
      <c r="J98" s="74">
        <f t="shared" si="43"/>
        <v>1</v>
      </c>
      <c r="K98" s="75">
        <f t="shared" si="44"/>
        <v>41.999999999999957</v>
      </c>
      <c r="L98" s="7">
        <f t="shared" si="45"/>
        <v>7.0833333333333304E-2</v>
      </c>
      <c r="M98" s="22">
        <f t="shared" si="46"/>
        <v>7.0833333333333304E-2</v>
      </c>
      <c r="N98" s="426">
        <v>2238.3000000000002</v>
      </c>
      <c r="O98" s="417"/>
      <c r="P98" s="440"/>
      <c r="Q98" s="453">
        <f t="shared" si="42"/>
        <v>7.4305555555555527E-2</v>
      </c>
    </row>
    <row r="99" spans="1:17" ht="13.5" thickBot="1" x14ac:dyDescent="0.4">
      <c r="A99" s="38">
        <v>42960</v>
      </c>
      <c r="B99" s="24"/>
      <c r="C99" s="41">
        <v>2</v>
      </c>
      <c r="D99" s="9">
        <v>0.72777777777777775</v>
      </c>
      <c r="E99" s="9">
        <v>0.76597222222222217</v>
      </c>
      <c r="F99" s="304"/>
      <c r="G99" s="269">
        <v>1</v>
      </c>
      <c r="H99" s="28"/>
      <c r="I99" s="433">
        <v>1</v>
      </c>
      <c r="J99" s="76">
        <f t="shared" si="43"/>
        <v>0</v>
      </c>
      <c r="K99" s="77">
        <f t="shared" si="44"/>
        <v>54.999999999999964</v>
      </c>
      <c r="L99" s="9">
        <f t="shared" si="45"/>
        <v>3.819444444444442E-2</v>
      </c>
      <c r="M99" s="26">
        <f t="shared" si="46"/>
        <v>3.819444444444442E-2</v>
      </c>
      <c r="N99" s="427">
        <v>2240.1999999999998</v>
      </c>
      <c r="O99" s="419"/>
      <c r="P99" s="441"/>
      <c r="Q99" s="453">
        <f t="shared" si="42"/>
        <v>4.1666666666666644E-2</v>
      </c>
    </row>
    <row r="100" spans="1:17" ht="13.5" hidden="1" thickBot="1" x14ac:dyDescent="0.45">
      <c r="A100" s="409"/>
      <c r="B100" s="6"/>
      <c r="C100" s="42"/>
      <c r="D100" s="6"/>
      <c r="E100" s="6"/>
      <c r="F100" s="305"/>
      <c r="G100" s="266"/>
      <c r="H100" s="12"/>
      <c r="I100" s="434"/>
      <c r="J100" s="79">
        <f>SUM(J92:J99)</f>
        <v>8613</v>
      </c>
      <c r="K100" s="80">
        <f>SUM(K92:K99)</f>
        <v>312.99999999999983</v>
      </c>
      <c r="L100" s="10">
        <f>SUM(L93:L99)</f>
        <v>0.31041666666666656</v>
      </c>
      <c r="M100" s="10"/>
      <c r="N100" s="424">
        <f>MAX(N93:N99)</f>
        <v>2240.1999999999998</v>
      </c>
      <c r="O100" s="425">
        <f>MAX(O93:O99)</f>
        <v>0</v>
      </c>
      <c r="P100" s="442"/>
      <c r="Q100" s="454">
        <f t="shared" si="42"/>
        <v>0.31388888888888877</v>
      </c>
    </row>
    <row r="101" spans="1:17" ht="13.5" thickBot="1" x14ac:dyDescent="0.45">
      <c r="A101" s="410" t="s">
        <v>16</v>
      </c>
      <c r="B101" s="89"/>
      <c r="C101" s="90"/>
      <c r="D101" s="89"/>
      <c r="E101" s="89"/>
      <c r="F101" s="306"/>
      <c r="G101" s="81"/>
      <c r="H101" s="92"/>
      <c r="I101" s="435">
        <f>SUM(I92:I99)</f>
        <v>12850</v>
      </c>
      <c r="J101" s="81">
        <f>ROUNDDOWN(K100/60,0)+J100</f>
        <v>8618</v>
      </c>
      <c r="K101" s="82">
        <f>ROUND(K100-(ROUNDDOWN(K100/60,0)*60),0)</f>
        <v>13</v>
      </c>
      <c r="L101" s="271">
        <f>L100</f>
        <v>0.31041666666666656</v>
      </c>
      <c r="M101" s="93"/>
      <c r="N101" s="422">
        <f>N100-N91</f>
        <v>7.7999999999997272</v>
      </c>
      <c r="O101" s="423" t="str">
        <f>IF(OR(O92="N/A",O92="N / A", O92="N/ A",O92="N /A"),"N / A", O100-O91)</f>
        <v>N / A</v>
      </c>
      <c r="P101" s="443"/>
      <c r="Q101" s="454">
        <f>SUM(Q93:Q99)</f>
        <v>0.33472222222222209</v>
      </c>
    </row>
    <row r="102" spans="1:17" ht="13.15" x14ac:dyDescent="0.35">
      <c r="A102" s="34">
        <v>42961</v>
      </c>
      <c r="C102" s="40">
        <v>0</v>
      </c>
      <c r="D102" s="7">
        <v>0.26319444444444445</v>
      </c>
      <c r="E102" s="7">
        <v>0.29930555555555555</v>
      </c>
      <c r="G102" s="2">
        <v>0</v>
      </c>
      <c r="H102" s="3" t="s">
        <v>103</v>
      </c>
      <c r="I102" s="432">
        <v>1</v>
      </c>
      <c r="J102" s="74">
        <f>ROUNDDOWN(M102*24,0)</f>
        <v>0</v>
      </c>
      <c r="K102" s="75">
        <f>(M102*24-J102)*60</f>
        <v>51.999999999999972</v>
      </c>
      <c r="L102" s="7">
        <f>E102-D102</f>
        <v>3.6111111111111094E-2</v>
      </c>
      <c r="M102" s="22">
        <f>L102</f>
        <v>3.6111111111111094E-2</v>
      </c>
      <c r="N102" s="426">
        <v>2241.1</v>
      </c>
      <c r="O102" s="417"/>
      <c r="P102" s="445" t="s">
        <v>156</v>
      </c>
      <c r="Q102" s="453">
        <f t="shared" si="42"/>
        <v>3.9583333333333318E-2</v>
      </c>
    </row>
    <row r="103" spans="1:17" ht="13.15" x14ac:dyDescent="0.35">
      <c r="A103" s="34">
        <v>42964</v>
      </c>
      <c r="C103" s="40">
        <v>4</v>
      </c>
      <c r="D103" s="7">
        <v>0.60069444444444442</v>
      </c>
      <c r="E103" s="7">
        <v>0.64236111111111105</v>
      </c>
      <c r="G103" s="2">
        <v>1</v>
      </c>
      <c r="I103" s="432">
        <v>1</v>
      </c>
      <c r="J103" s="74">
        <f t="shared" ref="J103:J108" si="47">ROUNDDOWN(M103*24,0)</f>
        <v>0</v>
      </c>
      <c r="K103" s="75">
        <f t="shared" ref="K103:K108" si="48">(M103*24-J103)*60</f>
        <v>59.999999999999943</v>
      </c>
      <c r="L103" s="7">
        <f t="shared" ref="L103:L108" si="49">E103-D103</f>
        <v>4.166666666666663E-2</v>
      </c>
      <c r="M103" s="22">
        <f t="shared" ref="M103:M108" si="50">L103</f>
        <v>4.166666666666663E-2</v>
      </c>
      <c r="N103" s="426">
        <v>2242.1999999999998</v>
      </c>
      <c r="O103" s="417"/>
      <c r="P103" s="445" t="s">
        <v>156</v>
      </c>
      <c r="Q103" s="453">
        <f t="shared" si="42"/>
        <v>4.5138888888888853E-2</v>
      </c>
    </row>
    <row r="104" spans="1:17" ht="13.15" x14ac:dyDescent="0.35">
      <c r="A104" s="34">
        <v>42967</v>
      </c>
      <c r="C104" s="40">
        <v>18</v>
      </c>
      <c r="D104" s="7">
        <v>0.62847222222222221</v>
      </c>
      <c r="E104" s="7">
        <v>0.65625</v>
      </c>
      <c r="G104" s="2">
        <v>0</v>
      </c>
      <c r="H104" s="3" t="s">
        <v>110</v>
      </c>
      <c r="I104" s="432">
        <v>2</v>
      </c>
      <c r="J104" s="74">
        <f t="shared" si="47"/>
        <v>0</v>
      </c>
      <c r="K104" s="75">
        <f t="shared" si="48"/>
        <v>40.000000000000014</v>
      </c>
      <c r="L104" s="7">
        <f t="shared" si="49"/>
        <v>2.777777777777779E-2</v>
      </c>
      <c r="M104" s="22">
        <f t="shared" si="50"/>
        <v>2.777777777777779E-2</v>
      </c>
      <c r="N104" s="426">
        <v>2242.9</v>
      </c>
      <c r="O104" s="417"/>
      <c r="P104" s="440"/>
      <c r="Q104" s="453">
        <f t="shared" si="42"/>
        <v>3.1250000000000014E-2</v>
      </c>
    </row>
    <row r="105" spans="1:17" ht="13.15" x14ac:dyDescent="0.35">
      <c r="A105" s="34">
        <v>42236</v>
      </c>
      <c r="C105" s="40">
        <v>18</v>
      </c>
      <c r="D105" s="7">
        <v>0.67361111111111116</v>
      </c>
      <c r="E105" s="7">
        <v>0.68402777777777779</v>
      </c>
      <c r="G105" s="2">
        <v>1</v>
      </c>
      <c r="I105" s="432">
        <v>1</v>
      </c>
      <c r="J105" s="74">
        <f t="shared" si="47"/>
        <v>0</v>
      </c>
      <c r="K105" s="75">
        <f t="shared" si="48"/>
        <v>14.999999999999947</v>
      </c>
      <c r="L105" s="7">
        <f t="shared" si="49"/>
        <v>1.041666666666663E-2</v>
      </c>
      <c r="M105" s="22">
        <f t="shared" si="50"/>
        <v>1.041666666666663E-2</v>
      </c>
      <c r="N105" s="426">
        <v>2243.1</v>
      </c>
      <c r="O105" s="417"/>
      <c r="P105" s="440"/>
      <c r="Q105" s="453">
        <f t="shared" si="42"/>
        <v>1.3888888888888852E-2</v>
      </c>
    </row>
    <row r="106" spans="1:17" ht="13.15" x14ac:dyDescent="0.35">
      <c r="A106" s="34">
        <v>42970</v>
      </c>
      <c r="C106" s="40">
        <v>16</v>
      </c>
      <c r="D106" s="7">
        <v>0.45624999999999999</v>
      </c>
      <c r="E106" s="7">
        <v>0.48958333333333331</v>
      </c>
      <c r="G106" s="2">
        <v>4</v>
      </c>
      <c r="I106" s="432">
        <v>4</v>
      </c>
      <c r="J106" s="74">
        <f t="shared" si="47"/>
        <v>0</v>
      </c>
      <c r="K106" s="75">
        <f t="shared" si="48"/>
        <v>47.999999999999986</v>
      </c>
      <c r="L106" s="7">
        <f t="shared" si="49"/>
        <v>3.3333333333333326E-2</v>
      </c>
      <c r="M106" s="22">
        <f t="shared" si="50"/>
        <v>3.3333333333333326E-2</v>
      </c>
      <c r="N106" s="426">
        <v>2243.9</v>
      </c>
      <c r="O106" s="417"/>
      <c r="P106" s="440"/>
      <c r="Q106" s="453">
        <f t="shared" si="42"/>
        <v>3.680555555555555E-2</v>
      </c>
    </row>
    <row r="107" spans="1:17" ht="13.15" x14ac:dyDescent="0.35">
      <c r="A107" s="34">
        <v>42970</v>
      </c>
      <c r="C107" s="40">
        <v>16</v>
      </c>
      <c r="D107" s="7">
        <v>0.52847222222222223</v>
      </c>
      <c r="E107" s="7">
        <v>0.5541666666666667</v>
      </c>
      <c r="G107" s="2">
        <v>0</v>
      </c>
      <c r="H107" s="3" t="s">
        <v>166</v>
      </c>
      <c r="I107" s="432">
        <v>1</v>
      </c>
      <c r="J107" s="74">
        <f t="shared" si="47"/>
        <v>0</v>
      </c>
      <c r="K107" s="75">
        <f t="shared" si="48"/>
        <v>37.000000000000028</v>
      </c>
      <c r="L107" s="7">
        <f t="shared" si="49"/>
        <v>2.5694444444444464E-2</v>
      </c>
      <c r="M107" s="22">
        <f t="shared" si="50"/>
        <v>2.5694444444444464E-2</v>
      </c>
      <c r="N107" s="426">
        <v>2244.5</v>
      </c>
      <c r="O107" s="417"/>
      <c r="P107" s="440"/>
      <c r="Q107" s="453">
        <f t="shared" si="42"/>
        <v>2.9166666666666688E-2</v>
      </c>
    </row>
    <row r="108" spans="1:17" ht="13.5" thickBot="1" x14ac:dyDescent="0.4">
      <c r="A108" s="38">
        <v>42970</v>
      </c>
      <c r="B108" s="24"/>
      <c r="C108" s="41">
        <v>16</v>
      </c>
      <c r="D108" s="9">
        <v>0.70694444444444438</v>
      </c>
      <c r="E108" s="9">
        <v>0.73541666666666661</v>
      </c>
      <c r="F108" s="304"/>
      <c r="G108" s="269">
        <v>1</v>
      </c>
      <c r="H108" s="28"/>
      <c r="I108" s="433">
        <v>1</v>
      </c>
      <c r="J108" s="76">
        <f t="shared" si="47"/>
        <v>0</v>
      </c>
      <c r="K108" s="77">
        <f t="shared" si="48"/>
        <v>41.000000000000014</v>
      </c>
      <c r="L108" s="9">
        <f t="shared" si="49"/>
        <v>2.8472222222222232E-2</v>
      </c>
      <c r="M108" s="26">
        <f t="shared" si="50"/>
        <v>2.8472222222222232E-2</v>
      </c>
      <c r="N108" s="427">
        <v>2245.1999999999998</v>
      </c>
      <c r="O108" s="419"/>
      <c r="P108" s="441"/>
      <c r="Q108" s="453">
        <f t="shared" si="42"/>
        <v>3.1944444444444456E-2</v>
      </c>
    </row>
    <row r="109" spans="1:17" ht="13.5" hidden="1" thickBot="1" x14ac:dyDescent="0.45">
      <c r="A109" s="409"/>
      <c r="B109" s="6"/>
      <c r="C109" s="42"/>
      <c r="D109" s="6"/>
      <c r="E109" s="6"/>
      <c r="F109" s="305"/>
      <c r="G109" s="266"/>
      <c r="H109" s="12"/>
      <c r="I109" s="434"/>
      <c r="J109" s="79">
        <f>SUM(J101:J108)</f>
        <v>8618</v>
      </c>
      <c r="K109" s="80">
        <f>SUM(K101:K108)</f>
        <v>305.99999999999989</v>
      </c>
      <c r="L109" s="10">
        <f>SUM(L102:L108)</f>
        <v>0.20347222222222217</v>
      </c>
      <c r="M109" s="10"/>
      <c r="N109" s="424">
        <f>MAX(N102:N108)</f>
        <v>2245.1999999999998</v>
      </c>
      <c r="O109" s="425">
        <f>MAX(O102:O108)</f>
        <v>0</v>
      </c>
      <c r="P109" s="442"/>
      <c r="Q109" s="454">
        <f t="shared" si="42"/>
        <v>0.20694444444444438</v>
      </c>
    </row>
    <row r="110" spans="1:17" ht="13.5" thickBot="1" x14ac:dyDescent="0.45">
      <c r="A110" s="410" t="s">
        <v>16</v>
      </c>
      <c r="B110" s="89"/>
      <c r="C110" s="90"/>
      <c r="D110" s="89"/>
      <c r="E110" s="89"/>
      <c r="F110" s="306"/>
      <c r="G110" s="81"/>
      <c r="H110" s="92"/>
      <c r="I110" s="435">
        <f>SUM(I101:I108)</f>
        <v>12861</v>
      </c>
      <c r="J110" s="81">
        <f>ROUNDDOWN(K109/60,0)+J109</f>
        <v>8623</v>
      </c>
      <c r="K110" s="82">
        <f>ROUND(K109-(ROUNDDOWN(K109/60,0)*60),0)</f>
        <v>6</v>
      </c>
      <c r="L110" s="271">
        <f>L109</f>
        <v>0.20347222222222217</v>
      </c>
      <c r="M110" s="93"/>
      <c r="N110" s="422">
        <f>N109-N100</f>
        <v>5</v>
      </c>
      <c r="O110" s="423" t="str">
        <f>IF(OR(O101="N/A",O101="N / A", O101="N/ A",O101="N /A"),"N / A", O109-O100)</f>
        <v>N / A</v>
      </c>
      <c r="P110" s="443"/>
      <c r="Q110" s="454">
        <f>SUM(Q102:Q108)</f>
        <v>0.22777777777777769</v>
      </c>
    </row>
    <row r="111" spans="1:17" ht="13.15" x14ac:dyDescent="0.35">
      <c r="A111" s="34">
        <v>42980</v>
      </c>
      <c r="C111" s="40">
        <v>2</v>
      </c>
      <c r="D111" s="7">
        <v>0.49513888888888885</v>
      </c>
      <c r="E111" s="7">
        <v>0.53611111111111109</v>
      </c>
      <c r="G111" s="2">
        <v>0</v>
      </c>
      <c r="H111" s="3" t="s">
        <v>103</v>
      </c>
      <c r="I111" s="432">
        <v>1</v>
      </c>
      <c r="J111" s="74">
        <f>ROUNDDOWN(M111*24,0)</f>
        <v>0</v>
      </c>
      <c r="K111" s="75">
        <f>(M111*24-J111)*60</f>
        <v>59.000000000000028</v>
      </c>
      <c r="L111" s="7">
        <f>E111-D111</f>
        <v>4.0972222222222243E-2</v>
      </c>
      <c r="M111" s="22">
        <f>L111</f>
        <v>4.0972222222222243E-2</v>
      </c>
      <c r="N111" s="426">
        <v>2246.1999999999998</v>
      </c>
      <c r="O111" s="417"/>
      <c r="P111" s="445" t="s">
        <v>185</v>
      </c>
      <c r="Q111" s="453">
        <f>IF(L111=0,0,$Q$2+L111)</f>
        <v>4.4444444444444467E-2</v>
      </c>
    </row>
    <row r="112" spans="1:17" ht="13.15" x14ac:dyDescent="0.35">
      <c r="A112" s="34">
        <v>42980</v>
      </c>
      <c r="C112" s="40">
        <v>2</v>
      </c>
      <c r="D112" s="7">
        <v>0.5493055555555556</v>
      </c>
      <c r="E112" s="7">
        <v>0.57430555555555551</v>
      </c>
      <c r="G112" s="2">
        <v>0</v>
      </c>
      <c r="H112" s="3" t="s">
        <v>85</v>
      </c>
      <c r="I112" s="432">
        <v>1</v>
      </c>
      <c r="J112" s="74">
        <f t="shared" ref="J112:J117" si="51">ROUNDDOWN(M112*24,0)</f>
        <v>0</v>
      </c>
      <c r="K112" s="75">
        <f t="shared" ref="K112:K117" si="52">(M112*24-J112)*60</f>
        <v>35.999999999999872</v>
      </c>
      <c r="L112" s="7">
        <f t="shared" ref="L112:L117" si="53">E112-D112</f>
        <v>2.4999999999999911E-2</v>
      </c>
      <c r="M112" s="22">
        <f t="shared" ref="M112:M117" si="54">L112</f>
        <v>2.4999999999999911E-2</v>
      </c>
      <c r="N112" s="426">
        <v>2246.9</v>
      </c>
      <c r="O112" s="417"/>
      <c r="P112" s="440"/>
      <c r="Q112" s="453">
        <f t="shared" si="42"/>
        <v>2.8472222222222135E-2</v>
      </c>
    </row>
    <row r="113" spans="1:17" ht="13.15" x14ac:dyDescent="0.35">
      <c r="A113" s="34">
        <v>42981</v>
      </c>
      <c r="C113" s="40">
        <v>2</v>
      </c>
      <c r="D113" s="7">
        <v>0.3972222222222222</v>
      </c>
      <c r="E113" s="7">
        <v>0.46458333333333335</v>
      </c>
      <c r="G113" s="2">
        <v>1</v>
      </c>
      <c r="I113" s="432">
        <v>1</v>
      </c>
      <c r="J113" s="74">
        <f t="shared" si="51"/>
        <v>1</v>
      </c>
      <c r="K113" s="75">
        <f t="shared" si="52"/>
        <v>37.000000000000057</v>
      </c>
      <c r="L113" s="7">
        <f t="shared" si="53"/>
        <v>6.7361111111111149E-2</v>
      </c>
      <c r="M113" s="22">
        <f t="shared" si="54"/>
        <v>6.7361111111111149E-2</v>
      </c>
      <c r="N113" s="426">
        <v>2248.5</v>
      </c>
      <c r="O113" s="417"/>
      <c r="P113" s="440"/>
      <c r="Q113" s="453">
        <f t="shared" si="42"/>
        <v>7.0833333333333373E-2</v>
      </c>
    </row>
    <row r="114" spans="1:17" ht="13.15" x14ac:dyDescent="0.35">
      <c r="A114" s="34">
        <v>42986</v>
      </c>
      <c r="C114" s="40">
        <v>2</v>
      </c>
      <c r="D114" s="7">
        <v>0.6069444444444444</v>
      </c>
      <c r="E114" s="7">
        <v>0.68611111111111101</v>
      </c>
      <c r="G114" s="2">
        <v>0</v>
      </c>
      <c r="H114" s="3" t="s">
        <v>144</v>
      </c>
      <c r="I114" s="432">
        <v>1</v>
      </c>
      <c r="J114" s="74">
        <f t="shared" si="51"/>
        <v>1</v>
      </c>
      <c r="K114" s="75">
        <f t="shared" si="52"/>
        <v>53.999999999999915</v>
      </c>
      <c r="L114" s="7">
        <f t="shared" si="53"/>
        <v>7.9166666666666607E-2</v>
      </c>
      <c r="M114" s="22">
        <f t="shared" si="54"/>
        <v>7.9166666666666607E-2</v>
      </c>
      <c r="N114" s="426">
        <v>2250.4</v>
      </c>
      <c r="O114" s="417"/>
      <c r="P114" s="440"/>
      <c r="Q114" s="453">
        <f t="shared" si="42"/>
        <v>8.2638888888888831E-2</v>
      </c>
    </row>
    <row r="115" spans="1:17" ht="13.15" x14ac:dyDescent="0.35">
      <c r="A115" s="34">
        <v>42987</v>
      </c>
      <c r="C115" s="40">
        <v>2</v>
      </c>
      <c r="D115" s="7">
        <v>0.4597222222222222</v>
      </c>
      <c r="E115" s="7">
        <v>0.49305555555555558</v>
      </c>
      <c r="G115" s="2">
        <v>0</v>
      </c>
      <c r="H115" s="3" t="s">
        <v>186</v>
      </c>
      <c r="I115" s="432">
        <v>1</v>
      </c>
      <c r="J115" s="74">
        <f t="shared" si="51"/>
        <v>0</v>
      </c>
      <c r="K115" s="75">
        <f t="shared" si="52"/>
        <v>48.000000000000071</v>
      </c>
      <c r="L115" s="7">
        <f t="shared" si="53"/>
        <v>3.3333333333333381E-2</v>
      </c>
      <c r="M115" s="22">
        <f t="shared" si="54"/>
        <v>3.3333333333333381E-2</v>
      </c>
      <c r="N115" s="426">
        <v>2251.3000000000002</v>
      </c>
      <c r="O115" s="417"/>
      <c r="P115" s="440"/>
      <c r="Q115" s="453">
        <f t="shared" si="42"/>
        <v>3.6805555555555605E-2</v>
      </c>
    </row>
    <row r="116" spans="1:17" ht="13.15" x14ac:dyDescent="0.35">
      <c r="A116" s="34">
        <v>42987</v>
      </c>
      <c r="C116" s="40">
        <v>2</v>
      </c>
      <c r="D116" s="7">
        <v>0.58333333333333337</v>
      </c>
      <c r="E116" s="7">
        <v>0.62291666666666667</v>
      </c>
      <c r="G116" s="2">
        <v>0</v>
      </c>
      <c r="H116" s="3" t="s">
        <v>144</v>
      </c>
      <c r="I116" s="432">
        <v>1</v>
      </c>
      <c r="J116" s="74">
        <f t="shared" si="51"/>
        <v>0</v>
      </c>
      <c r="K116" s="75">
        <f t="shared" si="52"/>
        <v>56.999999999999957</v>
      </c>
      <c r="L116" s="7">
        <f t="shared" si="53"/>
        <v>3.9583333333333304E-2</v>
      </c>
      <c r="M116" s="22">
        <f t="shared" si="54"/>
        <v>3.9583333333333304E-2</v>
      </c>
      <c r="N116" s="426">
        <v>2252.1999999999998</v>
      </c>
      <c r="O116" s="417"/>
      <c r="P116" s="440"/>
      <c r="Q116" s="453">
        <f t="shared" si="42"/>
        <v>4.3055555555555527E-2</v>
      </c>
    </row>
    <row r="117" spans="1:17" ht="13.5" thickBot="1" x14ac:dyDescent="0.4">
      <c r="A117" s="38">
        <v>42988</v>
      </c>
      <c r="B117" s="24"/>
      <c r="C117" s="41">
        <v>2</v>
      </c>
      <c r="D117" s="9">
        <v>0.44791666666666669</v>
      </c>
      <c r="E117" s="9">
        <v>0.5180555555555556</v>
      </c>
      <c r="F117" s="304"/>
      <c r="G117" s="269">
        <v>1</v>
      </c>
      <c r="H117" s="28"/>
      <c r="I117" s="433">
        <v>1</v>
      </c>
      <c r="J117" s="76">
        <f t="shared" si="51"/>
        <v>1</v>
      </c>
      <c r="K117" s="77">
        <f t="shared" si="52"/>
        <v>41.000000000000043</v>
      </c>
      <c r="L117" s="9">
        <f t="shared" si="53"/>
        <v>7.0138888888888917E-2</v>
      </c>
      <c r="M117" s="26">
        <f t="shared" si="54"/>
        <v>7.0138888888888917E-2</v>
      </c>
      <c r="N117" s="427">
        <v>2253.9</v>
      </c>
      <c r="O117" s="419"/>
      <c r="P117" s="441"/>
      <c r="Q117" s="453">
        <f t="shared" si="42"/>
        <v>7.3611111111111141E-2</v>
      </c>
    </row>
    <row r="118" spans="1:17" ht="13.5" hidden="1" thickBot="1" x14ac:dyDescent="0.45">
      <c r="A118" s="409"/>
      <c r="B118" s="6"/>
      <c r="C118" s="42"/>
      <c r="D118" s="6"/>
      <c r="E118" s="6"/>
      <c r="F118" s="305"/>
      <c r="G118" s="266"/>
      <c r="H118" s="12"/>
      <c r="I118" s="434"/>
      <c r="J118" s="79">
        <f>SUM(J110:J117)</f>
        <v>8626</v>
      </c>
      <c r="K118" s="80">
        <f>SUM(K110:K117)</f>
        <v>337.99999999999994</v>
      </c>
      <c r="L118" s="10">
        <f>SUM(L111:L117)</f>
        <v>0.35555555555555551</v>
      </c>
      <c r="M118" s="10"/>
      <c r="N118" s="424">
        <f>MAX(N111:N117)</f>
        <v>2253.9</v>
      </c>
      <c r="O118" s="425">
        <f>MAX(O111:O117)</f>
        <v>0</v>
      </c>
      <c r="P118" s="442"/>
      <c r="Q118" s="454">
        <f t="shared" ref="Q118:Q123" si="55">IF(L118=0,0,$Q$2+L118)</f>
        <v>0.35902777777777772</v>
      </c>
    </row>
    <row r="119" spans="1:17" ht="13.5" thickBot="1" x14ac:dyDescent="0.45">
      <c r="A119" s="410" t="s">
        <v>16</v>
      </c>
      <c r="B119" s="89"/>
      <c r="C119" s="90"/>
      <c r="D119" s="89"/>
      <c r="E119" s="89"/>
      <c r="F119" s="306"/>
      <c r="G119" s="81"/>
      <c r="H119" s="92"/>
      <c r="I119" s="435">
        <f>SUM(I110:I117)</f>
        <v>12868</v>
      </c>
      <c r="J119" s="81">
        <f>ROUNDDOWN(K118/60,0)+J118</f>
        <v>8631</v>
      </c>
      <c r="K119" s="82">
        <f>ROUND(K118-(ROUNDDOWN(K118/60,0)*60),0)</f>
        <v>38</v>
      </c>
      <c r="L119" s="271">
        <f>L118</f>
        <v>0.35555555555555551</v>
      </c>
      <c r="M119" s="93"/>
      <c r="N119" s="422">
        <f>N118-N109</f>
        <v>8.7000000000002728</v>
      </c>
      <c r="O119" s="423" t="str">
        <f>IF(OR(O83="N/A",O83="N / A", O83="N/ A",O83="N /A"),"N / A", O118-O109)</f>
        <v>N / A</v>
      </c>
      <c r="P119" s="443"/>
      <c r="Q119" s="454">
        <f>SUM(Q111:Q117)</f>
        <v>0.37986111111111104</v>
      </c>
    </row>
    <row r="120" spans="1:17" ht="13.15" x14ac:dyDescent="0.35">
      <c r="A120" s="34">
        <v>42989</v>
      </c>
      <c r="C120" s="40">
        <v>15</v>
      </c>
      <c r="D120" s="7">
        <v>0.46736111111111112</v>
      </c>
      <c r="E120" s="7">
        <v>0.50347222222222221</v>
      </c>
      <c r="G120" s="2">
        <v>3</v>
      </c>
      <c r="I120" s="432">
        <v>3</v>
      </c>
      <c r="J120" s="74">
        <f t="shared" ref="J120:J126" si="56">ROUNDDOWN(M120*24,0)</f>
        <v>0</v>
      </c>
      <c r="K120" s="75">
        <f t="shared" ref="K120:K126" si="57">(M120*24-J120)*60</f>
        <v>51.999999999999972</v>
      </c>
      <c r="L120" s="7">
        <f t="shared" ref="L120:L126" si="58">E120-D120</f>
        <v>3.6111111111111094E-2</v>
      </c>
      <c r="M120" s="22">
        <f t="shared" ref="M120:M126" si="59">L120</f>
        <v>3.6111111111111094E-2</v>
      </c>
      <c r="N120" s="426">
        <v>2254.8000000000002</v>
      </c>
      <c r="O120" s="417"/>
      <c r="P120" s="440"/>
      <c r="Q120" s="453">
        <f t="shared" si="55"/>
        <v>3.9583333333333318E-2</v>
      </c>
    </row>
    <row r="121" spans="1:17" ht="13.15" x14ac:dyDescent="0.35">
      <c r="A121" s="34">
        <v>42993</v>
      </c>
      <c r="C121" s="40">
        <v>22</v>
      </c>
      <c r="D121" s="7">
        <v>0.56319444444444444</v>
      </c>
      <c r="E121" s="7">
        <v>0.57638888888888895</v>
      </c>
      <c r="G121" s="2">
        <v>3</v>
      </c>
      <c r="I121" s="432">
        <v>3</v>
      </c>
      <c r="J121" s="74">
        <f t="shared" si="56"/>
        <v>0</v>
      </c>
      <c r="K121" s="75">
        <f t="shared" si="57"/>
        <v>19.000000000000092</v>
      </c>
      <c r="L121" s="7">
        <f t="shared" si="58"/>
        <v>1.3194444444444509E-2</v>
      </c>
      <c r="M121" s="22">
        <f t="shared" si="59"/>
        <v>1.3194444444444509E-2</v>
      </c>
      <c r="N121" s="426">
        <v>2255.1</v>
      </c>
      <c r="O121" s="417"/>
      <c r="P121" s="440"/>
      <c r="Q121" s="453">
        <f t="shared" si="55"/>
        <v>1.6666666666666732E-2</v>
      </c>
    </row>
    <row r="122" spans="1:17" ht="13.15" x14ac:dyDescent="0.35">
      <c r="A122" s="34">
        <v>42993</v>
      </c>
      <c r="C122" s="40">
        <v>22</v>
      </c>
      <c r="D122" s="7">
        <v>0.58611111111111114</v>
      </c>
      <c r="E122" s="7">
        <v>0.64027777777777783</v>
      </c>
      <c r="G122" s="2">
        <v>1</v>
      </c>
      <c r="I122" s="432">
        <v>1</v>
      </c>
      <c r="J122" s="74">
        <f t="shared" si="56"/>
        <v>1</v>
      </c>
      <c r="K122" s="75">
        <f t="shared" si="57"/>
        <v>18.000000000000043</v>
      </c>
      <c r="L122" s="7">
        <f t="shared" si="58"/>
        <v>5.4166666666666696E-2</v>
      </c>
      <c r="M122" s="22">
        <f t="shared" si="59"/>
        <v>5.4166666666666696E-2</v>
      </c>
      <c r="N122" s="426">
        <v>2256.4</v>
      </c>
      <c r="O122" s="417"/>
      <c r="P122" s="440"/>
      <c r="Q122" s="453">
        <f t="shared" si="55"/>
        <v>5.763888888888892E-2</v>
      </c>
    </row>
    <row r="123" spans="1:17" ht="13.15" x14ac:dyDescent="0.35">
      <c r="A123" s="34">
        <v>43000</v>
      </c>
      <c r="C123" s="40">
        <v>1</v>
      </c>
      <c r="D123" s="7">
        <v>0.74444444444444446</v>
      </c>
      <c r="E123" s="7">
        <v>0.75694444444444453</v>
      </c>
      <c r="G123" s="2">
        <v>1</v>
      </c>
      <c r="I123" s="432">
        <v>1</v>
      </c>
      <c r="J123" s="74">
        <f t="shared" si="56"/>
        <v>0</v>
      </c>
      <c r="K123" s="75">
        <f t="shared" si="57"/>
        <v>18.000000000000096</v>
      </c>
      <c r="L123" s="7">
        <f t="shared" si="58"/>
        <v>1.2500000000000067E-2</v>
      </c>
      <c r="M123" s="22">
        <f t="shared" si="59"/>
        <v>1.2500000000000067E-2</v>
      </c>
      <c r="N123" s="426">
        <v>2256.6999999999998</v>
      </c>
      <c r="O123" s="417"/>
      <c r="P123" s="440"/>
      <c r="Q123" s="453">
        <f t="shared" si="55"/>
        <v>1.597222222222229E-2</v>
      </c>
    </row>
    <row r="124" spans="1:17" ht="13.15" x14ac:dyDescent="0.35">
      <c r="A124" s="34">
        <v>43001</v>
      </c>
      <c r="C124" s="40">
        <v>20</v>
      </c>
      <c r="D124" s="7">
        <v>0.34375</v>
      </c>
      <c r="E124" s="7">
        <v>0.44791666666666669</v>
      </c>
      <c r="G124" s="2">
        <v>0</v>
      </c>
      <c r="H124" s="3" t="s">
        <v>189</v>
      </c>
      <c r="I124" s="432">
        <v>1</v>
      </c>
      <c r="J124" s="74">
        <f t="shared" si="56"/>
        <v>2</v>
      </c>
      <c r="K124" s="75">
        <f t="shared" si="57"/>
        <v>30.000000000000028</v>
      </c>
      <c r="L124" s="7">
        <f t="shared" si="58"/>
        <v>0.10416666666666669</v>
      </c>
      <c r="M124" s="22">
        <f t="shared" si="59"/>
        <v>0.10416666666666669</v>
      </c>
      <c r="N124" s="426">
        <v>2258.8000000000002</v>
      </c>
      <c r="O124" s="417"/>
      <c r="P124" s="440"/>
      <c r="Q124" s="453">
        <f t="shared" ref="Q124:Q136" si="60">IF(L124=0,0,$Q$2+L124)</f>
        <v>0.10763888888888891</v>
      </c>
    </row>
    <row r="125" spans="1:17" ht="13.15" x14ac:dyDescent="0.35">
      <c r="A125" s="34">
        <v>43002</v>
      </c>
      <c r="C125" s="40">
        <v>20</v>
      </c>
      <c r="D125" s="7">
        <v>0.61597222222222225</v>
      </c>
      <c r="E125" s="7">
        <v>0.72291666666666676</v>
      </c>
      <c r="G125" s="2">
        <v>1</v>
      </c>
      <c r="I125" s="432">
        <v>1</v>
      </c>
      <c r="J125" s="74">
        <f t="shared" si="56"/>
        <v>2</v>
      </c>
      <c r="K125" s="75">
        <f t="shared" si="57"/>
        <v>34.000000000000092</v>
      </c>
      <c r="L125" s="7">
        <f t="shared" si="58"/>
        <v>0.10694444444444451</v>
      </c>
      <c r="M125" s="22">
        <f t="shared" si="59"/>
        <v>0.10694444444444451</v>
      </c>
      <c r="N125" s="426">
        <v>2261.9</v>
      </c>
      <c r="O125" s="417"/>
      <c r="P125" s="440"/>
      <c r="Q125" s="453">
        <f t="shared" si="60"/>
        <v>0.11041666666666673</v>
      </c>
    </row>
    <row r="126" spans="1:17" ht="13.5" thickBot="1" x14ac:dyDescent="0.4">
      <c r="A126" s="38">
        <v>43007</v>
      </c>
      <c r="B126" s="24"/>
      <c r="C126" s="41">
        <v>15</v>
      </c>
      <c r="D126" s="9">
        <v>0.65277777777777779</v>
      </c>
      <c r="E126" s="9">
        <v>0.68958333333333333</v>
      </c>
      <c r="F126" s="304"/>
      <c r="G126" s="269">
        <v>3</v>
      </c>
      <c r="H126" s="28"/>
      <c r="I126" s="433">
        <v>3</v>
      </c>
      <c r="J126" s="76">
        <f t="shared" si="56"/>
        <v>0</v>
      </c>
      <c r="K126" s="77">
        <f t="shared" si="57"/>
        <v>52.999999999999972</v>
      </c>
      <c r="L126" s="9">
        <f t="shared" si="58"/>
        <v>3.6805555555555536E-2</v>
      </c>
      <c r="M126" s="26">
        <f t="shared" si="59"/>
        <v>3.6805555555555536E-2</v>
      </c>
      <c r="N126" s="427">
        <v>2262.6999999999998</v>
      </c>
      <c r="O126" s="419"/>
      <c r="P126" s="441"/>
      <c r="Q126" s="453">
        <f t="shared" si="60"/>
        <v>4.027777777777776E-2</v>
      </c>
    </row>
    <row r="127" spans="1:17" ht="13.5" hidden="1" thickBot="1" x14ac:dyDescent="0.45">
      <c r="A127" s="409"/>
      <c r="B127" s="6"/>
      <c r="C127" s="42"/>
      <c r="D127" s="6"/>
      <c r="E127" s="6"/>
      <c r="F127" s="305"/>
      <c r="G127" s="266"/>
      <c r="H127" s="12"/>
      <c r="I127" s="434"/>
      <c r="J127" s="79">
        <f>SUM(J119:J126)</f>
        <v>8636</v>
      </c>
      <c r="K127" s="80">
        <f>SUM(K119:K126)</f>
        <v>262.00000000000028</v>
      </c>
      <c r="L127" s="10">
        <f>SUM(L120:L126)</f>
        <v>0.36388888888888909</v>
      </c>
      <c r="M127" s="10"/>
      <c r="N127" s="424">
        <f>MAX(N120:N126)</f>
        <v>2262.6999999999998</v>
      </c>
      <c r="O127" s="425">
        <f>MAX(O120:O126)</f>
        <v>0</v>
      </c>
      <c r="P127" s="442"/>
      <c r="Q127" s="454">
        <f t="shared" si="60"/>
        <v>0.3673611111111113</v>
      </c>
    </row>
    <row r="128" spans="1:17" ht="13.5" thickBot="1" x14ac:dyDescent="0.45">
      <c r="A128" s="410" t="s">
        <v>16</v>
      </c>
      <c r="B128" s="89"/>
      <c r="C128" s="90"/>
      <c r="D128" s="89"/>
      <c r="E128" s="89"/>
      <c r="F128" s="306"/>
      <c r="G128" s="81"/>
      <c r="H128" s="92"/>
      <c r="I128" s="435">
        <f>SUM(I119:I126)</f>
        <v>12881</v>
      </c>
      <c r="J128" s="81">
        <f>ROUNDDOWN(K127/60,0)+J127</f>
        <v>8640</v>
      </c>
      <c r="K128" s="82">
        <f>ROUND(K127-(ROUNDDOWN(K127/60,0)*60),0)</f>
        <v>22</v>
      </c>
      <c r="L128" s="271">
        <f>L127</f>
        <v>0.36388888888888909</v>
      </c>
      <c r="M128" s="93"/>
      <c r="N128" s="422">
        <f>N127-N118</f>
        <v>8.7999999999997272</v>
      </c>
      <c r="O128" s="423" t="str">
        <f>IF(OR(O92="N/A",O92="N / A", O92="N/ A",O92="N /A"),"N / A", O127-O118)</f>
        <v>N / A</v>
      </c>
      <c r="P128" s="443"/>
      <c r="Q128" s="454">
        <f>SUM(Q120:Q126)</f>
        <v>0.38819444444444462</v>
      </c>
    </row>
    <row r="129" spans="1:19" ht="13.15" x14ac:dyDescent="0.35">
      <c r="A129" s="34">
        <v>43009</v>
      </c>
      <c r="C129" s="40">
        <v>15</v>
      </c>
      <c r="D129" s="7">
        <v>0.60902777777777783</v>
      </c>
      <c r="E129" s="7">
        <v>0.64513888888888882</v>
      </c>
      <c r="G129" s="2">
        <v>1</v>
      </c>
      <c r="I129" s="432">
        <v>1</v>
      </c>
      <c r="J129" s="74">
        <f t="shared" ref="J129:J135" si="61">ROUNDDOWN(M129*24,0)</f>
        <v>0</v>
      </c>
      <c r="K129" s="75">
        <f t="shared" ref="K129:K135" si="62">(M129*24-J129)*60</f>
        <v>51.999999999999815</v>
      </c>
      <c r="L129" s="7">
        <f t="shared" ref="L129:L135" si="63">E129-D129</f>
        <v>3.6111111111110983E-2</v>
      </c>
      <c r="M129" s="22">
        <f t="shared" ref="M129:M135" si="64">L129</f>
        <v>3.6111111111110983E-2</v>
      </c>
      <c r="N129" s="426">
        <v>2263.6</v>
      </c>
      <c r="O129" s="417"/>
      <c r="P129" s="440"/>
      <c r="Q129" s="453">
        <f t="shared" si="60"/>
        <v>3.9583333333333207E-2</v>
      </c>
    </row>
    <row r="130" spans="1:19" ht="13.15" x14ac:dyDescent="0.35">
      <c r="A130" s="34">
        <v>43021</v>
      </c>
      <c r="C130" s="40">
        <v>18</v>
      </c>
      <c r="D130" s="7">
        <v>0.57500000000000007</v>
      </c>
      <c r="E130" s="7">
        <v>0.6333333333333333</v>
      </c>
      <c r="G130" s="2">
        <v>1</v>
      </c>
      <c r="I130" s="432">
        <v>1</v>
      </c>
      <c r="J130" s="74">
        <f t="shared" si="61"/>
        <v>1</v>
      </c>
      <c r="K130" s="75">
        <f t="shared" si="62"/>
        <v>23.999999999999861</v>
      </c>
      <c r="L130" s="7">
        <f t="shared" si="63"/>
        <v>5.8333333333333237E-2</v>
      </c>
      <c r="M130" s="22">
        <f t="shared" si="64"/>
        <v>5.8333333333333237E-2</v>
      </c>
      <c r="N130" s="426">
        <v>2265.1</v>
      </c>
      <c r="O130" s="417"/>
      <c r="P130" s="440"/>
      <c r="Q130" s="453">
        <f t="shared" si="60"/>
        <v>6.1805555555555461E-2</v>
      </c>
    </row>
    <row r="131" spans="1:19" ht="13.15" x14ac:dyDescent="0.35">
      <c r="A131" s="34">
        <v>43022</v>
      </c>
      <c r="C131" s="40">
        <v>2</v>
      </c>
      <c r="D131" s="7">
        <v>0.30486111111111108</v>
      </c>
      <c r="E131" s="7">
        <v>0.4375</v>
      </c>
      <c r="G131" s="2">
        <v>1</v>
      </c>
      <c r="I131" s="432">
        <v>1</v>
      </c>
      <c r="J131" s="74">
        <f t="shared" si="61"/>
        <v>3</v>
      </c>
      <c r="K131" s="75">
        <f t="shared" si="62"/>
        <v>11.000000000000041</v>
      </c>
      <c r="L131" s="7">
        <f t="shared" si="63"/>
        <v>0.13263888888888892</v>
      </c>
      <c r="M131" s="22">
        <f t="shared" si="64"/>
        <v>0.13263888888888892</v>
      </c>
      <c r="N131" s="426">
        <v>2268.3000000000002</v>
      </c>
      <c r="O131" s="417"/>
      <c r="P131" s="440"/>
      <c r="Q131" s="453">
        <f t="shared" si="60"/>
        <v>0.13611111111111113</v>
      </c>
    </row>
    <row r="132" spans="1:19" ht="13.15" x14ac:dyDescent="0.35">
      <c r="A132" s="34">
        <v>43022</v>
      </c>
      <c r="C132" s="40">
        <v>21</v>
      </c>
      <c r="D132" s="7">
        <v>0.53888888888888886</v>
      </c>
      <c r="E132" s="7">
        <v>0.60625000000000007</v>
      </c>
      <c r="G132" s="2">
        <v>1</v>
      </c>
      <c r="I132" s="432">
        <v>1</v>
      </c>
      <c r="J132" s="74">
        <f t="shared" si="61"/>
        <v>1</v>
      </c>
      <c r="K132" s="75">
        <f t="shared" si="62"/>
        <v>37.000000000000135</v>
      </c>
      <c r="L132" s="7">
        <f t="shared" si="63"/>
        <v>6.7361111111111205E-2</v>
      </c>
      <c r="M132" s="22">
        <f t="shared" si="64"/>
        <v>6.7361111111111205E-2</v>
      </c>
      <c r="N132" s="426">
        <v>2269.9</v>
      </c>
      <c r="O132" s="417"/>
      <c r="P132" s="440"/>
      <c r="Q132" s="453">
        <f t="shared" si="60"/>
        <v>7.0833333333333429E-2</v>
      </c>
    </row>
    <row r="133" spans="1:19" ht="13.15" x14ac:dyDescent="0.35">
      <c r="A133" s="34">
        <v>43022</v>
      </c>
      <c r="C133" s="40">
        <v>25</v>
      </c>
      <c r="D133" s="7">
        <v>0.65833333333333333</v>
      </c>
      <c r="E133" s="7">
        <v>0.67986111111111114</v>
      </c>
      <c r="G133" s="2">
        <v>0</v>
      </c>
      <c r="H133" s="3" t="s">
        <v>110</v>
      </c>
      <c r="I133" s="432">
        <v>2</v>
      </c>
      <c r="J133" s="74">
        <f t="shared" si="61"/>
        <v>0</v>
      </c>
      <c r="K133" s="75">
        <f t="shared" si="62"/>
        <v>31.00000000000005</v>
      </c>
      <c r="L133" s="7">
        <f t="shared" si="63"/>
        <v>2.1527777777777812E-2</v>
      </c>
      <c r="M133" s="22">
        <f t="shared" si="64"/>
        <v>2.1527777777777812E-2</v>
      </c>
      <c r="N133" s="426">
        <v>2270.4</v>
      </c>
      <c r="O133" s="417"/>
      <c r="P133" s="440"/>
      <c r="Q133" s="453">
        <f t="shared" si="60"/>
        <v>2.5000000000000036E-2</v>
      </c>
    </row>
    <row r="134" spans="1:19" ht="13.15" x14ac:dyDescent="0.35">
      <c r="A134" s="34">
        <v>43022</v>
      </c>
      <c r="C134" s="40">
        <v>25</v>
      </c>
      <c r="D134" s="7">
        <v>0.69305555555555554</v>
      </c>
      <c r="E134" s="7">
        <v>0.7055555555555556</v>
      </c>
      <c r="G134" s="2">
        <v>1</v>
      </c>
      <c r="I134" s="432">
        <v>1</v>
      </c>
      <c r="J134" s="74">
        <f t="shared" si="61"/>
        <v>0</v>
      </c>
      <c r="K134" s="75">
        <f t="shared" si="62"/>
        <v>18.000000000000096</v>
      </c>
      <c r="L134" s="7">
        <f t="shared" si="63"/>
        <v>1.2500000000000067E-2</v>
      </c>
      <c r="M134" s="22">
        <f t="shared" si="64"/>
        <v>1.2500000000000067E-2</v>
      </c>
      <c r="N134" s="426">
        <v>2270.6999999999998</v>
      </c>
      <c r="O134" s="417"/>
      <c r="P134" s="440"/>
      <c r="Q134" s="453">
        <f t="shared" si="60"/>
        <v>1.597222222222229E-2</v>
      </c>
    </row>
    <row r="135" spans="1:19" ht="13.5" thickBot="1" x14ac:dyDescent="0.4">
      <c r="A135" s="38">
        <v>43023</v>
      </c>
      <c r="B135" s="24"/>
      <c r="C135" s="41">
        <v>15</v>
      </c>
      <c r="D135" s="9">
        <v>0.54861111111111105</v>
      </c>
      <c r="E135" s="9">
        <v>0.62430555555555556</v>
      </c>
      <c r="F135" s="304"/>
      <c r="G135" s="269">
        <v>1</v>
      </c>
      <c r="H135" s="28"/>
      <c r="I135" s="433">
        <v>1</v>
      </c>
      <c r="J135" s="76">
        <f t="shared" si="61"/>
        <v>1</v>
      </c>
      <c r="K135" s="77">
        <f t="shared" si="62"/>
        <v>49.000000000000092</v>
      </c>
      <c r="L135" s="9">
        <f t="shared" si="63"/>
        <v>7.5694444444444509E-2</v>
      </c>
      <c r="M135" s="26">
        <f t="shared" si="64"/>
        <v>7.5694444444444509E-2</v>
      </c>
      <c r="N135" s="427">
        <v>2272.5</v>
      </c>
      <c r="O135" s="419"/>
      <c r="P135" s="441"/>
      <c r="Q135" s="453">
        <f t="shared" si="60"/>
        <v>7.9166666666666732E-2</v>
      </c>
    </row>
    <row r="136" spans="1:19" ht="13.5" hidden="1" thickBot="1" x14ac:dyDescent="0.45">
      <c r="A136" s="409"/>
      <c r="B136" s="6"/>
      <c r="C136" s="42"/>
      <c r="D136" s="6"/>
      <c r="E136" s="6"/>
      <c r="F136" s="305"/>
      <c r="G136" s="266"/>
      <c r="H136" s="12"/>
      <c r="I136" s="434"/>
      <c r="J136" s="79">
        <f>SUM(J128:J135)</f>
        <v>8646</v>
      </c>
      <c r="K136" s="80">
        <f>SUM(K128:K135)</f>
        <v>244.00000000000009</v>
      </c>
      <c r="L136" s="10">
        <f>SUM(L129:L135)</f>
        <v>0.40416666666666673</v>
      </c>
      <c r="M136" s="10"/>
      <c r="N136" s="424">
        <f>MAX(N129:N135)</f>
        <v>2272.5</v>
      </c>
      <c r="O136" s="425">
        <f>MAX(O129:O135)</f>
        <v>0</v>
      </c>
      <c r="P136" s="442"/>
      <c r="Q136" s="454">
        <f t="shared" si="60"/>
        <v>0.40763888888888894</v>
      </c>
    </row>
    <row r="137" spans="1:19" ht="13.5" thickBot="1" x14ac:dyDescent="0.45">
      <c r="A137" s="410" t="s">
        <v>16</v>
      </c>
      <c r="B137" s="89"/>
      <c r="C137" s="90"/>
      <c r="D137" s="89"/>
      <c r="E137" s="89"/>
      <c r="F137" s="306"/>
      <c r="G137" s="81"/>
      <c r="H137" s="92"/>
      <c r="I137" s="435">
        <f>SUM(I128:I135)</f>
        <v>12889</v>
      </c>
      <c r="J137" s="81">
        <f>ROUNDDOWN(K136/60,0)+J136</f>
        <v>8650</v>
      </c>
      <c r="K137" s="82">
        <f>ROUND(K136-(ROUNDDOWN(K136/60,0)*60),0)</f>
        <v>4</v>
      </c>
      <c r="L137" s="271">
        <f>L136</f>
        <v>0.40416666666666673</v>
      </c>
      <c r="M137" s="93"/>
      <c r="N137" s="422">
        <f>N136-N127</f>
        <v>9.8000000000001819</v>
      </c>
      <c r="O137" s="423" t="str">
        <f>IF(OR(O128="N/A",O128="N / A", O128="N/ A",O128 ="N /A"),"N / A", O136-O127)</f>
        <v>N / A</v>
      </c>
      <c r="P137" s="443"/>
      <c r="Q137" s="454">
        <f>SUM(Q129:Q135)</f>
        <v>0.42847222222222225</v>
      </c>
    </row>
    <row r="138" spans="1:19" ht="13.15" x14ac:dyDescent="0.35">
      <c r="A138" s="34">
        <v>43029</v>
      </c>
      <c r="C138" s="40">
        <v>9</v>
      </c>
      <c r="D138" s="7">
        <v>0.41250000000000003</v>
      </c>
      <c r="E138" s="7">
        <v>0.44930555555555557</v>
      </c>
      <c r="G138" s="2">
        <v>0</v>
      </c>
      <c r="H138" s="3" t="s">
        <v>167</v>
      </c>
      <c r="I138" s="432">
        <v>1</v>
      </c>
      <c r="J138" s="74">
        <f t="shared" ref="J138:J144" si="65">ROUNDDOWN(M138*24,0)</f>
        <v>0</v>
      </c>
      <c r="K138" s="75">
        <f t="shared" ref="K138:K144" si="66">(M138*24-J138)*60</f>
        <v>52.999999999999972</v>
      </c>
      <c r="L138" s="7">
        <f t="shared" ref="L138:L144" si="67">E138-D138</f>
        <v>3.6805555555555536E-2</v>
      </c>
      <c r="M138" s="22">
        <f t="shared" ref="M138:M144" si="68">L138</f>
        <v>3.6805555555555536E-2</v>
      </c>
      <c r="N138" s="426">
        <v>2273.5</v>
      </c>
      <c r="O138" s="417"/>
      <c r="P138" s="440"/>
      <c r="Q138" s="453">
        <f t="shared" ref="Q138:Q144" si="69">IF(L138=0,0,$Q$2+L138)</f>
        <v>4.027777777777776E-2</v>
      </c>
      <c r="R138" s="2"/>
      <c r="S138" s="474"/>
    </row>
    <row r="139" spans="1:19" ht="13.15" x14ac:dyDescent="0.35">
      <c r="A139" s="34">
        <v>43029</v>
      </c>
      <c r="C139" s="40">
        <v>9</v>
      </c>
      <c r="D139" s="7">
        <v>0.49027777777777781</v>
      </c>
      <c r="E139" s="7">
        <v>0.55347222222222225</v>
      </c>
      <c r="G139" s="2">
        <v>0</v>
      </c>
      <c r="H139" s="3" t="s">
        <v>157</v>
      </c>
      <c r="I139" s="432">
        <v>1</v>
      </c>
      <c r="J139" s="74">
        <f t="shared" si="65"/>
        <v>1</v>
      </c>
      <c r="K139" s="75">
        <f t="shared" si="66"/>
        <v>30.999999999999996</v>
      </c>
      <c r="L139" s="7">
        <f t="shared" si="67"/>
        <v>6.3194444444444442E-2</v>
      </c>
      <c r="M139" s="22">
        <f t="shared" si="68"/>
        <v>6.3194444444444442E-2</v>
      </c>
      <c r="N139" s="426">
        <v>2275.1</v>
      </c>
      <c r="O139" s="417"/>
      <c r="P139" s="440"/>
      <c r="Q139" s="453">
        <f t="shared" si="69"/>
        <v>6.6666666666666666E-2</v>
      </c>
      <c r="R139" s="2"/>
      <c r="S139" s="474"/>
    </row>
    <row r="140" spans="1:19" ht="13.15" x14ac:dyDescent="0.35">
      <c r="A140" s="34">
        <v>43029</v>
      </c>
      <c r="C140" s="40">
        <v>9</v>
      </c>
      <c r="D140" s="7">
        <v>0.61319444444444449</v>
      </c>
      <c r="E140" s="7">
        <v>0.64166666666666672</v>
      </c>
      <c r="G140" s="2">
        <v>1</v>
      </c>
      <c r="I140" s="432">
        <v>1</v>
      </c>
      <c r="J140" s="74">
        <f t="shared" si="65"/>
        <v>0</v>
      </c>
      <c r="K140" s="75">
        <f t="shared" si="66"/>
        <v>41.000000000000014</v>
      </c>
      <c r="L140" s="7">
        <f t="shared" si="67"/>
        <v>2.8472222222222232E-2</v>
      </c>
      <c r="M140" s="22">
        <f t="shared" si="68"/>
        <v>2.8472222222222232E-2</v>
      </c>
      <c r="N140" s="426">
        <v>2275.8000000000002</v>
      </c>
      <c r="O140" s="417"/>
      <c r="P140" s="440"/>
      <c r="Q140" s="453">
        <f t="shared" si="69"/>
        <v>3.1944444444444456E-2</v>
      </c>
      <c r="R140" s="2"/>
      <c r="S140" s="474"/>
    </row>
    <row r="141" spans="1:19" ht="13.15" x14ac:dyDescent="0.35">
      <c r="A141" s="34">
        <v>43036</v>
      </c>
      <c r="C141" s="40">
        <v>12</v>
      </c>
      <c r="D141" s="7">
        <v>0.32361111111111113</v>
      </c>
      <c r="E141" s="7">
        <v>0.4069444444444445</v>
      </c>
      <c r="G141" s="2">
        <v>0</v>
      </c>
      <c r="H141" s="3" t="s">
        <v>144</v>
      </c>
      <c r="I141" s="432">
        <v>1</v>
      </c>
      <c r="J141" s="74">
        <f t="shared" si="65"/>
        <v>2</v>
      </c>
      <c r="K141" s="75">
        <f t="shared" si="66"/>
        <v>5.3290705182007514E-14</v>
      </c>
      <c r="L141" s="7">
        <f t="shared" si="67"/>
        <v>8.333333333333337E-2</v>
      </c>
      <c r="M141" s="22">
        <f t="shared" si="68"/>
        <v>8.333333333333337E-2</v>
      </c>
      <c r="N141" s="426">
        <v>2277.8000000000002</v>
      </c>
      <c r="O141" s="417"/>
      <c r="P141" s="440"/>
      <c r="Q141" s="453">
        <f t="shared" si="69"/>
        <v>8.6805555555555594E-2</v>
      </c>
      <c r="R141" s="2">
        <f>J146</f>
        <v>8658</v>
      </c>
      <c r="S141" s="475">
        <f>K146</f>
        <v>42</v>
      </c>
    </row>
    <row r="142" spans="1:19" ht="13.15" x14ac:dyDescent="0.35">
      <c r="A142" s="34">
        <v>43036</v>
      </c>
      <c r="C142" s="40">
        <v>9</v>
      </c>
      <c r="D142" s="7">
        <v>0.57847222222222217</v>
      </c>
      <c r="E142" s="7">
        <v>0.63263888888888886</v>
      </c>
      <c r="G142" s="2">
        <v>1</v>
      </c>
      <c r="I142" s="432">
        <v>1</v>
      </c>
      <c r="J142" s="74">
        <f t="shared" si="65"/>
        <v>1</v>
      </c>
      <c r="K142" s="75">
        <f t="shared" si="66"/>
        <v>18.000000000000043</v>
      </c>
      <c r="L142" s="7">
        <f t="shared" si="67"/>
        <v>5.4166666666666696E-2</v>
      </c>
      <c r="M142" s="22">
        <f t="shared" si="68"/>
        <v>5.4166666666666696E-2</v>
      </c>
      <c r="N142" s="426">
        <v>2279.1</v>
      </c>
      <c r="O142" s="417"/>
      <c r="P142" s="440"/>
      <c r="Q142" s="453">
        <f t="shared" si="69"/>
        <v>5.763888888888892E-2</v>
      </c>
      <c r="R142" s="2">
        <f>J144</f>
        <v>1</v>
      </c>
      <c r="S142" s="475">
        <f>K144</f>
        <v>34.999999999999986</v>
      </c>
    </row>
    <row r="143" spans="1:19" ht="13.15" x14ac:dyDescent="0.4">
      <c r="A143" s="34">
        <v>43075</v>
      </c>
      <c r="C143" s="40">
        <v>15</v>
      </c>
      <c r="D143" s="7">
        <v>0.56597222222222221</v>
      </c>
      <c r="E143" s="7">
        <v>0.59375</v>
      </c>
      <c r="G143" s="2">
        <v>4</v>
      </c>
      <c r="I143" s="432">
        <v>4</v>
      </c>
      <c r="J143" s="74">
        <f t="shared" si="65"/>
        <v>0</v>
      </c>
      <c r="K143" s="75">
        <f t="shared" si="66"/>
        <v>40.000000000000014</v>
      </c>
      <c r="L143" s="7">
        <f t="shared" si="67"/>
        <v>2.777777777777779E-2</v>
      </c>
      <c r="M143" s="22">
        <f t="shared" si="68"/>
        <v>2.777777777777779E-2</v>
      </c>
      <c r="N143" s="426">
        <v>2279.8000000000002</v>
      </c>
      <c r="O143" s="417"/>
      <c r="P143" s="440"/>
      <c r="Q143" s="453">
        <f t="shared" si="69"/>
        <v>3.1250000000000014E-2</v>
      </c>
      <c r="R143" s="476">
        <f>R141-R142</f>
        <v>8657</v>
      </c>
      <c r="S143" s="477">
        <f>S141-S142</f>
        <v>7.0000000000000142</v>
      </c>
    </row>
    <row r="144" spans="1:19" ht="13.5" thickBot="1" x14ac:dyDescent="0.45">
      <c r="A144" s="38">
        <v>43106</v>
      </c>
      <c r="B144" s="24"/>
      <c r="C144" s="41">
        <v>1</v>
      </c>
      <c r="D144" s="9">
        <v>0.59097222222222223</v>
      </c>
      <c r="E144" s="9">
        <v>0.65694444444444444</v>
      </c>
      <c r="F144" s="304"/>
      <c r="G144" s="269">
        <v>1</v>
      </c>
      <c r="H144" s="28"/>
      <c r="I144" s="433">
        <v>1</v>
      </c>
      <c r="J144" s="76">
        <f t="shared" si="65"/>
        <v>1</v>
      </c>
      <c r="K144" s="77">
        <f t="shared" si="66"/>
        <v>34.999999999999986</v>
      </c>
      <c r="L144" s="9">
        <f t="shared" si="67"/>
        <v>6.597222222222221E-2</v>
      </c>
      <c r="M144" s="26">
        <f t="shared" si="68"/>
        <v>6.597222222222221E-2</v>
      </c>
      <c r="N144" s="427">
        <v>2281.6</v>
      </c>
      <c r="O144" s="419"/>
      <c r="P144" s="441"/>
      <c r="Q144" s="453">
        <f t="shared" si="69"/>
        <v>6.9444444444444434E-2</v>
      </c>
      <c r="R144" s="653" t="s">
        <v>225</v>
      </c>
      <c r="S144" s="654"/>
    </row>
    <row r="145" spans="1:19" ht="13.5" hidden="1" thickBot="1" x14ac:dyDescent="0.45">
      <c r="A145" s="409"/>
      <c r="B145" s="6"/>
      <c r="C145" s="42"/>
      <c r="D145" s="6"/>
      <c r="E145" s="6"/>
      <c r="F145" s="305"/>
      <c r="G145" s="266"/>
      <c r="H145" s="12"/>
      <c r="I145" s="434"/>
      <c r="J145" s="79">
        <f>SUM(J137:J144)</f>
        <v>8655</v>
      </c>
      <c r="K145" s="80">
        <f>SUM(K137:K144)</f>
        <v>222.00000000000011</v>
      </c>
      <c r="L145" s="10">
        <f>SUM(L138:L144)</f>
        <v>0.35972222222222228</v>
      </c>
      <c r="M145" s="10"/>
      <c r="N145" s="424">
        <f>MAX(N138:N144)</f>
        <v>2281.6</v>
      </c>
      <c r="O145" s="425">
        <f>MAX(O138:O144)</f>
        <v>0</v>
      </c>
      <c r="P145" s="442"/>
      <c r="Q145" s="454">
        <f>IF(L145=0,0,$Q$2+L145)</f>
        <v>0.36319444444444449</v>
      </c>
    </row>
    <row r="146" spans="1:19" ht="13.5" thickBot="1" x14ac:dyDescent="0.45">
      <c r="A146" s="410" t="s">
        <v>16</v>
      </c>
      <c r="B146" s="89"/>
      <c r="C146" s="90"/>
      <c r="D146" s="89"/>
      <c r="E146" s="89"/>
      <c r="F146" s="306"/>
      <c r="G146" s="81"/>
      <c r="H146" s="92"/>
      <c r="I146" s="435">
        <f>SUM(I137:I144)</f>
        <v>12899</v>
      </c>
      <c r="J146" s="81">
        <f>ROUNDDOWN(K145/60,0)+J145</f>
        <v>8658</v>
      </c>
      <c r="K146" s="82">
        <f>ROUND(K145-(ROUNDDOWN(K145/60,0)*60),0)</f>
        <v>42</v>
      </c>
      <c r="L146" s="271">
        <f>L145</f>
        <v>0.35972222222222228</v>
      </c>
      <c r="M146" s="93"/>
      <c r="N146" s="422">
        <f>N145-N136</f>
        <v>9.0999999999999091</v>
      </c>
      <c r="O146" s="423" t="str">
        <f>IF(OR(O137="N/A",O137="N / A", O137="N/ A",O137="N /A"),"N / A", O145-O136)</f>
        <v>N / A</v>
      </c>
      <c r="P146" s="443"/>
      <c r="Q146" s="454">
        <f>SUM(Q138:Q144)</f>
        <v>0.3840277777777778</v>
      </c>
      <c r="R146" s="2">
        <f>R143-R42</f>
        <v>91</v>
      </c>
      <c r="S146" s="475">
        <f>S143-S42</f>
        <v>-32.000000000000021</v>
      </c>
    </row>
    <row r="147" spans="1:19" ht="13.15" x14ac:dyDescent="0.4">
      <c r="A147" s="34">
        <v>43110</v>
      </c>
      <c r="C147" s="40">
        <v>5</v>
      </c>
      <c r="D147" s="7">
        <v>0.58124999999999993</v>
      </c>
      <c r="E147" s="7">
        <v>0.62152777777777779</v>
      </c>
      <c r="G147" s="2">
        <v>2</v>
      </c>
      <c r="I147" s="432">
        <v>2</v>
      </c>
      <c r="J147" s="74">
        <f t="shared" ref="J147:J153" si="70">ROUNDDOWN(M147*24,0)</f>
        <v>0</v>
      </c>
      <c r="K147" s="75">
        <f t="shared" ref="K147:K153" si="71">(M147*24-J147)*60</f>
        <v>58.000000000000114</v>
      </c>
      <c r="L147" s="7">
        <f t="shared" ref="L147:L153" si="72">E147-D147</f>
        <v>4.0277777777777857E-2</v>
      </c>
      <c r="M147" s="22">
        <f t="shared" ref="M147:M153" si="73">L147</f>
        <v>4.0277777777777857E-2</v>
      </c>
      <c r="N147" s="426">
        <v>2282.5</v>
      </c>
      <c r="O147" s="417"/>
      <c r="P147" s="440"/>
      <c r="Q147" s="478">
        <f t="shared" ref="Q147:Q152" si="74">IF(L147=0,0,$Q$2+L147)</f>
        <v>4.375000000000008E-2</v>
      </c>
      <c r="R147" s="479">
        <v>90</v>
      </c>
      <c r="S147" s="480">
        <v>28</v>
      </c>
    </row>
    <row r="148" spans="1:19" ht="13.5" thickBot="1" x14ac:dyDescent="0.45">
      <c r="A148" s="34">
        <v>43124</v>
      </c>
      <c r="C148" s="40">
        <v>15</v>
      </c>
      <c r="D148" s="7">
        <v>0.54861111111111105</v>
      </c>
      <c r="E148" s="7">
        <v>0.59513888888888888</v>
      </c>
      <c r="G148" s="2">
        <v>4</v>
      </c>
      <c r="I148" s="432">
        <v>4</v>
      </c>
      <c r="J148" s="74">
        <f t="shared" si="70"/>
        <v>1</v>
      </c>
      <c r="K148" s="75">
        <f t="shared" si="71"/>
        <v>7.0000000000000817</v>
      </c>
      <c r="L148" s="7">
        <f t="shared" si="72"/>
        <v>4.6527777777777835E-2</v>
      </c>
      <c r="M148" s="22">
        <f t="shared" si="73"/>
        <v>4.6527777777777835E-2</v>
      </c>
      <c r="N148" s="426">
        <v>2283.6</v>
      </c>
      <c r="O148" s="417"/>
      <c r="P148" s="445" t="s">
        <v>196</v>
      </c>
      <c r="Q148" s="478">
        <f t="shared" si="74"/>
        <v>5.0000000000000058E-2</v>
      </c>
      <c r="R148" s="648" t="s">
        <v>226</v>
      </c>
      <c r="S148" s="649"/>
    </row>
    <row r="149" spans="1:19" ht="13.5" thickBot="1" x14ac:dyDescent="0.45">
      <c r="A149" s="34">
        <v>43134</v>
      </c>
      <c r="C149" s="40">
        <v>26</v>
      </c>
      <c r="D149" s="7">
        <v>0.52083333333333337</v>
      </c>
      <c r="E149" s="7">
        <v>0.55694444444444446</v>
      </c>
      <c r="G149" s="2">
        <v>3</v>
      </c>
      <c r="I149" s="432">
        <v>3</v>
      </c>
      <c r="J149" s="74">
        <f t="shared" si="70"/>
        <v>0</v>
      </c>
      <c r="K149" s="75">
        <f t="shared" si="71"/>
        <v>51.999999999999972</v>
      </c>
      <c r="L149" s="7">
        <f t="shared" si="72"/>
        <v>3.6111111111111094E-2</v>
      </c>
      <c r="M149" s="22">
        <f t="shared" si="73"/>
        <v>3.6111111111111094E-2</v>
      </c>
      <c r="N149" s="426">
        <v>2284.5</v>
      </c>
      <c r="O149" s="417"/>
      <c r="P149" s="440"/>
      <c r="Q149" s="478">
        <v>4.027777777777778E-2</v>
      </c>
      <c r="R149" s="481" t="s">
        <v>227</v>
      </c>
      <c r="S149" s="482">
        <f>SUM(Q137:Q143,Q128,Q119,Q110,Q101,Q92,Q83,Q74,Q65,Q56,Q40:Q45)</f>
        <v>4.0506944444444448</v>
      </c>
    </row>
    <row r="150" spans="1:19" ht="13.15" x14ac:dyDescent="0.35">
      <c r="A150" s="34">
        <v>43135</v>
      </c>
      <c r="C150" s="40">
        <v>12</v>
      </c>
      <c r="D150" s="7">
        <v>0.48125000000000001</v>
      </c>
      <c r="E150" s="7">
        <v>0.50902777777777775</v>
      </c>
      <c r="G150" s="2">
        <v>0</v>
      </c>
      <c r="H150" s="3" t="s">
        <v>166</v>
      </c>
      <c r="I150" s="432">
        <v>1</v>
      </c>
      <c r="J150" s="74">
        <f t="shared" si="70"/>
        <v>0</v>
      </c>
      <c r="K150" s="75">
        <f t="shared" si="71"/>
        <v>39.999999999999936</v>
      </c>
      <c r="L150" s="7">
        <f t="shared" si="72"/>
        <v>2.7777777777777735E-2</v>
      </c>
      <c r="M150" s="22">
        <f t="shared" si="73"/>
        <v>2.7777777777777735E-2</v>
      </c>
      <c r="N150" s="426">
        <v>2285.1999999999998</v>
      </c>
      <c r="O150" s="417"/>
      <c r="P150" s="440"/>
      <c r="Q150" s="453">
        <f t="shared" si="74"/>
        <v>3.1249999999999958E-2</v>
      </c>
    </row>
    <row r="151" spans="1:19" ht="13.15" x14ac:dyDescent="0.35">
      <c r="A151" s="34">
        <v>43135</v>
      </c>
      <c r="C151" s="40">
        <v>9</v>
      </c>
      <c r="D151" s="7">
        <v>0.52777777777777779</v>
      </c>
      <c r="E151" s="7">
        <v>0.53333333333333333</v>
      </c>
      <c r="G151" s="2">
        <v>0</v>
      </c>
      <c r="H151" s="3" t="s">
        <v>174</v>
      </c>
      <c r="I151" s="432">
        <v>1</v>
      </c>
      <c r="J151" s="74">
        <f t="shared" si="70"/>
        <v>0</v>
      </c>
      <c r="K151" s="75">
        <f t="shared" si="71"/>
        <v>7.9999999999999716</v>
      </c>
      <c r="L151" s="7">
        <f t="shared" si="72"/>
        <v>5.5555555555555358E-3</v>
      </c>
      <c r="M151" s="22">
        <f t="shared" si="73"/>
        <v>5.5555555555555358E-3</v>
      </c>
      <c r="N151" s="426">
        <v>2285.4</v>
      </c>
      <c r="O151" s="417"/>
      <c r="P151" s="448"/>
      <c r="Q151" s="453">
        <f t="shared" si="74"/>
        <v>9.0277777777777578E-3</v>
      </c>
    </row>
    <row r="152" spans="1:19" ht="13.15" x14ac:dyDescent="0.35">
      <c r="A152" s="34">
        <v>43135</v>
      </c>
      <c r="C152" s="40">
        <v>9</v>
      </c>
      <c r="D152" s="7">
        <v>0.56041666666666667</v>
      </c>
      <c r="E152" s="7">
        <v>0.58124999999999993</v>
      </c>
      <c r="G152" s="2">
        <v>1</v>
      </c>
      <c r="I152" s="432">
        <v>1</v>
      </c>
      <c r="J152" s="74">
        <f t="shared" si="70"/>
        <v>0</v>
      </c>
      <c r="K152" s="75">
        <f t="shared" si="71"/>
        <v>29.999999999999893</v>
      </c>
      <c r="L152" s="7">
        <f t="shared" si="72"/>
        <v>2.0833333333333259E-2</v>
      </c>
      <c r="M152" s="22">
        <f t="shared" si="73"/>
        <v>2.0833333333333259E-2</v>
      </c>
      <c r="N152" s="426">
        <v>2285.9</v>
      </c>
      <c r="O152" s="417"/>
      <c r="P152" s="440"/>
      <c r="Q152" s="453">
        <f t="shared" si="74"/>
        <v>2.4305555555555483E-2</v>
      </c>
      <c r="R152" s="303"/>
      <c r="S152" s="484"/>
    </row>
    <row r="153" spans="1:19" ht="13.5" thickBot="1" x14ac:dyDescent="0.4">
      <c r="A153" s="38">
        <v>43141</v>
      </c>
      <c r="B153" s="24"/>
      <c r="C153" s="41">
        <v>14</v>
      </c>
      <c r="D153" s="9">
        <v>0.54513888888888895</v>
      </c>
      <c r="E153" s="9">
        <v>0.5854166666666667</v>
      </c>
      <c r="F153" s="304"/>
      <c r="G153" s="269">
        <v>4</v>
      </c>
      <c r="H153" s="28"/>
      <c r="I153" s="433">
        <v>4</v>
      </c>
      <c r="J153" s="76">
        <f t="shared" si="70"/>
        <v>0</v>
      </c>
      <c r="K153" s="77">
        <f t="shared" si="71"/>
        <v>57.999999999999957</v>
      </c>
      <c r="L153" s="9">
        <f t="shared" si="72"/>
        <v>4.0277777777777746E-2</v>
      </c>
      <c r="M153" s="26">
        <f t="shared" si="73"/>
        <v>4.0277777777777746E-2</v>
      </c>
      <c r="N153" s="427">
        <v>2286.8000000000002</v>
      </c>
      <c r="O153" s="419"/>
      <c r="P153" s="441"/>
      <c r="Q153" s="453">
        <f>IF(L153=0,0,$Q$2+L153)</f>
        <v>4.3749999999999969E-2</v>
      </c>
      <c r="R153" s="303"/>
      <c r="S153" s="483"/>
    </row>
    <row r="154" spans="1:19" ht="13.5" hidden="1" thickBot="1" x14ac:dyDescent="0.45">
      <c r="A154" s="409"/>
      <c r="B154" s="6"/>
      <c r="C154" s="42"/>
      <c r="D154" s="6"/>
      <c r="E154" s="6"/>
      <c r="F154" s="305"/>
      <c r="G154" s="266"/>
      <c r="H154" s="12"/>
      <c r="I154" s="434"/>
      <c r="J154" s="79">
        <f>SUM(J146:J153)</f>
        <v>8659</v>
      </c>
      <c r="K154" s="80">
        <f>SUM(K146:K153)</f>
        <v>294.99999999999994</v>
      </c>
      <c r="L154" s="10">
        <f>SUM(L147:L153)</f>
        <v>0.21736111111111106</v>
      </c>
      <c r="M154" s="10"/>
      <c r="N154" s="424">
        <f>MAX(N147:N153)</f>
        <v>2286.8000000000002</v>
      </c>
      <c r="O154" s="425">
        <f>MAX(O147:O153)</f>
        <v>0</v>
      </c>
      <c r="P154" s="442"/>
      <c r="Q154" s="454">
        <f>IF(L154=0,0,$Q$2+L154)</f>
        <v>0.22083333333333327</v>
      </c>
      <c r="S154" s="373"/>
    </row>
    <row r="155" spans="1:19" ht="13.5" thickBot="1" x14ac:dyDescent="0.45">
      <c r="A155" s="410" t="s">
        <v>16</v>
      </c>
      <c r="B155" s="89"/>
      <c r="C155" s="90"/>
      <c r="D155" s="89"/>
      <c r="E155" s="89"/>
      <c r="F155" s="306"/>
      <c r="G155" s="81"/>
      <c r="H155" s="92"/>
      <c r="I155" s="435">
        <f>SUM(I146:I153)</f>
        <v>12915</v>
      </c>
      <c r="J155" s="81">
        <f>ROUNDDOWN(K154/60,0)+J154</f>
        <v>8663</v>
      </c>
      <c r="K155" s="82">
        <f>ROUND(K154-(ROUNDDOWN(K154/60,0)*60),0)</f>
        <v>55</v>
      </c>
      <c r="L155" s="271">
        <f>L154</f>
        <v>0.21736111111111106</v>
      </c>
      <c r="M155" s="93"/>
      <c r="N155" s="422">
        <f>N154-N145</f>
        <v>5.2000000000002728</v>
      </c>
      <c r="O155" s="423" t="str">
        <f>IF(OR(O146="N/A",O146="N / A", O146="N/ A",O146="N /A"),"N / A", O154-O145)</f>
        <v>N / A</v>
      </c>
      <c r="P155" s="443"/>
      <c r="Q155" s="454">
        <f>SUM(Q147:Q153)</f>
        <v>0.24236111111111103</v>
      </c>
      <c r="R155" s="303"/>
      <c r="S155" s="483"/>
    </row>
    <row r="156" spans="1:19" ht="13.15" x14ac:dyDescent="0.35">
      <c r="A156" s="34">
        <v>43155</v>
      </c>
      <c r="C156" s="40">
        <v>1</v>
      </c>
      <c r="D156" s="7">
        <v>0.3520833333333333</v>
      </c>
      <c r="E156" s="7">
        <v>0.38611111111111113</v>
      </c>
      <c r="G156" s="2">
        <v>0</v>
      </c>
      <c r="H156" s="3" t="s">
        <v>110</v>
      </c>
      <c r="I156" s="432">
        <v>3</v>
      </c>
      <c r="J156" s="74">
        <f t="shared" ref="J156:J162" si="75">ROUNDDOWN(M156*24,0)</f>
        <v>0</v>
      </c>
      <c r="K156" s="75">
        <f t="shared" ref="K156:K162" si="76">(M156*24-J156)*60</f>
        <v>49.000000000000064</v>
      </c>
      <c r="L156" s="7">
        <f t="shared" ref="L156:L162" si="77">E156-D156</f>
        <v>3.4027777777777823E-2</v>
      </c>
      <c r="M156" s="22">
        <f t="shared" ref="M156:M162" si="78">L156</f>
        <v>3.4027777777777823E-2</v>
      </c>
      <c r="N156" s="426">
        <v>2287.6999999999998</v>
      </c>
      <c r="O156" s="417"/>
      <c r="P156" s="440"/>
      <c r="Q156" s="453">
        <f t="shared" ref="Q156:Q162" si="79">IF(L156=0,0,$Q$2+L156)</f>
        <v>3.7500000000000047E-2</v>
      </c>
    </row>
    <row r="157" spans="1:19" ht="13.15" x14ac:dyDescent="0.35">
      <c r="A157" s="34">
        <v>43155</v>
      </c>
      <c r="C157" s="40">
        <v>1</v>
      </c>
      <c r="D157" s="7">
        <v>0.4284722222222222</v>
      </c>
      <c r="E157" s="7">
        <v>0.44027777777777777</v>
      </c>
      <c r="G157" s="2">
        <v>1</v>
      </c>
      <c r="I157" s="432">
        <v>1</v>
      </c>
      <c r="J157" s="74">
        <f t="shared" si="75"/>
        <v>0</v>
      </c>
      <c r="K157" s="75">
        <f t="shared" si="76"/>
        <v>17.000000000000021</v>
      </c>
      <c r="L157" s="7">
        <f t="shared" si="77"/>
        <v>1.1805555555555569E-2</v>
      </c>
      <c r="M157" s="22">
        <f t="shared" si="78"/>
        <v>1.1805555555555569E-2</v>
      </c>
      <c r="N157" s="426">
        <v>2288</v>
      </c>
      <c r="O157" s="417"/>
      <c r="P157" s="440"/>
      <c r="Q157" s="453">
        <f t="shared" si="79"/>
        <v>1.5277777777777791E-2</v>
      </c>
    </row>
    <row r="158" spans="1:19" ht="13.15" x14ac:dyDescent="0.35">
      <c r="A158" s="34">
        <v>43155</v>
      </c>
      <c r="C158" s="40">
        <v>9</v>
      </c>
      <c r="D158" s="7">
        <v>0.50555555555555554</v>
      </c>
      <c r="E158" s="7">
        <v>0.56111111111111112</v>
      </c>
      <c r="G158" s="2">
        <v>0</v>
      </c>
      <c r="H158" s="3" t="s">
        <v>167</v>
      </c>
      <c r="I158" s="432">
        <v>1</v>
      </c>
      <c r="J158" s="74">
        <f t="shared" si="75"/>
        <v>1</v>
      </c>
      <c r="K158" s="75">
        <f t="shared" si="76"/>
        <v>20.000000000000036</v>
      </c>
      <c r="L158" s="7">
        <f t="shared" si="77"/>
        <v>5.555555555555558E-2</v>
      </c>
      <c r="M158" s="22">
        <f t="shared" si="78"/>
        <v>5.555555555555558E-2</v>
      </c>
      <c r="N158" s="426">
        <v>2289.3000000000002</v>
      </c>
      <c r="O158" s="417"/>
      <c r="P158" s="440"/>
      <c r="Q158" s="453">
        <f t="shared" si="79"/>
        <v>5.9027777777777804E-2</v>
      </c>
    </row>
    <row r="159" spans="1:19" ht="13.15" x14ac:dyDescent="0.35">
      <c r="A159" s="34">
        <v>43155</v>
      </c>
      <c r="C159" s="40">
        <v>12</v>
      </c>
      <c r="D159" s="7">
        <v>0.59444444444444444</v>
      </c>
      <c r="E159" s="7">
        <v>0.66041666666666665</v>
      </c>
      <c r="G159" s="2">
        <v>1</v>
      </c>
      <c r="I159" s="432">
        <v>1</v>
      </c>
      <c r="J159" s="74">
        <f t="shared" si="75"/>
        <v>1</v>
      </c>
      <c r="K159" s="75">
        <f t="shared" si="76"/>
        <v>34.999999999999986</v>
      </c>
      <c r="L159" s="7">
        <f t="shared" si="77"/>
        <v>6.597222222222221E-2</v>
      </c>
      <c r="M159" s="22">
        <f t="shared" si="78"/>
        <v>6.597222222222221E-2</v>
      </c>
      <c r="N159" s="426">
        <v>2290.9</v>
      </c>
      <c r="O159" s="417"/>
      <c r="P159" s="440"/>
      <c r="Q159" s="453">
        <v>0</v>
      </c>
    </row>
    <row r="160" spans="1:19" ht="13.15" x14ac:dyDescent="0.35">
      <c r="A160" s="34">
        <v>43159</v>
      </c>
      <c r="C160" s="40">
        <v>1</v>
      </c>
      <c r="D160" s="7">
        <v>0.7715277777777777</v>
      </c>
      <c r="E160" s="7">
        <v>0.79236111111111107</v>
      </c>
      <c r="G160" s="2">
        <v>3</v>
      </c>
      <c r="I160" s="432">
        <v>3</v>
      </c>
      <c r="J160" s="74">
        <f t="shared" si="75"/>
        <v>0</v>
      </c>
      <c r="K160" s="75">
        <f t="shared" si="76"/>
        <v>30.000000000000053</v>
      </c>
      <c r="L160" s="7">
        <f t="shared" si="77"/>
        <v>2.083333333333337E-2</v>
      </c>
      <c r="M160" s="22">
        <f t="shared" si="78"/>
        <v>2.083333333333337E-2</v>
      </c>
      <c r="N160" s="426">
        <v>2291.5</v>
      </c>
      <c r="O160" s="417"/>
      <c r="P160" s="440"/>
      <c r="Q160" s="453">
        <f t="shared" si="79"/>
        <v>2.4305555555555594E-2</v>
      </c>
    </row>
    <row r="161" spans="1:17" ht="13.15" x14ac:dyDescent="0.35">
      <c r="A161" s="34">
        <v>43163</v>
      </c>
      <c r="C161" s="40">
        <v>27</v>
      </c>
      <c r="D161" s="7">
        <v>0.4826388888888889</v>
      </c>
      <c r="E161" s="7">
        <v>0.51180555555555551</v>
      </c>
      <c r="G161" s="2">
        <v>3</v>
      </c>
      <c r="I161" s="432">
        <v>3</v>
      </c>
      <c r="J161" s="74">
        <f t="shared" si="75"/>
        <v>0</v>
      </c>
      <c r="K161" s="75">
        <f t="shared" si="76"/>
        <v>41.999999999999929</v>
      </c>
      <c r="L161" s="7">
        <f t="shared" si="77"/>
        <v>2.9166666666666619E-2</v>
      </c>
      <c r="M161" s="22">
        <f t="shared" si="78"/>
        <v>2.9166666666666619E-2</v>
      </c>
      <c r="N161" s="426">
        <v>2292.1999999999998</v>
      </c>
      <c r="O161" s="417"/>
      <c r="P161" s="440"/>
      <c r="Q161" s="453">
        <v>3.4027777777777775E-2</v>
      </c>
    </row>
    <row r="162" spans="1:17" ht="13.5" thickBot="1" x14ac:dyDescent="0.4">
      <c r="A162" s="38">
        <v>43163</v>
      </c>
      <c r="B162" s="24"/>
      <c r="C162" s="41">
        <v>20</v>
      </c>
      <c r="D162" s="9">
        <v>0.54652777777777783</v>
      </c>
      <c r="E162" s="9">
        <v>0.55625000000000002</v>
      </c>
      <c r="F162" s="304"/>
      <c r="G162" s="269">
        <v>1</v>
      </c>
      <c r="H162" s="28"/>
      <c r="I162" s="433">
        <v>1</v>
      </c>
      <c r="J162" s="76">
        <f t="shared" si="75"/>
        <v>0</v>
      </c>
      <c r="K162" s="77">
        <f t="shared" si="76"/>
        <v>13.99999999999995</v>
      </c>
      <c r="L162" s="9">
        <f t="shared" si="77"/>
        <v>9.7222222222221877E-3</v>
      </c>
      <c r="M162" s="26">
        <f t="shared" si="78"/>
        <v>9.7222222222221877E-3</v>
      </c>
      <c r="N162" s="428">
        <v>2292.5</v>
      </c>
      <c r="O162" s="419"/>
      <c r="P162" s="441"/>
      <c r="Q162" s="453">
        <f t="shared" si="79"/>
        <v>1.319444444444441E-2</v>
      </c>
    </row>
    <row r="163" spans="1:17" ht="13.5" hidden="1" thickBot="1" x14ac:dyDescent="0.45">
      <c r="A163" s="409"/>
      <c r="B163" s="6"/>
      <c r="C163" s="42"/>
      <c r="D163" s="6"/>
      <c r="E163" s="6"/>
      <c r="F163" s="305"/>
      <c r="G163" s="266"/>
      <c r="H163" s="12"/>
      <c r="I163" s="434"/>
      <c r="J163" s="79">
        <f>SUM(J155:J162)</f>
        <v>8665</v>
      </c>
      <c r="K163" s="80">
        <f>SUM(K155:K162)</f>
        <v>262.00000000000006</v>
      </c>
      <c r="L163" s="10">
        <f>SUM(L156:L162)</f>
        <v>0.22708333333333336</v>
      </c>
      <c r="M163" s="10"/>
      <c r="N163" s="424">
        <f>MAX(N156:N162)</f>
        <v>2292.5</v>
      </c>
      <c r="O163" s="425">
        <f>MAX(O156:O162)</f>
        <v>0</v>
      </c>
      <c r="P163" s="442"/>
      <c r="Q163" s="454">
        <f>IF(L163=0,0,$Q$2+L163)</f>
        <v>0.23055555555555557</v>
      </c>
    </row>
    <row r="164" spans="1:17" ht="13.5" thickBot="1" x14ac:dyDescent="0.45">
      <c r="A164" s="410" t="s">
        <v>16</v>
      </c>
      <c r="B164" s="89"/>
      <c r="C164" s="90"/>
      <c r="D164" s="89"/>
      <c r="E164" s="89"/>
      <c r="F164" s="306"/>
      <c r="G164" s="81"/>
      <c r="H164" s="92"/>
      <c r="I164" s="435">
        <f>SUM(I155:I162)</f>
        <v>12928</v>
      </c>
      <c r="J164" s="81">
        <f>ROUNDDOWN(K163/60,0)+J163</f>
        <v>8669</v>
      </c>
      <c r="K164" s="82">
        <f>ROUND(K163-(ROUNDDOWN(K163/60,0)*60),0)</f>
        <v>22</v>
      </c>
      <c r="L164" s="271">
        <f>L163</f>
        <v>0.22708333333333336</v>
      </c>
      <c r="M164" s="93"/>
      <c r="N164" s="422">
        <f>N163-N154</f>
        <v>5.6999999999998181</v>
      </c>
      <c r="O164" s="423" t="str">
        <f>IF(OR(O155="N/A",O155="N / A", O155="N/ A",O155="N /A"),"N / A", O163-O154)</f>
        <v>N / A</v>
      </c>
      <c r="P164" s="443"/>
      <c r="Q164" s="454">
        <f>SUM(Q156:Q162)</f>
        <v>0.1833333333333334</v>
      </c>
    </row>
    <row r="165" spans="1:17" ht="13.15" x14ac:dyDescent="0.35">
      <c r="A165" s="34">
        <v>43163</v>
      </c>
      <c r="C165" s="40">
        <v>20</v>
      </c>
      <c r="D165" s="7">
        <v>0.56597222222222221</v>
      </c>
      <c r="E165" s="7">
        <v>0.59375</v>
      </c>
      <c r="G165" s="2">
        <v>0</v>
      </c>
      <c r="H165" s="3" t="s">
        <v>165</v>
      </c>
      <c r="I165" s="432">
        <v>2</v>
      </c>
      <c r="J165" s="74">
        <f t="shared" ref="J165:J171" si="80">ROUNDDOWN(M165*24,0)</f>
        <v>0</v>
      </c>
      <c r="K165" s="75">
        <f t="shared" ref="K165:K171" si="81">(M165*24-J165)*60</f>
        <v>40.000000000000014</v>
      </c>
      <c r="L165" s="7">
        <f t="shared" ref="L165:L171" si="82">E165-D165</f>
        <v>2.777777777777779E-2</v>
      </c>
      <c r="M165" s="22">
        <f t="shared" ref="M165:M171" si="83">L165</f>
        <v>2.777777777777779E-2</v>
      </c>
      <c r="N165" s="426">
        <v>2293.1999999999998</v>
      </c>
      <c r="O165" s="417"/>
      <c r="P165" s="440"/>
      <c r="Q165" s="453">
        <f t="shared" ref="Q165:Q172" si="84">IF(L165=0,0,$Q$2+L165)</f>
        <v>3.1250000000000014E-2</v>
      </c>
    </row>
    <row r="166" spans="1:17" ht="13.15" x14ac:dyDescent="0.35">
      <c r="A166" s="34">
        <v>43163</v>
      </c>
      <c r="C166" s="40">
        <v>22</v>
      </c>
      <c r="D166" s="7">
        <v>0.65208333333333335</v>
      </c>
      <c r="E166" s="7">
        <v>0.66666666666666663</v>
      </c>
      <c r="G166" s="2">
        <v>0</v>
      </c>
      <c r="H166" s="3" t="s">
        <v>165</v>
      </c>
      <c r="I166" s="432">
        <v>3</v>
      </c>
      <c r="J166" s="74">
        <f t="shared" si="80"/>
        <v>0</v>
      </c>
      <c r="K166" s="75">
        <f t="shared" si="81"/>
        <v>20.999999999999925</v>
      </c>
      <c r="L166" s="7">
        <f t="shared" si="82"/>
        <v>1.4583333333333282E-2</v>
      </c>
      <c r="M166" s="22">
        <f t="shared" si="83"/>
        <v>1.4583333333333282E-2</v>
      </c>
      <c r="N166" s="426">
        <v>2293.5</v>
      </c>
      <c r="O166" s="417"/>
      <c r="P166" s="440"/>
      <c r="Q166" s="453">
        <f t="shared" si="84"/>
        <v>1.8055555555555505E-2</v>
      </c>
    </row>
    <row r="167" spans="1:17" ht="13.15" x14ac:dyDescent="0.35">
      <c r="A167" s="34">
        <v>43163</v>
      </c>
      <c r="C167" s="40">
        <v>22</v>
      </c>
      <c r="D167" s="7">
        <v>0.68055555555555547</v>
      </c>
      <c r="E167" s="7">
        <v>0.70694444444444438</v>
      </c>
      <c r="G167" s="2">
        <v>1</v>
      </c>
      <c r="I167" s="432">
        <v>1</v>
      </c>
      <c r="J167" s="74">
        <f t="shared" si="80"/>
        <v>0</v>
      </c>
      <c r="K167" s="75">
        <f t="shared" si="81"/>
        <v>38.000000000000028</v>
      </c>
      <c r="L167" s="7">
        <f t="shared" si="82"/>
        <v>2.6388888888888906E-2</v>
      </c>
      <c r="M167" s="22">
        <f t="shared" si="83"/>
        <v>2.6388888888888906E-2</v>
      </c>
      <c r="N167" s="426">
        <v>2294.1</v>
      </c>
      <c r="O167" s="417"/>
      <c r="P167" s="440"/>
      <c r="Q167" s="453">
        <f t="shared" si="84"/>
        <v>2.986111111111113E-2</v>
      </c>
    </row>
    <row r="168" spans="1:17" ht="13.15" x14ac:dyDescent="0.35">
      <c r="A168" s="34">
        <v>43164</v>
      </c>
      <c r="C168" s="40">
        <v>27</v>
      </c>
      <c r="D168" s="376">
        <v>0.54166666666666663</v>
      </c>
      <c r="E168" s="376">
        <v>0.58472222222222225</v>
      </c>
      <c r="F168" s="377"/>
      <c r="G168" s="378">
        <v>3</v>
      </c>
      <c r="I168" s="432">
        <v>3</v>
      </c>
      <c r="J168" s="74">
        <f t="shared" si="80"/>
        <v>1</v>
      </c>
      <c r="K168" s="75">
        <f t="shared" si="81"/>
        <v>2.0000000000000995</v>
      </c>
      <c r="L168" s="7">
        <f t="shared" si="82"/>
        <v>4.3055555555555625E-2</v>
      </c>
      <c r="M168" s="22">
        <f t="shared" si="83"/>
        <v>4.3055555555555625E-2</v>
      </c>
      <c r="N168" s="426">
        <v>2295</v>
      </c>
      <c r="O168" s="417"/>
      <c r="P168" s="440"/>
      <c r="Q168" s="453">
        <f t="shared" si="84"/>
        <v>4.6527777777777848E-2</v>
      </c>
    </row>
    <row r="169" spans="1:17" ht="13.15" x14ac:dyDescent="0.35">
      <c r="A169" s="34">
        <v>43169</v>
      </c>
      <c r="C169" s="40">
        <v>15</v>
      </c>
      <c r="D169" s="376">
        <v>0.5541666666666667</v>
      </c>
      <c r="E169" s="376">
        <v>0.60069444444444442</v>
      </c>
      <c r="F169" s="377"/>
      <c r="G169" s="378">
        <v>2</v>
      </c>
      <c r="I169" s="432">
        <v>2</v>
      </c>
      <c r="J169" s="74">
        <f t="shared" si="80"/>
        <v>1</v>
      </c>
      <c r="K169" s="75">
        <f t="shared" si="81"/>
        <v>6.9999999999999218</v>
      </c>
      <c r="L169" s="7">
        <f t="shared" si="82"/>
        <v>4.6527777777777724E-2</v>
      </c>
      <c r="M169" s="22">
        <f t="shared" si="83"/>
        <v>4.6527777777777724E-2</v>
      </c>
      <c r="N169" s="426">
        <v>2296.1999999999998</v>
      </c>
      <c r="O169" s="417"/>
      <c r="P169" s="440"/>
      <c r="Q169" s="453">
        <f t="shared" si="84"/>
        <v>4.9999999999999947E-2</v>
      </c>
    </row>
    <row r="170" spans="1:17" ht="13.15" x14ac:dyDescent="0.35">
      <c r="A170" s="34">
        <v>43169</v>
      </c>
      <c r="C170" s="40">
        <v>0</v>
      </c>
      <c r="D170" s="376">
        <v>0.65416666666666667</v>
      </c>
      <c r="E170" s="376">
        <v>0.67847222222222225</v>
      </c>
      <c r="F170" s="377"/>
      <c r="G170" s="378">
        <v>0</v>
      </c>
      <c r="H170" s="3" t="s">
        <v>163</v>
      </c>
      <c r="I170" s="432">
        <v>1</v>
      </c>
      <c r="J170" s="74">
        <f t="shared" si="80"/>
        <v>0</v>
      </c>
      <c r="K170" s="75">
        <f t="shared" si="81"/>
        <v>35.000000000000036</v>
      </c>
      <c r="L170" s="7">
        <f t="shared" si="82"/>
        <v>2.430555555555558E-2</v>
      </c>
      <c r="M170" s="22">
        <f t="shared" si="83"/>
        <v>2.430555555555558E-2</v>
      </c>
      <c r="N170" s="426">
        <v>2296.8000000000002</v>
      </c>
      <c r="O170" s="417"/>
      <c r="P170" s="445" t="s">
        <v>177</v>
      </c>
      <c r="Q170" s="453">
        <f t="shared" si="84"/>
        <v>2.7777777777777804E-2</v>
      </c>
    </row>
    <row r="171" spans="1:17" ht="13.5" thickBot="1" x14ac:dyDescent="0.4">
      <c r="A171" s="38">
        <v>43194</v>
      </c>
      <c r="B171" s="24"/>
      <c r="C171" s="41">
        <v>0</v>
      </c>
      <c r="D171" s="9">
        <v>0.63958333333333328</v>
      </c>
      <c r="E171" s="9">
        <v>0.65347222222222223</v>
      </c>
      <c r="F171" s="304"/>
      <c r="G171" s="269">
        <v>0</v>
      </c>
      <c r="H171" s="28" t="s">
        <v>163</v>
      </c>
      <c r="I171" s="433">
        <v>1</v>
      </c>
      <c r="J171" s="76">
        <f t="shared" si="80"/>
        <v>0</v>
      </c>
      <c r="K171" s="77">
        <f t="shared" si="81"/>
        <v>20.000000000000089</v>
      </c>
      <c r="L171" s="9">
        <f t="shared" si="82"/>
        <v>1.3888888888888951E-2</v>
      </c>
      <c r="M171" s="26">
        <f t="shared" si="83"/>
        <v>1.3888888888888951E-2</v>
      </c>
      <c r="N171" s="427">
        <v>2297.4</v>
      </c>
      <c r="O171" s="419"/>
      <c r="P171" s="449" t="s">
        <v>177</v>
      </c>
      <c r="Q171" s="489">
        <f>IF(L171=0,0,$Q$2+L171)</f>
        <v>1.7361111111111174E-2</v>
      </c>
    </row>
    <row r="172" spans="1:17" ht="13.5" hidden="1" thickBot="1" x14ac:dyDescent="0.45">
      <c r="A172" s="409"/>
      <c r="B172" s="6"/>
      <c r="C172" s="42"/>
      <c r="D172" s="6"/>
      <c r="E172" s="6"/>
      <c r="F172" s="305"/>
      <c r="G172" s="266"/>
      <c r="H172" s="12"/>
      <c r="I172" s="434"/>
      <c r="J172" s="79">
        <f>SUM(J164:J171)</f>
        <v>8671</v>
      </c>
      <c r="K172" s="80">
        <f>SUM(K164:K171)</f>
        <v>185.00000000000011</v>
      </c>
      <c r="L172" s="10">
        <f>SUM(L165:L171)</f>
        <v>0.19652777777777786</v>
      </c>
      <c r="M172" s="10"/>
      <c r="N172" s="424">
        <f>MAX(N165:N171)</f>
        <v>2297.4</v>
      </c>
      <c r="O172" s="425">
        <f>MAX(O165:O171)</f>
        <v>0</v>
      </c>
      <c r="P172" s="442"/>
      <c r="Q172" s="454">
        <f t="shared" si="84"/>
        <v>0.20000000000000007</v>
      </c>
    </row>
    <row r="173" spans="1:17" ht="13.5" thickBot="1" x14ac:dyDescent="0.45">
      <c r="A173" s="410" t="s">
        <v>16</v>
      </c>
      <c r="B173" s="89"/>
      <c r="C173" s="90"/>
      <c r="D173" s="89"/>
      <c r="E173" s="89"/>
      <c r="F173" s="306"/>
      <c r="G173" s="81"/>
      <c r="H173" s="92"/>
      <c r="I173" s="435">
        <f>SUM(I164:I171)</f>
        <v>12941</v>
      </c>
      <c r="J173" s="81">
        <f>ROUNDDOWN(K172/60,0)+J172</f>
        <v>8674</v>
      </c>
      <c r="K173" s="82">
        <f>ROUND(K172-(ROUNDDOWN(K172/60,0)*60),0)</f>
        <v>5</v>
      </c>
      <c r="L173" s="271">
        <f>L172</f>
        <v>0.19652777777777786</v>
      </c>
      <c r="M173" s="93"/>
      <c r="N173" s="422">
        <f>N172-N163</f>
        <v>4.9000000000000909</v>
      </c>
      <c r="O173" s="423" t="str">
        <f>IF(OR(O164="N/A",O164="N / A", O164="N/ A",O164="N /A"),"N / A", O172-O163)</f>
        <v>N / A</v>
      </c>
      <c r="P173" s="443"/>
      <c r="Q173" s="454">
        <f>SUM(Q165:Q171)</f>
        <v>0.22083333333333338</v>
      </c>
    </row>
    <row r="174" spans="1:17" ht="13.15" x14ac:dyDescent="0.35">
      <c r="A174" s="34">
        <v>43195</v>
      </c>
      <c r="C174" s="40">
        <v>0</v>
      </c>
      <c r="D174" s="7">
        <v>0.73333333333333339</v>
      </c>
      <c r="E174" s="7">
        <v>0.75902777777777775</v>
      </c>
      <c r="G174" s="2">
        <v>1</v>
      </c>
      <c r="I174" s="432">
        <v>1</v>
      </c>
      <c r="J174" s="74">
        <f t="shared" ref="J174:J180" si="85">ROUNDDOWN(M174*24,0)</f>
        <v>0</v>
      </c>
      <c r="K174" s="75">
        <f t="shared" ref="K174:K180" si="86">(M174*24-J174)*60</f>
        <v>36.999999999999872</v>
      </c>
      <c r="L174" s="7">
        <f t="shared" ref="L174:L180" si="87">E174-D174</f>
        <v>2.5694444444444353E-2</v>
      </c>
      <c r="M174" s="22">
        <f t="shared" ref="M174:M180" si="88">L174</f>
        <v>2.5694444444444353E-2</v>
      </c>
      <c r="N174" s="426">
        <v>2298.1</v>
      </c>
      <c r="O174" s="417"/>
      <c r="P174" s="445" t="s">
        <v>177</v>
      </c>
      <c r="Q174" s="453">
        <f t="shared" ref="Q174:Q180" si="89">IF(L174=0,0,$Q$2+L174)</f>
        <v>2.9166666666666577E-2</v>
      </c>
    </row>
    <row r="175" spans="1:17" ht="13.15" x14ac:dyDescent="0.35">
      <c r="A175" s="34">
        <v>43197</v>
      </c>
      <c r="C175" s="40">
        <v>6</v>
      </c>
      <c r="D175" s="7">
        <v>0.51527777777777783</v>
      </c>
      <c r="E175" s="7">
        <v>0.58611111111111114</v>
      </c>
      <c r="G175" s="2">
        <v>1</v>
      </c>
      <c r="I175" s="432">
        <v>1</v>
      </c>
      <c r="J175" s="74">
        <f t="shared" si="85"/>
        <v>1</v>
      </c>
      <c r="K175" s="75">
        <f t="shared" si="86"/>
        <v>41.999999999999957</v>
      </c>
      <c r="L175" s="7">
        <f t="shared" si="87"/>
        <v>7.0833333333333304E-2</v>
      </c>
      <c r="M175" s="22">
        <f t="shared" si="88"/>
        <v>7.0833333333333304E-2</v>
      </c>
      <c r="N175" s="426">
        <v>2299.8000000000002</v>
      </c>
      <c r="O175" s="417"/>
      <c r="P175" s="440"/>
      <c r="Q175" s="453">
        <f t="shared" si="89"/>
        <v>7.4305555555555527E-2</v>
      </c>
    </row>
    <row r="176" spans="1:17" ht="13.15" x14ac:dyDescent="0.35">
      <c r="A176" s="34">
        <v>43197</v>
      </c>
      <c r="C176" s="40">
        <v>29</v>
      </c>
      <c r="D176" s="7">
        <v>0.62847222222222221</v>
      </c>
      <c r="E176" s="7">
        <v>0.68888888888888899</v>
      </c>
      <c r="G176" s="2">
        <v>0</v>
      </c>
      <c r="H176" s="3" t="s">
        <v>181</v>
      </c>
      <c r="I176" s="432">
        <v>1</v>
      </c>
      <c r="J176" s="74">
        <f t="shared" si="85"/>
        <v>1</v>
      </c>
      <c r="K176" s="75">
        <f t="shared" si="86"/>
        <v>27.000000000000171</v>
      </c>
      <c r="L176" s="7">
        <f t="shared" si="87"/>
        <v>6.0416666666666785E-2</v>
      </c>
      <c r="M176" s="22">
        <f t="shared" si="88"/>
        <v>6.0416666666666785E-2</v>
      </c>
      <c r="N176" s="426">
        <v>2301.1999999999998</v>
      </c>
      <c r="O176" s="417"/>
      <c r="P176" s="440"/>
      <c r="Q176" s="453">
        <f t="shared" si="89"/>
        <v>6.3888888888889009E-2</v>
      </c>
    </row>
    <row r="177" spans="1:17" ht="13.15" x14ac:dyDescent="0.35">
      <c r="A177" s="34">
        <v>43197</v>
      </c>
      <c r="C177" s="40">
        <v>29</v>
      </c>
      <c r="D177" s="7">
        <v>0.73958333333333337</v>
      </c>
      <c r="E177" s="7">
        <v>0.75624999999999998</v>
      </c>
      <c r="G177" s="2">
        <v>1</v>
      </c>
      <c r="I177" s="432">
        <v>1</v>
      </c>
      <c r="J177" s="74">
        <f t="shared" si="85"/>
        <v>0</v>
      </c>
      <c r="K177" s="75">
        <f t="shared" si="86"/>
        <v>23.999999999999915</v>
      </c>
      <c r="L177" s="7">
        <f t="shared" si="87"/>
        <v>1.6666666666666607E-2</v>
      </c>
      <c r="M177" s="22">
        <f t="shared" si="88"/>
        <v>1.6666666666666607E-2</v>
      </c>
      <c r="N177" s="426">
        <v>2301.6999999999998</v>
      </c>
      <c r="O177" s="417"/>
      <c r="P177" s="440"/>
      <c r="Q177" s="453">
        <f t="shared" si="89"/>
        <v>2.0138888888888831E-2</v>
      </c>
    </row>
    <row r="178" spans="1:17" ht="13.15" x14ac:dyDescent="0.35">
      <c r="A178" s="34">
        <v>43198</v>
      </c>
      <c r="C178" s="40">
        <v>9</v>
      </c>
      <c r="D178" s="7">
        <v>0.4826388888888889</v>
      </c>
      <c r="E178" s="7">
        <v>0.55833333333333335</v>
      </c>
      <c r="G178" s="2">
        <v>1</v>
      </c>
      <c r="I178" s="432">
        <v>1</v>
      </c>
      <c r="J178" s="74">
        <f t="shared" si="85"/>
        <v>1</v>
      </c>
      <c r="K178" s="75">
        <f t="shared" si="86"/>
        <v>49.000000000000014</v>
      </c>
      <c r="L178" s="7">
        <f t="shared" si="87"/>
        <v>7.5694444444444453E-2</v>
      </c>
      <c r="M178" s="22">
        <f t="shared" si="88"/>
        <v>7.5694444444444453E-2</v>
      </c>
      <c r="N178" s="426">
        <v>2303.5</v>
      </c>
      <c r="O178" s="417"/>
      <c r="P178" s="440"/>
      <c r="Q178" s="453">
        <f t="shared" si="89"/>
        <v>7.9166666666666677E-2</v>
      </c>
    </row>
    <row r="179" spans="1:17" ht="13.15" x14ac:dyDescent="0.35">
      <c r="A179" s="34">
        <v>43200</v>
      </c>
      <c r="C179" s="40">
        <v>0</v>
      </c>
      <c r="D179" s="7">
        <v>0.66249999999999998</v>
      </c>
      <c r="E179" s="7">
        <v>0.68680555555555556</v>
      </c>
      <c r="G179" s="2">
        <v>0</v>
      </c>
      <c r="H179" s="3" t="s">
        <v>163</v>
      </c>
      <c r="I179" s="432">
        <v>1</v>
      </c>
      <c r="J179" s="74">
        <f t="shared" si="85"/>
        <v>0</v>
      </c>
      <c r="K179" s="75">
        <f t="shared" si="86"/>
        <v>35.000000000000036</v>
      </c>
      <c r="L179" s="7">
        <f t="shared" si="87"/>
        <v>2.430555555555558E-2</v>
      </c>
      <c r="M179" s="22">
        <f t="shared" si="88"/>
        <v>2.430555555555558E-2</v>
      </c>
      <c r="N179" s="426">
        <v>2304.1999999999998</v>
      </c>
      <c r="O179" s="417"/>
      <c r="P179" s="450" t="s">
        <v>177</v>
      </c>
      <c r="Q179" s="453">
        <f t="shared" si="89"/>
        <v>2.7777777777777804E-2</v>
      </c>
    </row>
    <row r="180" spans="1:17" ht="13.5" thickBot="1" x14ac:dyDescent="0.4">
      <c r="A180" s="38">
        <v>43202</v>
      </c>
      <c r="B180" s="24"/>
      <c r="C180" s="41">
        <v>0</v>
      </c>
      <c r="D180" s="9">
        <v>0.52777777777777779</v>
      </c>
      <c r="E180" s="9">
        <v>0.54513888888888895</v>
      </c>
      <c r="F180" s="304"/>
      <c r="G180" s="269">
        <v>0</v>
      </c>
      <c r="H180" s="28" t="s">
        <v>163</v>
      </c>
      <c r="I180" s="433">
        <v>1</v>
      </c>
      <c r="J180" s="76">
        <f t="shared" si="85"/>
        <v>0</v>
      </c>
      <c r="K180" s="77">
        <f t="shared" si="86"/>
        <v>25.000000000000071</v>
      </c>
      <c r="L180" s="9">
        <f t="shared" si="87"/>
        <v>1.736111111111116E-2</v>
      </c>
      <c r="M180" s="26">
        <f t="shared" si="88"/>
        <v>1.736111111111116E-2</v>
      </c>
      <c r="N180" s="427">
        <v>2304.6</v>
      </c>
      <c r="O180" s="419"/>
      <c r="P180" s="449" t="s">
        <v>177</v>
      </c>
      <c r="Q180" s="489">
        <f t="shared" si="89"/>
        <v>2.0833333333333384E-2</v>
      </c>
    </row>
    <row r="181" spans="1:17" ht="13.5" hidden="1" thickBot="1" x14ac:dyDescent="0.45">
      <c r="A181" s="409"/>
      <c r="B181" s="6"/>
      <c r="C181" s="42"/>
      <c r="D181" s="6"/>
      <c r="E181" s="6"/>
      <c r="F181" s="305"/>
      <c r="G181" s="266"/>
      <c r="H181" s="12"/>
      <c r="I181" s="434"/>
      <c r="J181" s="79">
        <f>SUM(J173:J180)</f>
        <v>8677</v>
      </c>
      <c r="K181" s="80">
        <f>SUM(K173:K180)</f>
        <v>244.00000000000006</v>
      </c>
      <c r="L181" s="10">
        <f>SUM(L174:L180)</f>
        <v>0.29097222222222224</v>
      </c>
      <c r="M181" s="10"/>
      <c r="N181" s="424">
        <f>MAX(N174:N180)</f>
        <v>2304.6</v>
      </c>
      <c r="O181" s="425">
        <f>MAX(O174:O180)</f>
        <v>0</v>
      </c>
      <c r="P181" s="442"/>
      <c r="Q181" s="454">
        <f>IF(L181=0,0,$Q$2+L181)</f>
        <v>0.29444444444444445</v>
      </c>
    </row>
    <row r="182" spans="1:17" ht="13.5" thickBot="1" x14ac:dyDescent="0.45">
      <c r="A182" s="410" t="s">
        <v>16</v>
      </c>
      <c r="B182" s="89"/>
      <c r="C182" s="90"/>
      <c r="D182" s="89"/>
      <c r="E182" s="89"/>
      <c r="F182" s="306"/>
      <c r="G182" s="81"/>
      <c r="H182" s="92"/>
      <c r="I182" s="435">
        <f>SUM(I173:I180)</f>
        <v>12948</v>
      </c>
      <c r="J182" s="81">
        <f>ROUNDDOWN(K181/60,0)+J181</f>
        <v>8681</v>
      </c>
      <c r="K182" s="82">
        <f>ROUND(K181-(ROUNDDOWN(K181/60,0)*60),0)</f>
        <v>4</v>
      </c>
      <c r="L182" s="271">
        <f>L181</f>
        <v>0.29097222222222224</v>
      </c>
      <c r="M182" s="93"/>
      <c r="N182" s="422">
        <f>N181-N172</f>
        <v>7.1999999999998181</v>
      </c>
      <c r="O182" s="423" t="str">
        <f>IF(OR(O173="N/A",O173="N / A", O173="N/ A",O173="N /A"),"N / A", O181-O172)</f>
        <v>N / A</v>
      </c>
      <c r="P182" s="443"/>
      <c r="Q182" s="454">
        <f>SUM(Q174:Q180)</f>
        <v>0.31527777777777777</v>
      </c>
    </row>
    <row r="183" spans="1:17" ht="13.15" x14ac:dyDescent="0.35">
      <c r="A183" s="34">
        <v>43203</v>
      </c>
      <c r="C183" s="40">
        <v>0</v>
      </c>
      <c r="D183" s="7">
        <v>0.72430555555555554</v>
      </c>
      <c r="E183" s="7">
        <v>0.74583333333333324</v>
      </c>
      <c r="G183" s="2">
        <v>1</v>
      </c>
      <c r="I183" s="432">
        <v>1</v>
      </c>
      <c r="J183" s="74">
        <f t="shared" ref="J183:J189" si="90">ROUNDDOWN(M183*24,0)</f>
        <v>0</v>
      </c>
      <c r="K183" s="75">
        <f t="shared" ref="K183:K189" si="91">(M183*24-J183)*60</f>
        <v>30.99999999999989</v>
      </c>
      <c r="L183" s="7">
        <f t="shared" ref="L183:L189" si="92">E183-D183</f>
        <v>2.1527777777777701E-2</v>
      </c>
      <c r="M183" s="22">
        <f t="shared" ref="M183:M189" si="93">L183</f>
        <v>2.1527777777777701E-2</v>
      </c>
      <c r="N183" s="426">
        <v>2305.1999999999998</v>
      </c>
      <c r="O183" s="417"/>
      <c r="P183" s="445" t="s">
        <v>177</v>
      </c>
      <c r="Q183" s="453">
        <f t="shared" ref="Q183:Q190" si="94">IF(L183=0,0,$Q$2+L183)</f>
        <v>2.4999999999999925E-2</v>
      </c>
    </row>
    <row r="184" spans="1:17" ht="13.15" x14ac:dyDescent="0.35">
      <c r="A184" s="34">
        <v>43204</v>
      </c>
      <c r="C184" s="40">
        <v>18</v>
      </c>
      <c r="D184" s="7">
        <v>0.40486111111111112</v>
      </c>
      <c r="E184" s="7">
        <v>0.43124999999999997</v>
      </c>
      <c r="G184" s="2">
        <v>0</v>
      </c>
      <c r="H184" s="3" t="s">
        <v>110</v>
      </c>
      <c r="I184" s="432">
        <v>1</v>
      </c>
      <c r="J184" s="74">
        <f t="shared" si="90"/>
        <v>0</v>
      </c>
      <c r="K184" s="75">
        <f t="shared" si="91"/>
        <v>37.999999999999943</v>
      </c>
      <c r="L184" s="7">
        <f t="shared" si="92"/>
        <v>2.6388888888888851E-2</v>
      </c>
      <c r="M184" s="22">
        <f t="shared" si="93"/>
        <v>2.6388888888888851E-2</v>
      </c>
      <c r="N184" s="426">
        <v>2305.8000000000002</v>
      </c>
      <c r="O184" s="417"/>
      <c r="P184" s="440"/>
      <c r="Q184" s="453">
        <f>L184</f>
        <v>2.6388888888888851E-2</v>
      </c>
    </row>
    <row r="185" spans="1:17" ht="13.15" x14ac:dyDescent="0.35">
      <c r="A185" s="34">
        <v>43204</v>
      </c>
      <c r="C185" s="40">
        <v>18</v>
      </c>
      <c r="D185" s="7">
        <v>0.43124999999999997</v>
      </c>
      <c r="E185" s="7">
        <v>0.43541666666666662</v>
      </c>
      <c r="G185" s="2">
        <v>0</v>
      </c>
      <c r="H185" s="3" t="s">
        <v>110</v>
      </c>
      <c r="I185" s="432">
        <v>1</v>
      </c>
      <c r="J185" s="74">
        <f t="shared" si="90"/>
        <v>0</v>
      </c>
      <c r="K185" s="75">
        <f t="shared" si="91"/>
        <v>5.9999999999999787</v>
      </c>
      <c r="L185" s="7">
        <f t="shared" si="92"/>
        <v>4.1666666666666519E-3</v>
      </c>
      <c r="M185" s="22">
        <f t="shared" si="93"/>
        <v>4.1666666666666519E-3</v>
      </c>
      <c r="N185" s="426">
        <v>2305.9</v>
      </c>
      <c r="O185" s="417"/>
      <c r="P185" s="440"/>
      <c r="Q185" s="453">
        <f>L185</f>
        <v>4.1666666666666519E-3</v>
      </c>
    </row>
    <row r="186" spans="1:17" ht="13.15" x14ac:dyDescent="0.35">
      <c r="A186" s="34">
        <v>43204</v>
      </c>
      <c r="C186" s="40">
        <v>18</v>
      </c>
      <c r="D186" s="7">
        <v>0.43541666666666662</v>
      </c>
      <c r="E186" s="7">
        <v>0.44444444444444442</v>
      </c>
      <c r="G186" s="2">
        <v>1</v>
      </c>
      <c r="I186" s="432">
        <v>1</v>
      </c>
      <c r="J186" s="74">
        <f t="shared" si="90"/>
        <v>0</v>
      </c>
      <c r="K186" s="75">
        <f t="shared" si="91"/>
        <v>13.000000000000034</v>
      </c>
      <c r="L186" s="7">
        <f t="shared" si="92"/>
        <v>9.0277777777778012E-3</v>
      </c>
      <c r="M186" s="22">
        <f t="shared" si="93"/>
        <v>9.0277777777778012E-3</v>
      </c>
      <c r="N186" s="426">
        <v>2306.1</v>
      </c>
      <c r="O186" s="417"/>
      <c r="P186" s="440"/>
      <c r="Q186" s="453">
        <f t="shared" si="94"/>
        <v>1.2500000000000023E-2</v>
      </c>
    </row>
    <row r="187" spans="1:17" ht="13.15" x14ac:dyDescent="0.35">
      <c r="A187" s="34">
        <v>43204</v>
      </c>
      <c r="C187" s="40">
        <v>18</v>
      </c>
      <c r="D187" s="7">
        <v>0.47291666666666665</v>
      </c>
      <c r="E187" s="7">
        <v>0.49374999999999997</v>
      </c>
      <c r="G187" s="2">
        <v>1</v>
      </c>
      <c r="I187" s="432">
        <v>1</v>
      </c>
      <c r="J187" s="74">
        <f t="shared" si="90"/>
        <v>0</v>
      </c>
      <c r="K187" s="75">
        <f t="shared" si="91"/>
        <v>29.999999999999972</v>
      </c>
      <c r="L187" s="7">
        <f t="shared" si="92"/>
        <v>2.0833333333333315E-2</v>
      </c>
      <c r="M187" s="22">
        <f t="shared" si="93"/>
        <v>2.0833333333333315E-2</v>
      </c>
      <c r="N187" s="426">
        <v>2306.6</v>
      </c>
      <c r="O187" s="417"/>
      <c r="P187" s="440"/>
      <c r="Q187" s="453">
        <f t="shared" si="94"/>
        <v>2.4305555555555539E-2</v>
      </c>
    </row>
    <row r="188" spans="1:17" ht="13.15" x14ac:dyDescent="0.35">
      <c r="A188" s="34">
        <v>43208</v>
      </c>
      <c r="C188" s="40">
        <v>16</v>
      </c>
      <c r="D188" s="7">
        <v>0.55486111111111114</v>
      </c>
      <c r="E188" s="7">
        <v>0.60138888888888886</v>
      </c>
      <c r="G188" s="2">
        <v>0</v>
      </c>
      <c r="H188" s="3" t="s">
        <v>205</v>
      </c>
      <c r="I188" s="432">
        <v>1</v>
      </c>
      <c r="J188" s="74">
        <f t="shared" si="90"/>
        <v>1</v>
      </c>
      <c r="K188" s="75">
        <f t="shared" si="91"/>
        <v>6.9999999999999218</v>
      </c>
      <c r="L188" s="7">
        <f t="shared" si="92"/>
        <v>4.6527777777777724E-2</v>
      </c>
      <c r="M188" s="22">
        <f t="shared" si="93"/>
        <v>4.6527777777777724E-2</v>
      </c>
      <c r="N188" s="426">
        <v>2307.6999999999998</v>
      </c>
      <c r="O188" s="417"/>
      <c r="P188" s="440"/>
      <c r="Q188" s="453">
        <f t="shared" si="94"/>
        <v>4.9999999999999947E-2</v>
      </c>
    </row>
    <row r="189" spans="1:17" ht="13.5" thickBot="1" x14ac:dyDescent="0.4">
      <c r="A189" s="38">
        <v>43209</v>
      </c>
      <c r="B189" s="24"/>
      <c r="C189" s="41">
        <v>16</v>
      </c>
      <c r="D189" s="9">
        <v>0.62777777777777777</v>
      </c>
      <c r="E189" s="9">
        <v>0.66875000000000007</v>
      </c>
      <c r="F189" s="304"/>
      <c r="G189" s="269">
        <v>1</v>
      </c>
      <c r="H189" s="28"/>
      <c r="I189" s="433">
        <v>1</v>
      </c>
      <c r="J189" s="76">
        <f t="shared" si="90"/>
        <v>0</v>
      </c>
      <c r="K189" s="77">
        <f t="shared" si="91"/>
        <v>59.000000000000114</v>
      </c>
      <c r="L189" s="9">
        <f t="shared" si="92"/>
        <v>4.0972222222222299E-2</v>
      </c>
      <c r="M189" s="26">
        <f t="shared" si="93"/>
        <v>4.0972222222222299E-2</v>
      </c>
      <c r="N189" s="427">
        <v>2308.6999999999998</v>
      </c>
      <c r="O189" s="419"/>
      <c r="Q189" s="453">
        <f t="shared" si="94"/>
        <v>4.4444444444444522E-2</v>
      </c>
    </row>
    <row r="190" spans="1:17" ht="13.5" hidden="1" thickBot="1" x14ac:dyDescent="0.45">
      <c r="A190" s="409"/>
      <c r="B190" s="6"/>
      <c r="C190" s="42"/>
      <c r="D190" s="6"/>
      <c r="E190" s="6"/>
      <c r="F190" s="305"/>
      <c r="G190" s="266"/>
      <c r="H190" s="12"/>
      <c r="I190" s="434"/>
      <c r="J190" s="79">
        <f>SUM(J182:J189)</f>
        <v>8682</v>
      </c>
      <c r="K190" s="80">
        <f>SUM(K182:K189)</f>
        <v>187.99999999999983</v>
      </c>
      <c r="L190" s="10">
        <f>SUM(L183:L189)</f>
        <v>0.16944444444444434</v>
      </c>
      <c r="M190" s="10"/>
      <c r="N190" s="424">
        <f>MAX(N183:N189)</f>
        <v>2308.6999999999998</v>
      </c>
      <c r="O190" s="425">
        <f>MAX(O183:O189)</f>
        <v>0</v>
      </c>
      <c r="P190" s="442"/>
      <c r="Q190" s="454">
        <f t="shared" si="94"/>
        <v>0.17291666666666655</v>
      </c>
    </row>
    <row r="191" spans="1:17" ht="13.5" thickBot="1" x14ac:dyDescent="0.45">
      <c r="A191" s="410" t="s">
        <v>16</v>
      </c>
      <c r="B191" s="89"/>
      <c r="C191" s="90"/>
      <c r="D191" s="89"/>
      <c r="E191" s="89"/>
      <c r="F191" s="306"/>
      <c r="G191" s="81"/>
      <c r="H191" s="92"/>
      <c r="I191" s="435">
        <f>SUM(I182:I189)</f>
        <v>12955</v>
      </c>
      <c r="J191" s="81">
        <f>ROUNDDOWN(K190/60,0)+J190</f>
        <v>8685</v>
      </c>
      <c r="K191" s="82">
        <f>ROUND(K190-(ROUNDDOWN(K190/60,0)*60),0)</f>
        <v>8</v>
      </c>
      <c r="L191" s="271">
        <f>L190</f>
        <v>0.16944444444444434</v>
      </c>
      <c r="M191" s="93"/>
      <c r="N191" s="422">
        <f>N190-N181</f>
        <v>4.0999999999999091</v>
      </c>
      <c r="O191" s="423" t="str">
        <f>IF(OR(O182="N/A",O182="N / A", O182="N/ A",O182="N /A"),"N / A", O190-O181)</f>
        <v>N / A</v>
      </c>
      <c r="P191" s="443"/>
      <c r="Q191" s="454">
        <f>SUM(Q183:Q189)</f>
        <v>0.18680555555555545</v>
      </c>
    </row>
    <row r="192" spans="1:17" ht="13.15" x14ac:dyDescent="0.35">
      <c r="A192" s="34">
        <v>43209</v>
      </c>
      <c r="C192" s="40">
        <v>16</v>
      </c>
      <c r="D192" s="7">
        <v>0.62638888888888888</v>
      </c>
      <c r="E192" s="7">
        <v>0.6645833333333333</v>
      </c>
      <c r="G192" s="2">
        <v>2</v>
      </c>
      <c r="H192" s="3" t="s">
        <v>166</v>
      </c>
      <c r="I192" s="432">
        <v>3</v>
      </c>
      <c r="J192" s="74">
        <f t="shared" ref="J192:J198" si="95">ROUNDDOWN(M192*24,0)</f>
        <v>0</v>
      </c>
      <c r="K192" s="75">
        <f t="shared" ref="K192:K198" si="96">(M192*24-J192)*60</f>
        <v>54.999999999999964</v>
      </c>
      <c r="L192" s="7">
        <f t="shared" ref="L192:L198" si="97">E192-D192</f>
        <v>3.819444444444442E-2</v>
      </c>
      <c r="M192" s="22">
        <f t="shared" ref="M192:M198" si="98">L192</f>
        <v>3.819444444444442E-2</v>
      </c>
      <c r="N192" s="426">
        <v>2309.6</v>
      </c>
      <c r="O192" s="417"/>
      <c r="P192" s="440"/>
      <c r="Q192" s="453">
        <f t="shared" ref="Q192:Q198" si="99">IF(L192=0,0,$Q$2+L192)</f>
        <v>4.1666666666666644E-2</v>
      </c>
    </row>
    <row r="193" spans="1:17" ht="13.15" x14ac:dyDescent="0.35">
      <c r="A193" s="34">
        <v>43209</v>
      </c>
      <c r="C193" s="40">
        <v>16</v>
      </c>
      <c r="D193" s="7">
        <v>0.70000000000000007</v>
      </c>
      <c r="E193" s="7">
        <v>0.72430555555555554</v>
      </c>
      <c r="G193" s="2">
        <v>1</v>
      </c>
      <c r="I193" s="432">
        <v>1</v>
      </c>
      <c r="J193" s="74">
        <f t="shared" si="95"/>
        <v>0</v>
      </c>
      <c r="K193" s="75">
        <f t="shared" si="96"/>
        <v>34.999999999999872</v>
      </c>
      <c r="L193" s="7">
        <f t="shared" si="97"/>
        <v>2.4305555555555469E-2</v>
      </c>
      <c r="M193" s="22">
        <f t="shared" si="98"/>
        <v>2.4305555555555469E-2</v>
      </c>
      <c r="N193" s="426">
        <v>2310.1999999999998</v>
      </c>
      <c r="O193" s="417"/>
      <c r="P193" s="440"/>
      <c r="Q193" s="453">
        <f t="shared" si="99"/>
        <v>2.7777777777777693E-2</v>
      </c>
    </row>
    <row r="194" spans="1:17" ht="13.15" x14ac:dyDescent="0.35">
      <c r="A194" s="34">
        <v>43210</v>
      </c>
      <c r="C194" s="40">
        <v>26</v>
      </c>
      <c r="D194" s="7">
        <v>0.66041666666666665</v>
      </c>
      <c r="E194" s="7">
        <v>0.7104166666666667</v>
      </c>
      <c r="G194" s="2">
        <v>1</v>
      </c>
      <c r="I194" s="432">
        <v>1</v>
      </c>
      <c r="J194" s="74">
        <f t="shared" si="95"/>
        <v>1</v>
      </c>
      <c r="K194" s="75">
        <f t="shared" si="96"/>
        <v>12.000000000000064</v>
      </c>
      <c r="L194" s="7">
        <f t="shared" si="97"/>
        <v>5.0000000000000044E-2</v>
      </c>
      <c r="M194" s="22">
        <f t="shared" si="98"/>
        <v>5.0000000000000044E-2</v>
      </c>
      <c r="N194" s="426">
        <v>2311.5</v>
      </c>
      <c r="O194" s="417"/>
      <c r="P194" s="440"/>
      <c r="Q194" s="453">
        <f t="shared" si="99"/>
        <v>5.3472222222222268E-2</v>
      </c>
    </row>
    <row r="195" spans="1:17" ht="13.15" x14ac:dyDescent="0.35">
      <c r="A195" s="34">
        <v>43211</v>
      </c>
      <c r="C195" s="40">
        <v>2</v>
      </c>
      <c r="D195" s="154">
        <v>0.24236111111111111</v>
      </c>
      <c r="E195" s="7">
        <v>0.29652777777777778</v>
      </c>
      <c r="G195" s="2">
        <v>0</v>
      </c>
      <c r="H195" s="3" t="s">
        <v>172</v>
      </c>
      <c r="I195" s="432">
        <v>1</v>
      </c>
      <c r="J195" s="74">
        <f t="shared" si="95"/>
        <v>1</v>
      </c>
      <c r="K195" s="75">
        <f t="shared" si="96"/>
        <v>18.000000000000004</v>
      </c>
      <c r="L195" s="7">
        <f t="shared" si="97"/>
        <v>5.4166666666666669E-2</v>
      </c>
      <c r="M195" s="22">
        <f t="shared" si="98"/>
        <v>5.4166666666666669E-2</v>
      </c>
      <c r="N195" s="426">
        <v>2312.1</v>
      </c>
      <c r="O195" s="417"/>
      <c r="P195" s="445" t="s">
        <v>207</v>
      </c>
      <c r="Q195" s="453">
        <f t="shared" si="99"/>
        <v>5.7638888888888892E-2</v>
      </c>
    </row>
    <row r="196" spans="1:17" ht="13.15" x14ac:dyDescent="0.35">
      <c r="A196" s="34">
        <v>43211</v>
      </c>
      <c r="C196" s="40">
        <v>2</v>
      </c>
      <c r="D196" s="7">
        <v>0.30277777777777776</v>
      </c>
      <c r="E196" s="7">
        <v>0.33958333333333335</v>
      </c>
      <c r="G196" s="2">
        <v>0</v>
      </c>
      <c r="H196" s="3" t="s">
        <v>173</v>
      </c>
      <c r="I196" s="432">
        <v>1</v>
      </c>
      <c r="J196" s="74">
        <f t="shared" si="95"/>
        <v>0</v>
      </c>
      <c r="K196" s="75">
        <f t="shared" si="96"/>
        <v>53.00000000000005</v>
      </c>
      <c r="L196" s="7">
        <f t="shared" si="97"/>
        <v>3.6805555555555591E-2</v>
      </c>
      <c r="M196" s="22">
        <f t="shared" si="98"/>
        <v>3.6805555555555591E-2</v>
      </c>
      <c r="N196" s="426">
        <v>2313.1</v>
      </c>
      <c r="O196" s="417"/>
      <c r="P196" s="440"/>
      <c r="Q196" s="453">
        <f t="shared" si="99"/>
        <v>4.0277777777777815E-2</v>
      </c>
    </row>
    <row r="197" spans="1:17" ht="13.15" x14ac:dyDescent="0.35">
      <c r="A197" s="34">
        <v>43211</v>
      </c>
      <c r="C197" s="40">
        <v>2</v>
      </c>
      <c r="D197" s="7">
        <v>0.58750000000000002</v>
      </c>
      <c r="E197" s="7">
        <v>0.61111111111111105</v>
      </c>
      <c r="G197" s="2">
        <v>0</v>
      </c>
      <c r="H197" s="3" t="s">
        <v>172</v>
      </c>
      <c r="I197" s="432">
        <v>1</v>
      </c>
      <c r="J197" s="74">
        <f t="shared" si="95"/>
        <v>0</v>
      </c>
      <c r="K197" s="75">
        <f t="shared" si="96"/>
        <v>33.999999999999879</v>
      </c>
      <c r="L197" s="7">
        <f t="shared" si="97"/>
        <v>2.3611111111111027E-2</v>
      </c>
      <c r="M197" s="22">
        <f t="shared" si="98"/>
        <v>2.3611111111111027E-2</v>
      </c>
      <c r="N197" s="426">
        <v>2314.4</v>
      </c>
      <c r="O197" s="417"/>
      <c r="P197" s="440"/>
      <c r="Q197" s="453">
        <f t="shared" si="99"/>
        <v>2.7083333333333251E-2</v>
      </c>
    </row>
    <row r="198" spans="1:17" ht="13.5" thickBot="1" x14ac:dyDescent="0.4">
      <c r="A198" s="38">
        <v>43211</v>
      </c>
      <c r="B198" s="24"/>
      <c r="C198" s="41">
        <v>2</v>
      </c>
      <c r="D198" s="9">
        <v>0.67986111111111114</v>
      </c>
      <c r="E198" s="9">
        <v>0.72430555555555554</v>
      </c>
      <c r="F198" s="304"/>
      <c r="G198" s="269">
        <v>1</v>
      </c>
      <c r="H198" s="28"/>
      <c r="I198" s="433">
        <v>1</v>
      </c>
      <c r="J198" s="76">
        <f t="shared" si="95"/>
        <v>1</v>
      </c>
      <c r="K198" s="77">
        <f t="shared" si="96"/>
        <v>3.9999999999999325</v>
      </c>
      <c r="L198" s="9">
        <f t="shared" si="97"/>
        <v>4.4444444444444398E-2</v>
      </c>
      <c r="M198" s="26">
        <f t="shared" si="98"/>
        <v>4.4444444444444398E-2</v>
      </c>
      <c r="N198" s="427">
        <v>2315.1</v>
      </c>
      <c r="O198" s="419"/>
      <c r="P198" s="441"/>
      <c r="Q198" s="453">
        <f t="shared" si="99"/>
        <v>4.7916666666666621E-2</v>
      </c>
    </row>
    <row r="199" spans="1:17" ht="13.5" hidden="1" thickBot="1" x14ac:dyDescent="0.45">
      <c r="A199" s="409"/>
      <c r="B199" s="6"/>
      <c r="C199" s="42"/>
      <c r="D199" s="6"/>
      <c r="E199" s="6"/>
      <c r="F199" s="305"/>
      <c r="G199" s="266"/>
      <c r="H199" s="12"/>
      <c r="I199" s="434"/>
      <c r="J199" s="79">
        <f>SUM(J191:J198)</f>
        <v>8688</v>
      </c>
      <c r="K199" s="80">
        <f>SUM(K191:K198)</f>
        <v>218.99999999999977</v>
      </c>
      <c r="L199" s="10">
        <f>SUM(L192:L198)</f>
        <v>0.27152777777777759</v>
      </c>
      <c r="M199" s="10"/>
      <c r="N199" s="424">
        <f>MAX(N192:N198)</f>
        <v>2315.1</v>
      </c>
      <c r="O199" s="425">
        <f>MAX(O192:O198)</f>
        <v>0</v>
      </c>
      <c r="P199" s="442"/>
      <c r="Q199" s="454">
        <f>IF(L199=0,0,$Q$2+L199)</f>
        <v>0.2749999999999998</v>
      </c>
    </row>
    <row r="200" spans="1:17" ht="13.5" thickBot="1" x14ac:dyDescent="0.45">
      <c r="A200" s="410" t="s">
        <v>16</v>
      </c>
      <c r="B200" s="89"/>
      <c r="C200" s="90"/>
      <c r="D200" s="89"/>
      <c r="E200" s="89"/>
      <c r="F200" s="306"/>
      <c r="G200" s="81"/>
      <c r="H200" s="92"/>
      <c r="I200" s="435">
        <f>SUM(I191:I198)</f>
        <v>12964</v>
      </c>
      <c r="J200" s="81">
        <f>ROUNDDOWN(K199/60,0)+J199</f>
        <v>8691</v>
      </c>
      <c r="K200" s="82">
        <f>ROUND(K199-(ROUNDDOWN(K199/60,0)*60),0)</f>
        <v>39</v>
      </c>
      <c r="L200" s="271">
        <f>L199</f>
        <v>0.27152777777777759</v>
      </c>
      <c r="M200" s="93"/>
      <c r="N200" s="422">
        <f>N199-N190</f>
        <v>6.4000000000000909</v>
      </c>
      <c r="O200" s="423" t="str">
        <f>IF(OR(O191="N/A",O191="N / A", O191="N/ A",O191="N /A"),"N / A", O199-O190)</f>
        <v>N / A</v>
      </c>
      <c r="P200" s="443"/>
      <c r="Q200" s="454">
        <f>SUM(Q192:Q198)</f>
        <v>0.29583333333333317</v>
      </c>
    </row>
    <row r="201" spans="1:17" ht="13.15" x14ac:dyDescent="0.35">
      <c r="A201" s="34">
        <v>43217</v>
      </c>
      <c r="C201" s="40">
        <v>2</v>
      </c>
      <c r="D201" s="7">
        <v>0.62569444444444444</v>
      </c>
      <c r="E201" s="7">
        <v>0.67291666666666661</v>
      </c>
      <c r="G201" s="2">
        <v>0</v>
      </c>
      <c r="H201" s="3" t="s">
        <v>206</v>
      </c>
      <c r="I201" s="432">
        <v>1</v>
      </c>
      <c r="J201" s="74">
        <f t="shared" ref="J201:J207" si="100">ROUNDDOWN(M201*24,0)</f>
        <v>1</v>
      </c>
      <c r="K201" s="75">
        <f t="shared" ref="K201:K207" si="101">(M201*24-J201)*60</f>
        <v>7.9999999999999183</v>
      </c>
      <c r="L201" s="7">
        <f t="shared" ref="L201:L207" si="102">E201-D201</f>
        <v>4.7222222222222165E-2</v>
      </c>
      <c r="M201" s="22">
        <f t="shared" ref="M201:M207" si="103">L201</f>
        <v>4.7222222222222165E-2</v>
      </c>
      <c r="N201" s="426">
        <v>2316.3000000000002</v>
      </c>
      <c r="O201" s="417"/>
      <c r="P201" s="440"/>
      <c r="Q201" s="453">
        <f t="shared" ref="Q201:Q208" si="104">IF(L201=0,0,$Q$2+L201)</f>
        <v>5.0694444444444389E-2</v>
      </c>
    </row>
    <row r="202" spans="1:17" ht="13.15" x14ac:dyDescent="0.35">
      <c r="A202" s="34">
        <v>43219</v>
      </c>
      <c r="C202" s="40">
        <v>2</v>
      </c>
      <c r="D202" s="7">
        <v>0.3666666666666667</v>
      </c>
      <c r="E202" s="7">
        <v>0.42638888888888887</v>
      </c>
      <c r="G202" s="2">
        <v>1</v>
      </c>
      <c r="I202" s="432">
        <v>1</v>
      </c>
      <c r="J202" s="74">
        <f t="shared" si="100"/>
        <v>1</v>
      </c>
      <c r="K202" s="407">
        <f t="shared" si="101"/>
        <v>25.999999999999936</v>
      </c>
      <c r="L202" s="7">
        <f t="shared" si="102"/>
        <v>5.9722222222222177E-2</v>
      </c>
      <c r="M202" s="22">
        <f t="shared" si="103"/>
        <v>5.9722222222222177E-2</v>
      </c>
      <c r="N202" s="426">
        <v>2317.8000000000002</v>
      </c>
      <c r="O202" s="417"/>
      <c r="P202" s="445" t="s">
        <v>208</v>
      </c>
      <c r="Q202" s="453">
        <f t="shared" si="104"/>
        <v>6.31944444444444E-2</v>
      </c>
    </row>
    <row r="203" spans="1:17" ht="13.15" x14ac:dyDescent="0.35">
      <c r="A203" s="34">
        <v>43219</v>
      </c>
      <c r="C203" s="40">
        <v>21</v>
      </c>
      <c r="D203" s="7">
        <v>0.53194444444444444</v>
      </c>
      <c r="E203" s="7">
        <v>0.59583333333333333</v>
      </c>
      <c r="G203" s="2">
        <v>1</v>
      </c>
      <c r="I203" s="432">
        <v>1</v>
      </c>
      <c r="J203" s="74">
        <f t="shared" si="100"/>
        <v>1</v>
      </c>
      <c r="K203" s="75">
        <f t="shared" si="101"/>
        <v>31.999999999999993</v>
      </c>
      <c r="L203" s="7">
        <f t="shared" si="102"/>
        <v>6.3888888888888884E-2</v>
      </c>
      <c r="M203" s="22">
        <f t="shared" si="103"/>
        <v>6.3888888888888884E-2</v>
      </c>
      <c r="N203" s="426">
        <v>2319.3000000000002</v>
      </c>
      <c r="O203" s="417"/>
      <c r="P203" s="440"/>
      <c r="Q203" s="453">
        <f t="shared" si="104"/>
        <v>6.7361111111111108E-2</v>
      </c>
    </row>
    <row r="204" spans="1:17" ht="13.15" x14ac:dyDescent="0.35">
      <c r="A204" s="34">
        <v>43221</v>
      </c>
      <c r="C204" s="40">
        <v>26</v>
      </c>
      <c r="D204" s="7">
        <v>0.34166666666666662</v>
      </c>
      <c r="E204" s="7">
        <v>0.38055555555555554</v>
      </c>
      <c r="G204" s="2">
        <v>0</v>
      </c>
      <c r="H204" s="3" t="s">
        <v>104</v>
      </c>
      <c r="I204" s="432">
        <v>1</v>
      </c>
      <c r="J204" s="74">
        <f t="shared" si="100"/>
        <v>0</v>
      </c>
      <c r="K204" s="75">
        <f t="shared" si="101"/>
        <v>56.000000000000043</v>
      </c>
      <c r="L204" s="7">
        <f t="shared" si="102"/>
        <v>3.8888888888888917E-2</v>
      </c>
      <c r="M204" s="22">
        <f t="shared" si="103"/>
        <v>3.8888888888888917E-2</v>
      </c>
      <c r="N204" s="426">
        <v>2320.3000000000002</v>
      </c>
      <c r="O204" s="417"/>
      <c r="P204" s="440"/>
      <c r="Q204" s="453">
        <f t="shared" si="104"/>
        <v>4.2361111111111141E-2</v>
      </c>
    </row>
    <row r="205" spans="1:17" ht="13.15" x14ac:dyDescent="0.35">
      <c r="A205" s="34">
        <v>43221</v>
      </c>
      <c r="C205" s="40">
        <v>26</v>
      </c>
      <c r="D205" s="7">
        <v>0.40972222222222227</v>
      </c>
      <c r="E205" s="7">
        <v>0.44861111111111113</v>
      </c>
      <c r="G205" s="2">
        <v>0</v>
      </c>
      <c r="H205" s="3" t="s">
        <v>228</v>
      </c>
      <c r="I205" s="432">
        <v>1</v>
      </c>
      <c r="J205" s="74">
        <f t="shared" si="100"/>
        <v>0</v>
      </c>
      <c r="K205" s="75">
        <f t="shared" si="101"/>
        <v>55.999999999999957</v>
      </c>
      <c r="L205" s="7">
        <f t="shared" si="102"/>
        <v>3.8888888888888862E-2</v>
      </c>
      <c r="M205" s="22">
        <f t="shared" si="103"/>
        <v>3.8888888888888862E-2</v>
      </c>
      <c r="N205" s="426">
        <v>2321.1999999999998</v>
      </c>
      <c r="O205" s="417"/>
      <c r="P205" s="445" t="s">
        <v>229</v>
      </c>
      <c r="Q205" s="453">
        <f t="shared" si="104"/>
        <v>4.2361111111111086E-2</v>
      </c>
    </row>
    <row r="206" spans="1:17" ht="13.15" x14ac:dyDescent="0.35">
      <c r="A206" s="34">
        <v>43221</v>
      </c>
      <c r="C206" s="40">
        <v>26</v>
      </c>
      <c r="D206" s="7">
        <v>0.59930555555555554</v>
      </c>
      <c r="E206" s="7">
        <v>0.63263888888888886</v>
      </c>
      <c r="G206" s="2">
        <v>0</v>
      </c>
      <c r="H206" s="3" t="s">
        <v>104</v>
      </c>
      <c r="I206" s="432">
        <v>1</v>
      </c>
      <c r="J206" s="74">
        <f t="shared" si="100"/>
        <v>0</v>
      </c>
      <c r="K206" s="75">
        <f t="shared" si="101"/>
        <v>47.999999999999986</v>
      </c>
      <c r="L206" s="7">
        <f t="shared" si="102"/>
        <v>3.3333333333333326E-2</v>
      </c>
      <c r="M206" s="22">
        <f t="shared" si="103"/>
        <v>3.3333333333333326E-2</v>
      </c>
      <c r="N206" s="426">
        <v>2322</v>
      </c>
      <c r="O206" s="417"/>
      <c r="P206" s="440"/>
      <c r="Q206" s="453">
        <f t="shared" si="104"/>
        <v>3.680555555555555E-2</v>
      </c>
    </row>
    <row r="207" spans="1:17" ht="13.5" thickBot="1" x14ac:dyDescent="0.4">
      <c r="A207" s="38">
        <v>43221</v>
      </c>
      <c r="B207" s="24"/>
      <c r="C207" s="41">
        <v>26</v>
      </c>
      <c r="D207" s="9">
        <v>0.66249999999999998</v>
      </c>
      <c r="E207" s="9">
        <v>0.70277777777777783</v>
      </c>
      <c r="F207" s="304"/>
      <c r="G207" s="269">
        <v>1</v>
      </c>
      <c r="H207" s="28"/>
      <c r="I207" s="433">
        <v>1</v>
      </c>
      <c r="J207" s="76">
        <f t="shared" si="100"/>
        <v>0</v>
      </c>
      <c r="K207" s="77">
        <f t="shared" si="101"/>
        <v>58.000000000000114</v>
      </c>
      <c r="L207" s="9">
        <f t="shared" si="102"/>
        <v>4.0277777777777857E-2</v>
      </c>
      <c r="M207" s="26">
        <f t="shared" si="103"/>
        <v>4.0277777777777857E-2</v>
      </c>
      <c r="N207" s="427">
        <v>2322.9</v>
      </c>
      <c r="O207" s="419"/>
      <c r="P207" s="441"/>
      <c r="Q207" s="453">
        <f t="shared" si="104"/>
        <v>4.375000000000008E-2</v>
      </c>
    </row>
    <row r="208" spans="1:17" ht="13.5" hidden="1" thickBot="1" x14ac:dyDescent="0.45">
      <c r="A208" s="409"/>
      <c r="B208" s="6"/>
      <c r="C208" s="42"/>
      <c r="D208" s="6"/>
      <c r="E208" s="6"/>
      <c r="F208" s="305"/>
      <c r="G208" s="266"/>
      <c r="H208" s="12"/>
      <c r="I208" s="434"/>
      <c r="J208" s="79">
        <f>SUM(J200:J207)</f>
        <v>8694</v>
      </c>
      <c r="K208" s="80">
        <f>SUM(K200:K207)</f>
        <v>322.99999999999994</v>
      </c>
      <c r="L208" s="10">
        <f>SUM(L201:L207)</f>
        <v>0.32222222222222219</v>
      </c>
      <c r="M208" s="10"/>
      <c r="N208" s="424">
        <f>MAX(N201:N207)</f>
        <v>2322.9</v>
      </c>
      <c r="O208" s="425">
        <f>MAX(O201:O207)</f>
        <v>0</v>
      </c>
      <c r="P208" s="442"/>
      <c r="Q208" s="454">
        <f t="shared" si="104"/>
        <v>0.3256944444444444</v>
      </c>
    </row>
    <row r="209" spans="1:17" ht="13.5" thickBot="1" x14ac:dyDescent="0.45">
      <c r="A209" s="410" t="s">
        <v>16</v>
      </c>
      <c r="B209" s="89"/>
      <c r="C209" s="90"/>
      <c r="D209" s="89"/>
      <c r="E209" s="89"/>
      <c r="F209" s="306"/>
      <c r="G209" s="81"/>
      <c r="H209" s="92"/>
      <c r="I209" s="435">
        <f>SUM(I200:I207)</f>
        <v>12971</v>
      </c>
      <c r="J209" s="81">
        <f>ROUNDDOWN(K208/60,0)+J208</f>
        <v>8699</v>
      </c>
      <c r="K209" s="82">
        <f>ROUND(K208-(ROUNDDOWN(K208/60,0)*60),0)</f>
        <v>23</v>
      </c>
      <c r="L209" s="271">
        <f>L208</f>
        <v>0.32222222222222219</v>
      </c>
      <c r="M209" s="93"/>
      <c r="N209" s="422">
        <f>N208-N199</f>
        <v>7.8000000000001819</v>
      </c>
      <c r="O209" s="423" t="str">
        <f>IF(OR(O200="N/A",O200="N / A", O200="N/ A",O200="N /A"),"N / A", O208-O199)</f>
        <v>N / A</v>
      </c>
      <c r="P209" s="443"/>
      <c r="Q209" s="454">
        <f>SUM(Q201:Q207)</f>
        <v>0.34652777777777771</v>
      </c>
    </row>
    <row r="210" spans="1:17" ht="13.15" x14ac:dyDescent="0.35">
      <c r="A210" s="34">
        <v>43229</v>
      </c>
      <c r="C210" s="40">
        <v>15</v>
      </c>
      <c r="D210" s="7">
        <v>0.55069444444444449</v>
      </c>
      <c r="E210" s="7">
        <v>0.58750000000000002</v>
      </c>
      <c r="G210" s="2">
        <v>3</v>
      </c>
      <c r="I210" s="432">
        <v>3</v>
      </c>
      <c r="J210" s="74">
        <f t="shared" ref="J210:J216" si="105">ROUNDDOWN(M210*24,0)</f>
        <v>0</v>
      </c>
      <c r="K210" s="75">
        <f t="shared" ref="K210:K216" si="106">(M210*24-J210)*60</f>
        <v>52.999999999999972</v>
      </c>
      <c r="L210" s="7">
        <f t="shared" ref="L210:L216" si="107">E210-D210</f>
        <v>3.6805555555555536E-2</v>
      </c>
      <c r="M210" s="22">
        <f t="shared" ref="M210:M216" si="108">L210</f>
        <v>3.6805555555555536E-2</v>
      </c>
      <c r="N210" s="426">
        <v>2323.8000000000002</v>
      </c>
      <c r="O210" s="417"/>
      <c r="P210" s="440"/>
      <c r="Q210" s="453">
        <f t="shared" ref="Q210:Q217" si="109">IF(L210=0,0,$Q$2+L210)</f>
        <v>4.027777777777776E-2</v>
      </c>
    </row>
    <row r="211" spans="1:17" ht="13.15" x14ac:dyDescent="0.35">
      <c r="A211" s="34">
        <v>43230</v>
      </c>
      <c r="C211" s="40">
        <v>2</v>
      </c>
      <c r="D211" s="7">
        <v>0.5</v>
      </c>
      <c r="E211" s="7">
        <v>0.5</v>
      </c>
      <c r="G211" s="2">
        <v>0</v>
      </c>
      <c r="I211" s="432">
        <f>G211</f>
        <v>0</v>
      </c>
      <c r="J211" s="74">
        <f t="shared" si="105"/>
        <v>0</v>
      </c>
      <c r="K211" s="75">
        <f t="shared" si="106"/>
        <v>0</v>
      </c>
      <c r="L211" s="7">
        <f t="shared" si="107"/>
        <v>0</v>
      </c>
      <c r="M211" s="22">
        <f t="shared" si="108"/>
        <v>0</v>
      </c>
      <c r="N211" s="426">
        <f>N210</f>
        <v>2323.8000000000002</v>
      </c>
      <c r="O211" s="417"/>
      <c r="P211" s="440"/>
      <c r="Q211" s="454">
        <f t="shared" si="109"/>
        <v>0</v>
      </c>
    </row>
    <row r="212" spans="1:17" ht="13.15" x14ac:dyDescent="0.35">
      <c r="A212" s="34">
        <v>43230</v>
      </c>
      <c r="C212" s="40">
        <v>2</v>
      </c>
      <c r="D212" s="7">
        <v>0.3347222222222222</v>
      </c>
      <c r="E212" s="7">
        <v>0.43472222222222223</v>
      </c>
      <c r="G212" s="2">
        <v>0</v>
      </c>
      <c r="H212" s="3" t="s">
        <v>231</v>
      </c>
      <c r="I212" s="432">
        <v>1</v>
      </c>
      <c r="J212" s="74">
        <f t="shared" si="105"/>
        <v>2</v>
      </c>
      <c r="K212" s="75">
        <f t="shared" si="106"/>
        <v>24.00000000000005</v>
      </c>
      <c r="L212" s="7">
        <f t="shared" si="107"/>
        <v>0.10000000000000003</v>
      </c>
      <c r="M212" s="22">
        <f t="shared" si="108"/>
        <v>0.10000000000000003</v>
      </c>
      <c r="N212" s="426">
        <v>2327.5</v>
      </c>
      <c r="O212" s="417"/>
      <c r="P212" s="445" t="s">
        <v>241</v>
      </c>
      <c r="Q212" s="453">
        <f t="shared" si="109"/>
        <v>0.10347222222222226</v>
      </c>
    </row>
    <row r="213" spans="1:17" ht="13.15" x14ac:dyDescent="0.35">
      <c r="A213" s="34">
        <v>43230</v>
      </c>
      <c r="C213" s="40">
        <v>2</v>
      </c>
      <c r="D213" s="7">
        <v>0.52569444444444446</v>
      </c>
      <c r="E213" s="7">
        <v>0.67361111111111116</v>
      </c>
      <c r="G213" s="2">
        <v>0</v>
      </c>
      <c r="H213" s="3" t="s">
        <v>232</v>
      </c>
      <c r="I213" s="432">
        <v>1</v>
      </c>
      <c r="J213" s="74">
        <f t="shared" si="105"/>
        <v>3</v>
      </c>
      <c r="K213" s="75">
        <f t="shared" si="106"/>
        <v>33.000000000000043</v>
      </c>
      <c r="L213" s="7">
        <f t="shared" si="107"/>
        <v>0.1479166666666667</v>
      </c>
      <c r="M213" s="22">
        <f t="shared" si="108"/>
        <v>0.1479166666666667</v>
      </c>
      <c r="N213" s="426">
        <v>2331</v>
      </c>
      <c r="O213" s="417"/>
      <c r="P213" s="445" t="s">
        <v>240</v>
      </c>
      <c r="Q213" s="453">
        <f t="shared" si="109"/>
        <v>0.15138888888888891</v>
      </c>
    </row>
    <row r="214" spans="1:17" ht="13.15" x14ac:dyDescent="0.35">
      <c r="A214" s="34">
        <v>43232</v>
      </c>
      <c r="C214" s="40">
        <v>2</v>
      </c>
      <c r="D214" s="7">
        <v>0.49583333333333335</v>
      </c>
      <c r="E214" s="7">
        <v>0.59722222222222221</v>
      </c>
      <c r="G214" s="2">
        <v>0</v>
      </c>
      <c r="H214" s="3" t="s">
        <v>233</v>
      </c>
      <c r="I214" s="432">
        <v>1</v>
      </c>
      <c r="J214" s="74">
        <f t="shared" si="105"/>
        <v>2</v>
      </c>
      <c r="K214" s="75">
        <f t="shared" si="106"/>
        <v>25.999999999999961</v>
      </c>
      <c r="L214" s="7">
        <f t="shared" si="107"/>
        <v>0.10138888888888886</v>
      </c>
      <c r="M214" s="22">
        <f t="shared" si="108"/>
        <v>0.10138888888888886</v>
      </c>
      <c r="N214" s="426">
        <v>2333.4</v>
      </c>
      <c r="O214" s="417"/>
      <c r="P214" s="445" t="s">
        <v>238</v>
      </c>
      <c r="Q214" s="453">
        <f t="shared" si="109"/>
        <v>0.10486111111111109</v>
      </c>
    </row>
    <row r="215" spans="1:17" ht="13.15" x14ac:dyDescent="0.35">
      <c r="A215" s="34">
        <v>43232</v>
      </c>
      <c r="C215" s="40">
        <v>2</v>
      </c>
      <c r="D215" s="7">
        <v>0.63194444444444442</v>
      </c>
      <c r="E215" s="7">
        <v>0.71319444444444446</v>
      </c>
      <c r="G215" s="2">
        <v>0</v>
      </c>
      <c r="H215" s="3" t="s">
        <v>234</v>
      </c>
      <c r="I215" s="432">
        <v>1</v>
      </c>
      <c r="J215" s="74">
        <f t="shared" si="105"/>
        <v>1</v>
      </c>
      <c r="K215" s="75">
        <f t="shared" si="106"/>
        <v>57.000000000000064</v>
      </c>
      <c r="L215" s="7">
        <f t="shared" si="107"/>
        <v>8.1250000000000044E-2</v>
      </c>
      <c r="M215" s="22">
        <f t="shared" si="108"/>
        <v>8.1250000000000044E-2</v>
      </c>
      <c r="N215" s="426">
        <v>2335.4</v>
      </c>
      <c r="O215" s="417"/>
      <c r="P215" s="445" t="s">
        <v>239</v>
      </c>
      <c r="Q215" s="453">
        <f t="shared" si="109"/>
        <v>8.4722222222222268E-2</v>
      </c>
    </row>
    <row r="216" spans="1:17" ht="13.5" thickBot="1" x14ac:dyDescent="0.4">
      <c r="A216" s="38">
        <v>43233</v>
      </c>
      <c r="B216" s="24"/>
      <c r="C216" s="41">
        <v>2</v>
      </c>
      <c r="D216" s="9">
        <v>0.23055555555555554</v>
      </c>
      <c r="E216" s="9">
        <v>0.34722222222222227</v>
      </c>
      <c r="F216" s="304"/>
      <c r="G216" s="269">
        <v>0</v>
      </c>
      <c r="H216" s="28" t="s">
        <v>235</v>
      </c>
      <c r="I216" s="433">
        <v>1</v>
      </c>
      <c r="J216" s="76">
        <f t="shared" si="105"/>
        <v>2</v>
      </c>
      <c r="K216" s="77">
        <f t="shared" si="106"/>
        <v>48.000000000000099</v>
      </c>
      <c r="L216" s="9">
        <f t="shared" si="107"/>
        <v>0.11666666666666672</v>
      </c>
      <c r="M216" s="26">
        <f t="shared" si="108"/>
        <v>0.11666666666666672</v>
      </c>
      <c r="N216" s="427">
        <v>2338.1999999999998</v>
      </c>
      <c r="O216" s="419"/>
      <c r="P216" s="449" t="s">
        <v>242</v>
      </c>
      <c r="Q216" s="453">
        <f t="shared" si="109"/>
        <v>0.12013888888888895</v>
      </c>
    </row>
    <row r="217" spans="1:17" ht="13.5" hidden="1" thickBot="1" x14ac:dyDescent="0.45">
      <c r="A217" s="409"/>
      <c r="B217" s="6"/>
      <c r="C217" s="42"/>
      <c r="D217" s="6"/>
      <c r="E217" s="6"/>
      <c r="F217" s="305"/>
      <c r="G217" s="266"/>
      <c r="H217" s="12"/>
      <c r="I217" s="434"/>
      <c r="J217" s="79">
        <f>SUM(J209:J216)</f>
        <v>8709</v>
      </c>
      <c r="K217" s="80">
        <f>SUM(K209:K216)</f>
        <v>264.00000000000017</v>
      </c>
      <c r="L217" s="10">
        <f>SUM(L210:L216)</f>
        <v>0.58402777777777792</v>
      </c>
      <c r="M217" s="10"/>
      <c r="N217" s="424">
        <f>MAX(N210:N216)</f>
        <v>2338.1999999999998</v>
      </c>
      <c r="O217" s="425">
        <f>MAX(O210:O216)</f>
        <v>0</v>
      </c>
      <c r="P217" s="442"/>
      <c r="Q217" s="454">
        <f t="shared" si="109"/>
        <v>0.58750000000000013</v>
      </c>
    </row>
    <row r="218" spans="1:17" ht="13.5" thickBot="1" x14ac:dyDescent="0.45">
      <c r="A218" s="410" t="s">
        <v>16</v>
      </c>
      <c r="B218" s="89"/>
      <c r="C218" s="90"/>
      <c r="D218" s="89"/>
      <c r="E218" s="89"/>
      <c r="F218" s="306"/>
      <c r="G218" s="81"/>
      <c r="H218" s="92"/>
      <c r="I218" s="435">
        <f>SUM(I209:I216)</f>
        <v>12979</v>
      </c>
      <c r="J218" s="81">
        <f>ROUNDDOWN(K217/60,0)+J217</f>
        <v>8713</v>
      </c>
      <c r="K218" s="82">
        <f>ROUND(K217-(ROUNDDOWN(K217/60,0)*60),0)</f>
        <v>24</v>
      </c>
      <c r="L218" s="271">
        <f>L217</f>
        <v>0.58402777777777792</v>
      </c>
      <c r="M218" s="93"/>
      <c r="N218" s="422">
        <f>N217-N208</f>
        <v>15.299999999999727</v>
      </c>
      <c r="O218" s="423" t="str">
        <f>IF(OR(O209="N/A",O209="N / A", O209="N/ A",O209="N /A"),"N / A", O217-O208)</f>
        <v>N / A</v>
      </c>
      <c r="P218" s="443"/>
      <c r="Q218" s="454">
        <f>SUM(Q210:Q216)</f>
        <v>0.60486111111111118</v>
      </c>
    </row>
    <row r="219" spans="1:17" ht="13.15" x14ac:dyDescent="0.35">
      <c r="A219" s="34">
        <v>43233</v>
      </c>
      <c r="C219" s="40">
        <v>2</v>
      </c>
      <c r="D219" s="7">
        <v>0.375</v>
      </c>
      <c r="E219" s="7">
        <v>0.48888888888888887</v>
      </c>
      <c r="G219" s="2">
        <v>1</v>
      </c>
      <c r="I219" s="432">
        <v>1</v>
      </c>
      <c r="J219" s="74">
        <f t="shared" ref="J219:J226" si="110">ROUNDDOWN(M219*24,0)</f>
        <v>2</v>
      </c>
      <c r="K219" s="75">
        <f t="shared" ref="K219:K226" si="111">(M219*24-J219)*60</f>
        <v>43.999999999999979</v>
      </c>
      <c r="L219" s="7">
        <f t="shared" ref="L219:L226" si="112">E219-D219</f>
        <v>0.11388888888888887</v>
      </c>
      <c r="M219" s="22">
        <f t="shared" ref="M219:M226" si="113">L219</f>
        <v>0.11388888888888887</v>
      </c>
      <c r="N219" s="426">
        <v>2340.8000000000002</v>
      </c>
      <c r="O219" s="417"/>
      <c r="P219" s="440"/>
      <c r="Q219" s="453">
        <f t="shared" ref="Q219:Q227" si="114">IF(L219=0,0,$Q$2+L219)</f>
        <v>0.1173611111111111</v>
      </c>
    </row>
    <row r="220" spans="1:17" ht="13.15" x14ac:dyDescent="0.35">
      <c r="A220" s="34">
        <v>43238</v>
      </c>
      <c r="C220" s="40">
        <v>18</v>
      </c>
      <c r="D220" s="7">
        <v>0.39097222222222222</v>
      </c>
      <c r="E220" s="7">
        <v>0.4381944444444445</v>
      </c>
      <c r="G220" s="2">
        <v>0</v>
      </c>
      <c r="H220" s="3" t="s">
        <v>236</v>
      </c>
      <c r="I220" s="432">
        <v>1</v>
      </c>
      <c r="J220" s="74">
        <f t="shared" si="110"/>
        <v>1</v>
      </c>
      <c r="K220" s="75">
        <f t="shared" si="111"/>
        <v>8.0000000000000782</v>
      </c>
      <c r="L220" s="7">
        <f t="shared" si="112"/>
        <v>4.7222222222222276E-2</v>
      </c>
      <c r="M220" s="22">
        <f t="shared" si="113"/>
        <v>4.7222222222222276E-2</v>
      </c>
      <c r="N220" s="426">
        <v>2341.8000000000002</v>
      </c>
      <c r="O220" s="417"/>
      <c r="P220" s="445" t="s">
        <v>243</v>
      </c>
      <c r="Q220" s="453">
        <f t="shared" si="114"/>
        <v>5.06944444444445E-2</v>
      </c>
    </row>
    <row r="221" spans="1:17" ht="13.15" x14ac:dyDescent="0.35">
      <c r="A221" s="34">
        <v>43238</v>
      </c>
      <c r="C221" s="40">
        <v>18</v>
      </c>
      <c r="D221" s="7">
        <v>0.4777777777777778</v>
      </c>
      <c r="E221" s="7">
        <v>0.61249999999999993</v>
      </c>
      <c r="G221" s="2">
        <v>0</v>
      </c>
      <c r="H221" s="3" t="s">
        <v>237</v>
      </c>
      <c r="I221" s="432">
        <v>1</v>
      </c>
      <c r="J221" s="74">
        <f t="shared" si="110"/>
        <v>3</v>
      </c>
      <c r="K221" s="75">
        <f t="shared" si="111"/>
        <v>13.99999999999987</v>
      </c>
      <c r="L221" s="7">
        <f t="shared" si="112"/>
        <v>0.13472222222222213</v>
      </c>
      <c r="M221" s="22">
        <f t="shared" si="113"/>
        <v>0.13472222222222213</v>
      </c>
      <c r="N221" s="426">
        <v>2344.9</v>
      </c>
      <c r="O221" s="417"/>
      <c r="P221" s="445" t="s">
        <v>244</v>
      </c>
      <c r="Q221" s="453">
        <f t="shared" si="114"/>
        <v>0.13819444444444434</v>
      </c>
    </row>
    <row r="222" spans="1:17" ht="13.15" hidden="1" x14ac:dyDescent="0.35">
      <c r="A222" s="34"/>
      <c r="D222" s="7"/>
      <c r="E222" s="7"/>
      <c r="G222" s="2"/>
      <c r="I222" s="432"/>
      <c r="J222" s="74">
        <f t="shared" si="110"/>
        <v>0</v>
      </c>
      <c r="K222" s="75">
        <f t="shared" si="111"/>
        <v>0</v>
      </c>
      <c r="L222" s="7">
        <f t="shared" si="112"/>
        <v>0</v>
      </c>
      <c r="M222" s="22">
        <f t="shared" si="113"/>
        <v>0</v>
      </c>
      <c r="N222" s="426"/>
      <c r="O222" s="417"/>
      <c r="P222" s="445"/>
      <c r="Q222" s="454">
        <f t="shared" si="114"/>
        <v>0</v>
      </c>
    </row>
    <row r="223" spans="1:17" ht="13.15" x14ac:dyDescent="0.35">
      <c r="A223" s="34">
        <v>43241</v>
      </c>
      <c r="C223" s="40">
        <v>18</v>
      </c>
      <c r="D223" s="7">
        <v>0.3354166666666667</v>
      </c>
      <c r="E223" s="7">
        <v>0.47361111111111115</v>
      </c>
      <c r="G223" s="2">
        <v>0</v>
      </c>
      <c r="H223" s="3" t="s">
        <v>236</v>
      </c>
      <c r="I223" s="432">
        <v>1</v>
      </c>
      <c r="J223" s="74">
        <f t="shared" si="110"/>
        <v>3</v>
      </c>
      <c r="K223" s="75">
        <f t="shared" si="111"/>
        <v>19.000000000000014</v>
      </c>
      <c r="L223" s="7">
        <f t="shared" si="112"/>
        <v>0.13819444444444445</v>
      </c>
      <c r="M223" s="22">
        <f t="shared" si="113"/>
        <v>0.13819444444444445</v>
      </c>
      <c r="N223" s="426">
        <v>2348.1</v>
      </c>
      <c r="O223" s="417"/>
      <c r="P223" s="445" t="s">
        <v>245</v>
      </c>
      <c r="Q223" s="453">
        <f t="shared" si="114"/>
        <v>0.14166666666666666</v>
      </c>
    </row>
    <row r="224" spans="1:17" ht="13.15" x14ac:dyDescent="0.35">
      <c r="A224" s="34">
        <v>43241</v>
      </c>
      <c r="C224" s="40">
        <v>18</v>
      </c>
      <c r="D224" s="7">
        <v>0.54027777777777775</v>
      </c>
      <c r="E224" s="7">
        <v>0.58680555555555558</v>
      </c>
      <c r="G224" s="2">
        <v>1</v>
      </c>
      <c r="I224" s="432">
        <v>1</v>
      </c>
      <c r="J224" s="74">
        <f t="shared" si="110"/>
        <v>1</v>
      </c>
      <c r="K224" s="75">
        <f t="shared" si="111"/>
        <v>7.0000000000000817</v>
      </c>
      <c r="L224" s="7">
        <f t="shared" si="112"/>
        <v>4.6527777777777835E-2</v>
      </c>
      <c r="M224" s="22">
        <f t="shared" si="113"/>
        <v>4.6527777777777835E-2</v>
      </c>
      <c r="N224" s="426">
        <v>2349.1</v>
      </c>
      <c r="O224" s="417"/>
      <c r="P224" s="440"/>
      <c r="Q224" s="453">
        <f t="shared" si="114"/>
        <v>5.0000000000000058E-2</v>
      </c>
    </row>
    <row r="225" spans="1:19" ht="13.15" x14ac:dyDescent="0.35">
      <c r="A225" s="34">
        <v>43243</v>
      </c>
      <c r="C225" s="40">
        <v>15</v>
      </c>
      <c r="D225" s="7">
        <v>0.59930555555555554</v>
      </c>
      <c r="E225" s="7">
        <v>0.63680555555555551</v>
      </c>
      <c r="G225" s="485">
        <v>2</v>
      </c>
      <c r="I225" s="432">
        <v>2</v>
      </c>
      <c r="J225" s="74">
        <f t="shared" si="110"/>
        <v>0</v>
      </c>
      <c r="K225" s="75">
        <f t="shared" si="111"/>
        <v>53.999999999999972</v>
      </c>
      <c r="L225" s="7">
        <f t="shared" si="112"/>
        <v>3.7499999999999978E-2</v>
      </c>
      <c r="M225" s="22">
        <f t="shared" si="113"/>
        <v>3.7499999999999978E-2</v>
      </c>
      <c r="N225" s="426">
        <v>2350</v>
      </c>
      <c r="O225" s="417"/>
      <c r="P225" s="440"/>
      <c r="Q225" s="453">
        <f t="shared" si="114"/>
        <v>4.0972222222222202E-2</v>
      </c>
      <c r="R225" s="3"/>
      <c r="S225" s="3"/>
    </row>
    <row r="226" spans="1:19" ht="13.5" thickBot="1" x14ac:dyDescent="0.4">
      <c r="A226" s="38">
        <v>43245</v>
      </c>
      <c r="B226" s="24"/>
      <c r="C226" s="41">
        <v>0</v>
      </c>
      <c r="D226" s="9">
        <v>0.23263888888888887</v>
      </c>
      <c r="E226" s="9">
        <v>0.30069444444444443</v>
      </c>
      <c r="F226" s="304"/>
      <c r="G226" s="269">
        <v>0</v>
      </c>
      <c r="H226" s="28" t="s">
        <v>174</v>
      </c>
      <c r="I226" s="433">
        <v>1</v>
      </c>
      <c r="J226" s="76">
        <f t="shared" si="110"/>
        <v>1</v>
      </c>
      <c r="K226" s="77">
        <f t="shared" si="111"/>
        <v>38.000000000000014</v>
      </c>
      <c r="L226" s="9">
        <f t="shared" si="112"/>
        <v>6.8055555555555564E-2</v>
      </c>
      <c r="M226" s="26">
        <f t="shared" si="113"/>
        <v>6.8055555555555564E-2</v>
      </c>
      <c r="N226" s="427">
        <v>2351.6999999999998</v>
      </c>
      <c r="O226" s="419"/>
      <c r="P226" s="441"/>
      <c r="Q226" s="453">
        <f t="shared" si="114"/>
        <v>7.1527777777777787E-2</v>
      </c>
    </row>
    <row r="227" spans="1:19" ht="13.5" hidden="1" thickBot="1" x14ac:dyDescent="0.45">
      <c r="A227" s="409"/>
      <c r="B227" s="6"/>
      <c r="C227" s="42"/>
      <c r="D227" s="6"/>
      <c r="E227" s="6"/>
      <c r="F227" s="305"/>
      <c r="G227" s="266"/>
      <c r="H227" s="12"/>
      <c r="I227" s="434"/>
      <c r="J227" s="79">
        <f>SUM(J218:J226)</f>
        <v>8724</v>
      </c>
      <c r="K227" s="80">
        <f>SUM(K218:K226)</f>
        <v>208</v>
      </c>
      <c r="L227" s="10">
        <f>SUM(L219:L226)</f>
        <v>0.58611111111111103</v>
      </c>
      <c r="M227" s="10"/>
      <c r="N227" s="424">
        <f>MAX(N219:N226)</f>
        <v>2351.6999999999998</v>
      </c>
      <c r="O227" s="425">
        <f>MAX(O219:O226)</f>
        <v>0</v>
      </c>
      <c r="P227" s="442"/>
      <c r="Q227" s="454">
        <f t="shared" si="114"/>
        <v>0.58958333333333324</v>
      </c>
    </row>
    <row r="228" spans="1:19" ht="13.5" thickBot="1" x14ac:dyDescent="0.45">
      <c r="A228" s="410" t="s">
        <v>16</v>
      </c>
      <c r="B228" s="89"/>
      <c r="C228" s="90"/>
      <c r="D228" s="89"/>
      <c r="E228" s="89"/>
      <c r="F228" s="306"/>
      <c r="G228" s="81"/>
      <c r="H228" s="92"/>
      <c r="I228" s="435">
        <f>SUM(I218:I226)</f>
        <v>12987</v>
      </c>
      <c r="J228" s="81">
        <f>ROUNDDOWN(K227/60,0)+J227</f>
        <v>8727</v>
      </c>
      <c r="K228" s="82">
        <f>ROUND(K227-(ROUNDDOWN(K227/60,0)*60),0)</f>
        <v>28</v>
      </c>
      <c r="L228" s="271">
        <f>L227</f>
        <v>0.58611111111111103</v>
      </c>
      <c r="M228" s="93"/>
      <c r="N228" s="422">
        <f>N227-N217</f>
        <v>13.5</v>
      </c>
      <c r="O228" s="423" t="str">
        <f>IF(OR(O218="N/A",O218="N / A", O218="N/ A",O218="N /A"),"N / A", O227-O217)</f>
        <v>N / A</v>
      </c>
      <c r="P228" s="443"/>
      <c r="Q228" s="454">
        <f>SUM(Q219:Q226)</f>
        <v>0.61041666666666661</v>
      </c>
    </row>
    <row r="229" spans="1:19" ht="13.15" x14ac:dyDescent="0.35">
      <c r="A229" s="34">
        <v>43245</v>
      </c>
      <c r="C229" s="40">
        <v>0</v>
      </c>
      <c r="D229" s="7">
        <v>0.33888888888888885</v>
      </c>
      <c r="E229" s="7">
        <v>0.36458333333333331</v>
      </c>
      <c r="G229" s="2">
        <v>0</v>
      </c>
      <c r="H229" s="3" t="s">
        <v>103</v>
      </c>
      <c r="I229" s="432">
        <v>1</v>
      </c>
      <c r="J229" s="74">
        <f t="shared" ref="J229:J235" si="115">ROUNDDOWN(M229*24,0)</f>
        <v>0</v>
      </c>
      <c r="K229" s="75">
        <f t="shared" ref="K229:K235" si="116">(M229*24-J229)*60</f>
        <v>37.000000000000028</v>
      </c>
      <c r="L229" s="7">
        <f t="shared" ref="L229:L235" si="117">E229-D229</f>
        <v>2.5694444444444464E-2</v>
      </c>
      <c r="M229" s="22">
        <f t="shared" ref="M229:M235" si="118">L229</f>
        <v>2.5694444444444464E-2</v>
      </c>
      <c r="N229" s="426">
        <v>2352.4</v>
      </c>
      <c r="O229" s="417"/>
      <c r="P229" s="440"/>
      <c r="Q229" s="453">
        <f t="shared" ref="Q229:Q236" si="119">IF(L229=0,0,$Q$2+L229)</f>
        <v>2.9166666666666688E-2</v>
      </c>
    </row>
    <row r="230" spans="1:19" ht="13.15" x14ac:dyDescent="0.35">
      <c r="A230" s="34">
        <v>43245</v>
      </c>
      <c r="C230" s="40">
        <v>0</v>
      </c>
      <c r="D230" s="7">
        <v>0.48472222222222222</v>
      </c>
      <c r="E230" s="7">
        <v>0.52569444444444446</v>
      </c>
      <c r="G230" s="2">
        <v>1</v>
      </c>
      <c r="I230" s="432">
        <v>1</v>
      </c>
      <c r="J230" s="74">
        <f t="shared" si="115"/>
        <v>0</v>
      </c>
      <c r="K230" s="75">
        <f t="shared" si="116"/>
        <v>59.000000000000028</v>
      </c>
      <c r="L230" s="7">
        <f t="shared" si="117"/>
        <v>4.0972222222222243E-2</v>
      </c>
      <c r="M230" s="22">
        <f t="shared" si="118"/>
        <v>4.0972222222222243E-2</v>
      </c>
      <c r="N230" s="426">
        <v>2353.4</v>
      </c>
      <c r="O230" s="417"/>
      <c r="P230" s="487"/>
      <c r="Q230" s="453">
        <f t="shared" si="119"/>
        <v>4.4444444444444467E-2</v>
      </c>
    </row>
    <row r="231" spans="1:19" ht="13.15" x14ac:dyDescent="0.35">
      <c r="A231" s="34">
        <v>43245</v>
      </c>
      <c r="C231" s="40">
        <v>31</v>
      </c>
      <c r="D231" s="7">
        <v>0.59305555555555556</v>
      </c>
      <c r="E231" s="7">
        <v>0.63472222222222219</v>
      </c>
      <c r="G231" s="2">
        <v>4</v>
      </c>
      <c r="I231" s="432">
        <v>4</v>
      </c>
      <c r="J231" s="74">
        <f t="shared" si="115"/>
        <v>0</v>
      </c>
      <c r="K231" s="75">
        <f t="shared" si="116"/>
        <v>59.999999999999943</v>
      </c>
      <c r="L231" s="7">
        <f t="shared" si="117"/>
        <v>4.166666666666663E-2</v>
      </c>
      <c r="M231" s="22">
        <f t="shared" si="118"/>
        <v>4.166666666666663E-2</v>
      </c>
      <c r="N231" s="426">
        <v>2354.3000000000002</v>
      </c>
      <c r="O231" s="417"/>
      <c r="P231" s="440"/>
      <c r="Q231" s="453">
        <v>4.8611111111111112E-2</v>
      </c>
    </row>
    <row r="232" spans="1:19" ht="13.15" x14ac:dyDescent="0.35">
      <c r="A232" s="34">
        <v>43246</v>
      </c>
      <c r="C232" s="40">
        <v>2</v>
      </c>
      <c r="D232" s="7">
        <v>0.25625000000000003</v>
      </c>
      <c r="E232" s="7">
        <v>0.29583333333333334</v>
      </c>
      <c r="G232" s="2">
        <v>0</v>
      </c>
      <c r="H232" s="3" t="s">
        <v>172</v>
      </c>
      <c r="I232" s="432">
        <v>1</v>
      </c>
      <c r="J232" s="74">
        <f t="shared" si="115"/>
        <v>0</v>
      </c>
      <c r="K232" s="75">
        <f t="shared" si="116"/>
        <v>56.999999999999957</v>
      </c>
      <c r="L232" s="7">
        <f t="shared" si="117"/>
        <v>3.9583333333333304E-2</v>
      </c>
      <c r="M232" s="22">
        <f t="shared" si="118"/>
        <v>3.9583333333333304E-2</v>
      </c>
      <c r="N232" s="426">
        <v>2355.3000000000002</v>
      </c>
      <c r="O232" s="417"/>
      <c r="P232" s="440"/>
      <c r="Q232" s="453">
        <f t="shared" si="119"/>
        <v>4.3055555555555527E-2</v>
      </c>
    </row>
    <row r="233" spans="1:19" ht="13.15" x14ac:dyDescent="0.35">
      <c r="A233" s="34">
        <v>43246</v>
      </c>
      <c r="C233" s="40">
        <v>2</v>
      </c>
      <c r="D233" s="7">
        <v>0.30277777777777776</v>
      </c>
      <c r="E233" s="7">
        <v>0.32777777777777778</v>
      </c>
      <c r="G233" s="2">
        <v>0</v>
      </c>
      <c r="H233" s="3" t="s">
        <v>173</v>
      </c>
      <c r="I233" s="432">
        <v>1</v>
      </c>
      <c r="J233" s="74">
        <f t="shared" si="115"/>
        <v>0</v>
      </c>
      <c r="K233" s="75">
        <f t="shared" si="116"/>
        <v>36.000000000000028</v>
      </c>
      <c r="L233" s="7">
        <f t="shared" si="117"/>
        <v>2.5000000000000022E-2</v>
      </c>
      <c r="M233" s="22">
        <f t="shared" si="118"/>
        <v>2.5000000000000022E-2</v>
      </c>
      <c r="N233" s="426">
        <v>2355.9</v>
      </c>
      <c r="O233" s="417"/>
      <c r="P233" s="440"/>
      <c r="Q233" s="453">
        <f t="shared" si="119"/>
        <v>2.8472222222222246E-2</v>
      </c>
    </row>
    <row r="234" spans="1:19" ht="13.15" x14ac:dyDescent="0.35">
      <c r="A234" s="34">
        <v>43246</v>
      </c>
      <c r="C234" s="40">
        <v>2</v>
      </c>
      <c r="D234" s="7">
        <v>0.66249999999999998</v>
      </c>
      <c r="E234" s="7">
        <v>0.67569444444444438</v>
      </c>
      <c r="G234" s="2">
        <v>0</v>
      </c>
      <c r="H234" s="3" t="s">
        <v>167</v>
      </c>
      <c r="I234" s="432">
        <v>1</v>
      </c>
      <c r="J234" s="74">
        <f t="shared" si="115"/>
        <v>0</v>
      </c>
      <c r="K234" s="75">
        <f t="shared" si="116"/>
        <v>18.999999999999932</v>
      </c>
      <c r="L234" s="7">
        <f t="shared" si="117"/>
        <v>1.3194444444444398E-2</v>
      </c>
      <c r="M234" s="22">
        <f t="shared" si="118"/>
        <v>1.3194444444444398E-2</v>
      </c>
      <c r="N234" s="426">
        <v>2356.3000000000002</v>
      </c>
      <c r="O234" s="417"/>
      <c r="P234" s="440"/>
      <c r="Q234" s="453">
        <f t="shared" si="119"/>
        <v>1.6666666666666621E-2</v>
      </c>
    </row>
    <row r="235" spans="1:19" ht="13.5" thickBot="1" x14ac:dyDescent="0.4">
      <c r="A235" s="38">
        <v>43246</v>
      </c>
      <c r="B235" s="24"/>
      <c r="C235" s="41">
        <v>2</v>
      </c>
      <c r="D235" s="9">
        <v>0.68611111111111101</v>
      </c>
      <c r="E235" s="9">
        <v>0.71180555555555547</v>
      </c>
      <c r="F235" s="304"/>
      <c r="G235" s="488">
        <v>1</v>
      </c>
      <c r="H235" s="28"/>
      <c r="I235" s="433">
        <v>1</v>
      </c>
      <c r="J235" s="76">
        <f t="shared" si="115"/>
        <v>0</v>
      </c>
      <c r="K235" s="77">
        <f t="shared" si="116"/>
        <v>37.000000000000028</v>
      </c>
      <c r="L235" s="9">
        <f t="shared" si="117"/>
        <v>2.5694444444444464E-2</v>
      </c>
      <c r="M235" s="26">
        <f t="shared" si="118"/>
        <v>2.5694444444444464E-2</v>
      </c>
      <c r="N235" s="427">
        <v>2356.9</v>
      </c>
      <c r="O235" s="419"/>
      <c r="P235" s="441"/>
      <c r="Q235" s="453">
        <f t="shared" si="119"/>
        <v>2.9166666666666688E-2</v>
      </c>
    </row>
    <row r="236" spans="1:19" ht="13.5" hidden="1" thickBot="1" x14ac:dyDescent="0.45">
      <c r="A236" s="409"/>
      <c r="B236" s="6"/>
      <c r="C236" s="42"/>
      <c r="D236" s="6"/>
      <c r="E236" s="6"/>
      <c r="F236" s="305"/>
      <c r="G236" s="266"/>
      <c r="H236" s="12"/>
      <c r="I236" s="434"/>
      <c r="J236" s="79">
        <f>SUM(J228:J235)</f>
        <v>8727</v>
      </c>
      <c r="K236" s="80">
        <f>SUM(K228:K235)</f>
        <v>333</v>
      </c>
      <c r="L236" s="10">
        <f>SUM(L229:L235)</f>
        <v>0.21180555555555552</v>
      </c>
      <c r="M236" s="10"/>
      <c r="N236" s="424">
        <f>MAX(N229:N235)</f>
        <v>2356.9</v>
      </c>
      <c r="O236" s="425">
        <f>MAX(O229:O235)</f>
        <v>0</v>
      </c>
      <c r="P236" s="442"/>
      <c r="Q236" s="454">
        <f t="shared" si="119"/>
        <v>0.21527777777777773</v>
      </c>
    </row>
    <row r="237" spans="1:19" ht="13.5" thickBot="1" x14ac:dyDescent="0.45">
      <c r="A237" s="410" t="s">
        <v>16</v>
      </c>
      <c r="B237" s="89"/>
      <c r="C237" s="90"/>
      <c r="D237" s="89"/>
      <c r="E237" s="89"/>
      <c r="F237" s="306"/>
      <c r="G237" s="81"/>
      <c r="H237" s="92"/>
      <c r="I237" s="435">
        <f>SUM(I228:I235)</f>
        <v>12997</v>
      </c>
      <c r="J237" s="81">
        <f>ROUNDDOWN(K236/60,0)+J236</f>
        <v>8732</v>
      </c>
      <c r="K237" s="82">
        <f>ROUND(K236-(ROUNDDOWN(K236/60,0)*60),0)</f>
        <v>33</v>
      </c>
      <c r="L237" s="271">
        <f>L236</f>
        <v>0.21180555555555552</v>
      </c>
      <c r="M237" s="93"/>
      <c r="N237" s="422">
        <f>N236-N227</f>
        <v>5.2000000000002728</v>
      </c>
      <c r="O237" s="423" t="str">
        <f>IF(OR(O228="N/A",O228="N / A", O228="N/ A",O228="N /A"),"N / A", O236-O227)</f>
        <v>N / A</v>
      </c>
      <c r="P237" s="443"/>
      <c r="Q237" s="454">
        <f>SUM(Q229:Q235)</f>
        <v>0.23958333333333331</v>
      </c>
    </row>
    <row r="238" spans="1:19" ht="13.15" x14ac:dyDescent="0.35">
      <c r="A238" s="34">
        <v>43248</v>
      </c>
      <c r="C238" s="40">
        <v>16</v>
      </c>
      <c r="D238" s="7">
        <v>0.51874999999999993</v>
      </c>
      <c r="E238" s="7">
        <v>0.53611111111111109</v>
      </c>
      <c r="G238" s="2">
        <v>4</v>
      </c>
      <c r="I238" s="432">
        <v>4</v>
      </c>
      <c r="J238" s="74">
        <f t="shared" ref="J238:J244" si="120">ROUNDDOWN(M238*24,0)</f>
        <v>0</v>
      </c>
      <c r="K238" s="75">
        <f t="shared" ref="K238:K244" si="121">(M238*24-J238)*60</f>
        <v>25.000000000000071</v>
      </c>
      <c r="L238" s="7">
        <f t="shared" ref="L238:L244" si="122">E238-D238</f>
        <v>1.736111111111116E-2</v>
      </c>
      <c r="M238" s="22">
        <f t="shared" ref="M238:M244" si="123">L238</f>
        <v>1.736111111111116E-2</v>
      </c>
      <c r="N238" s="426">
        <v>2357.4</v>
      </c>
      <c r="O238" s="417"/>
      <c r="P238" s="440"/>
      <c r="Q238" s="453">
        <f t="shared" ref="Q238:Q245" si="124">IF(L238=0,0,$Q$2+L238)</f>
        <v>2.0833333333333384E-2</v>
      </c>
    </row>
    <row r="239" spans="1:19" ht="13.15" x14ac:dyDescent="0.35">
      <c r="A239" s="34">
        <v>43248</v>
      </c>
      <c r="C239" s="40">
        <v>16</v>
      </c>
      <c r="D239" s="7">
        <v>0.59097222222222223</v>
      </c>
      <c r="E239" s="7">
        <v>0.64652777777777781</v>
      </c>
      <c r="G239" s="2">
        <v>0</v>
      </c>
      <c r="H239" s="3" t="s">
        <v>209</v>
      </c>
      <c r="I239" s="432">
        <v>1</v>
      </c>
      <c r="J239" s="74">
        <f t="shared" si="120"/>
        <v>1</v>
      </c>
      <c r="K239" s="75">
        <f t="shared" si="121"/>
        <v>20.000000000000036</v>
      </c>
      <c r="L239" s="7">
        <f t="shared" si="122"/>
        <v>5.555555555555558E-2</v>
      </c>
      <c r="M239" s="22">
        <f t="shared" si="123"/>
        <v>5.555555555555558E-2</v>
      </c>
      <c r="N239" s="426">
        <v>2357.6999999999998</v>
      </c>
      <c r="O239" s="417"/>
      <c r="P239" s="440"/>
      <c r="Q239" s="453">
        <f t="shared" si="124"/>
        <v>5.9027777777777804E-2</v>
      </c>
    </row>
    <row r="240" spans="1:19" ht="13.15" x14ac:dyDescent="0.35">
      <c r="A240" s="34">
        <v>43248</v>
      </c>
      <c r="C240" s="40">
        <v>16</v>
      </c>
      <c r="D240" s="7">
        <v>0.69374999999999998</v>
      </c>
      <c r="E240" s="7">
        <v>0.7284722222222223</v>
      </c>
      <c r="G240" s="2">
        <v>1</v>
      </c>
      <c r="I240" s="432">
        <v>1</v>
      </c>
      <c r="J240" s="74">
        <f t="shared" si="120"/>
        <v>0</v>
      </c>
      <c r="K240" s="75">
        <f t="shared" si="121"/>
        <v>50.000000000000142</v>
      </c>
      <c r="L240" s="7">
        <f t="shared" si="122"/>
        <v>3.4722222222222321E-2</v>
      </c>
      <c r="M240" s="22">
        <f t="shared" si="123"/>
        <v>3.4722222222222321E-2</v>
      </c>
      <c r="N240" s="426">
        <v>2359.5</v>
      </c>
      <c r="O240" s="417"/>
      <c r="P240" s="440"/>
      <c r="Q240" s="453">
        <f t="shared" si="124"/>
        <v>3.8194444444444545E-2</v>
      </c>
    </row>
    <row r="241" spans="1:17" ht="13.15" x14ac:dyDescent="0.35">
      <c r="A241" s="34">
        <v>43249</v>
      </c>
      <c r="C241" s="40">
        <v>10</v>
      </c>
      <c r="D241" s="7">
        <v>0.44444444444444442</v>
      </c>
      <c r="E241" s="7">
        <v>0.47986111111111113</v>
      </c>
      <c r="G241" s="2">
        <v>1</v>
      </c>
      <c r="I241" s="432">
        <v>1</v>
      </c>
      <c r="J241" s="74">
        <f t="shared" si="120"/>
        <v>0</v>
      </c>
      <c r="K241" s="75">
        <f t="shared" si="121"/>
        <v>51.000000000000057</v>
      </c>
      <c r="L241" s="7">
        <f t="shared" si="122"/>
        <v>3.5416666666666707E-2</v>
      </c>
      <c r="M241" s="22">
        <f t="shared" si="123"/>
        <v>3.5416666666666707E-2</v>
      </c>
      <c r="N241" s="426">
        <v>2360.3000000000002</v>
      </c>
      <c r="O241" s="417"/>
      <c r="P241" s="440"/>
      <c r="Q241" s="453">
        <f t="shared" si="124"/>
        <v>3.8888888888888931E-2</v>
      </c>
    </row>
    <row r="242" spans="1:17" ht="13.15" x14ac:dyDescent="0.35">
      <c r="A242" s="34">
        <v>43251</v>
      </c>
      <c r="C242" s="40">
        <v>14</v>
      </c>
      <c r="D242" s="7">
        <v>0.49652777777777773</v>
      </c>
      <c r="E242" s="7">
        <v>0.51388888888888895</v>
      </c>
      <c r="G242" s="2">
        <v>0</v>
      </c>
      <c r="H242" s="3" t="s">
        <v>110</v>
      </c>
      <c r="I242" s="432">
        <v>2</v>
      </c>
      <c r="J242" s="74">
        <f t="shared" si="120"/>
        <v>0</v>
      </c>
      <c r="K242" s="75">
        <f t="shared" si="121"/>
        <v>25.000000000000149</v>
      </c>
      <c r="L242" s="7">
        <f t="shared" si="122"/>
        <v>1.7361111111111216E-2</v>
      </c>
      <c r="M242" s="22">
        <f t="shared" si="123"/>
        <v>1.7361111111111216E-2</v>
      </c>
      <c r="N242" s="426">
        <v>2360.6999999999998</v>
      </c>
      <c r="O242" s="417"/>
      <c r="P242" s="440"/>
      <c r="Q242" s="453">
        <f t="shared" si="124"/>
        <v>2.083333333333344E-2</v>
      </c>
    </row>
    <row r="243" spans="1:17" ht="13.15" x14ac:dyDescent="0.35">
      <c r="A243" s="34">
        <v>43251</v>
      </c>
      <c r="C243" s="40">
        <v>14</v>
      </c>
      <c r="D243" s="7">
        <v>0.54652777777777783</v>
      </c>
      <c r="E243" s="7">
        <v>0.59375</v>
      </c>
      <c r="G243" s="2">
        <v>1</v>
      </c>
      <c r="I243" s="432">
        <v>1</v>
      </c>
      <c r="J243" s="74">
        <f t="shared" si="120"/>
        <v>1</v>
      </c>
      <c r="K243" s="75">
        <f t="shared" si="121"/>
        <v>7.9999999999999183</v>
      </c>
      <c r="L243" s="7">
        <f t="shared" si="122"/>
        <v>4.7222222222222165E-2</v>
      </c>
      <c r="M243" s="22">
        <f t="shared" si="123"/>
        <v>4.7222222222222165E-2</v>
      </c>
      <c r="N243" s="426">
        <v>2361.6999999999998</v>
      </c>
      <c r="O243" s="417"/>
      <c r="P243" s="440"/>
      <c r="Q243" s="453">
        <f t="shared" si="124"/>
        <v>5.0694444444444389E-2</v>
      </c>
    </row>
    <row r="244" spans="1:17" ht="13.5" thickBot="1" x14ac:dyDescent="0.4">
      <c r="A244" s="38">
        <v>43254</v>
      </c>
      <c r="B244" s="24"/>
      <c r="C244" s="41">
        <v>9</v>
      </c>
      <c r="D244" s="9">
        <v>0.36805555555555558</v>
      </c>
      <c r="E244" s="9">
        <v>0.41250000000000003</v>
      </c>
      <c r="F244" s="304"/>
      <c r="G244" s="269">
        <v>1</v>
      </c>
      <c r="H244" s="28"/>
      <c r="I244" s="433">
        <v>1</v>
      </c>
      <c r="J244" s="76">
        <f t="shared" si="120"/>
        <v>1</v>
      </c>
      <c r="K244" s="77">
        <f t="shared" si="121"/>
        <v>4.0000000000000124</v>
      </c>
      <c r="L244" s="9">
        <f t="shared" si="122"/>
        <v>4.4444444444444453E-2</v>
      </c>
      <c r="M244" s="26">
        <f t="shared" si="123"/>
        <v>4.4444444444444453E-2</v>
      </c>
      <c r="N244" s="427">
        <v>2362.8000000000002</v>
      </c>
      <c r="O244" s="419"/>
      <c r="P244" s="490" t="s">
        <v>251</v>
      </c>
      <c r="Q244" s="453">
        <f t="shared" si="124"/>
        <v>4.7916666666666677E-2</v>
      </c>
    </row>
    <row r="245" spans="1:17" ht="13.5" hidden="1" thickBot="1" x14ac:dyDescent="0.45">
      <c r="A245" s="409"/>
      <c r="B245" s="6"/>
      <c r="C245" s="42"/>
      <c r="D245" s="6"/>
      <c r="E245" s="6"/>
      <c r="F245" s="305"/>
      <c r="G245" s="266"/>
      <c r="H245" s="12"/>
      <c r="I245" s="434"/>
      <c r="J245" s="79">
        <f>SUM(J237:J244)</f>
        <v>8735</v>
      </c>
      <c r="K245" s="80">
        <f>SUM(K237:K244)</f>
        <v>216.00000000000037</v>
      </c>
      <c r="L245" s="10">
        <f>SUM(L238:L244)</f>
        <v>0.2520833333333336</v>
      </c>
      <c r="M245" s="10"/>
      <c r="N245" s="424">
        <f>MAX(N238:N244)</f>
        <v>2362.8000000000002</v>
      </c>
      <c r="O245" s="425">
        <f>MAX(O238:O244)</f>
        <v>0</v>
      </c>
      <c r="P245" s="442"/>
      <c r="Q245" s="454">
        <f t="shared" si="124"/>
        <v>0.25555555555555581</v>
      </c>
    </row>
    <row r="246" spans="1:17" ht="13.5" thickBot="1" x14ac:dyDescent="0.45">
      <c r="A246" s="410" t="s">
        <v>16</v>
      </c>
      <c r="B246" s="89"/>
      <c r="C246" s="90"/>
      <c r="D246" s="89"/>
      <c r="E246" s="89"/>
      <c r="F246" s="306"/>
      <c r="G246" s="81"/>
      <c r="H246" s="92"/>
      <c r="I246" s="435">
        <f>SUM(I237:I244)</f>
        <v>13008</v>
      </c>
      <c r="J246" s="81">
        <f>ROUNDDOWN(K245/60,0)+J245</f>
        <v>8738</v>
      </c>
      <c r="K246" s="82">
        <f>ROUND(K245-(ROUNDDOWN(K245/60,0)*60),0)</f>
        <v>36</v>
      </c>
      <c r="L246" s="271">
        <f>L245</f>
        <v>0.2520833333333336</v>
      </c>
      <c r="M246" s="93"/>
      <c r="N246" s="422">
        <f>N245-N236</f>
        <v>5.9000000000000909</v>
      </c>
      <c r="O246" s="423" t="str">
        <f>IF(OR(O237="N/A",O237="N / A", O237="N/ A",O237="N /A"),"N / A", O245-O236)</f>
        <v>N / A</v>
      </c>
      <c r="P246" s="443"/>
      <c r="Q246" s="454">
        <f>SUM(Q238:Q244)</f>
        <v>0.27638888888888913</v>
      </c>
    </row>
    <row r="247" spans="1:17" ht="13.15" x14ac:dyDescent="0.35">
      <c r="A247" s="34">
        <v>43258</v>
      </c>
      <c r="C247" s="40">
        <v>9</v>
      </c>
      <c r="D247" s="7">
        <v>0.69305555555555554</v>
      </c>
      <c r="E247" s="7">
        <v>0.70347222222222217</v>
      </c>
      <c r="G247" s="2">
        <v>2</v>
      </c>
      <c r="I247" s="432">
        <v>2</v>
      </c>
      <c r="J247" s="74">
        <f t="shared" ref="J247:J253" si="125">ROUNDDOWN(M247*24,0)</f>
        <v>0</v>
      </c>
      <c r="K247" s="75">
        <f t="shared" ref="K247:K253" si="126">(M247*24-J247)*60</f>
        <v>14.999999999999947</v>
      </c>
      <c r="L247" s="7">
        <f t="shared" ref="L247:L253" si="127">E247-D247</f>
        <v>1.041666666666663E-2</v>
      </c>
      <c r="M247" s="22">
        <f t="shared" ref="M247:M253" si="128">L247</f>
        <v>1.041666666666663E-2</v>
      </c>
      <c r="N247" s="426">
        <v>2361.1</v>
      </c>
      <c r="O247" s="417"/>
      <c r="P247" s="440"/>
      <c r="Q247" s="453">
        <f t="shared" ref="Q247:Q254" si="129">IF(L247=0,0,$Q$2+L247)</f>
        <v>1.3888888888888852E-2</v>
      </c>
    </row>
    <row r="248" spans="1:17" ht="13.15" x14ac:dyDescent="0.35">
      <c r="A248" s="34">
        <v>43259</v>
      </c>
      <c r="C248" s="40">
        <v>1</v>
      </c>
      <c r="D248" s="7">
        <v>0.67569444444444438</v>
      </c>
      <c r="E248" s="7">
        <v>0.74375000000000002</v>
      </c>
      <c r="G248" s="2">
        <v>1</v>
      </c>
      <c r="I248" s="432">
        <v>1</v>
      </c>
      <c r="J248" s="74">
        <f t="shared" si="125"/>
        <v>1</v>
      </c>
      <c r="K248" s="75">
        <f t="shared" si="126"/>
        <v>38.000000000000128</v>
      </c>
      <c r="L248" s="7">
        <f t="shared" si="127"/>
        <v>6.8055555555555647E-2</v>
      </c>
      <c r="M248" s="22">
        <f t="shared" si="128"/>
        <v>6.8055555555555647E-2</v>
      </c>
      <c r="N248" s="426">
        <v>2364.8000000000002</v>
      </c>
      <c r="O248" s="417"/>
      <c r="P248" s="440"/>
      <c r="Q248" s="453">
        <v>6.805555555555555E-2</v>
      </c>
    </row>
    <row r="249" spans="1:17" ht="13.15" x14ac:dyDescent="0.35">
      <c r="A249" s="34">
        <v>43259</v>
      </c>
      <c r="C249" s="40">
        <v>30</v>
      </c>
      <c r="D249" s="7">
        <v>0.76111111111111107</v>
      </c>
      <c r="E249" s="7">
        <v>0.77638888888888891</v>
      </c>
      <c r="G249" s="2">
        <v>0</v>
      </c>
      <c r="H249" s="3" t="s">
        <v>110</v>
      </c>
      <c r="I249" s="432">
        <v>1</v>
      </c>
      <c r="J249" s="74">
        <f t="shared" si="125"/>
        <v>0</v>
      </c>
      <c r="K249" s="75">
        <f t="shared" si="126"/>
        <v>22.000000000000082</v>
      </c>
      <c r="L249" s="7">
        <f t="shared" si="127"/>
        <v>1.5277777777777835E-2</v>
      </c>
      <c r="M249" s="22">
        <f t="shared" si="128"/>
        <v>1.5277777777777835E-2</v>
      </c>
      <c r="N249" s="426">
        <v>2365.1</v>
      </c>
      <c r="O249" s="417"/>
      <c r="P249" s="440"/>
      <c r="Q249" s="453">
        <f t="shared" si="129"/>
        <v>1.8750000000000058E-2</v>
      </c>
    </row>
    <row r="250" spans="1:17" ht="13.15" x14ac:dyDescent="0.35">
      <c r="A250" s="34">
        <v>43259</v>
      </c>
      <c r="C250" s="40">
        <v>30</v>
      </c>
      <c r="D250" s="7">
        <v>0.78680555555555554</v>
      </c>
      <c r="E250" s="7">
        <v>0.79513888888888884</v>
      </c>
      <c r="G250" s="2">
        <v>1</v>
      </c>
      <c r="I250" s="432">
        <v>1</v>
      </c>
      <c r="J250" s="74">
        <f t="shared" si="125"/>
        <v>0</v>
      </c>
      <c r="K250" s="75">
        <f t="shared" si="126"/>
        <v>11.999999999999957</v>
      </c>
      <c r="L250" s="7">
        <f t="shared" si="127"/>
        <v>8.3333333333333037E-3</v>
      </c>
      <c r="M250" s="22">
        <f t="shared" si="128"/>
        <v>8.3333333333333037E-3</v>
      </c>
      <c r="N250" s="426">
        <v>2365.4</v>
      </c>
      <c r="O250" s="417"/>
      <c r="P250" s="440"/>
      <c r="Q250" s="453">
        <f t="shared" si="129"/>
        <v>1.1805555555555526E-2</v>
      </c>
    </row>
    <row r="251" spans="1:17" ht="13.15" x14ac:dyDescent="0.35">
      <c r="A251" s="34">
        <v>43260</v>
      </c>
      <c r="C251" s="40">
        <v>31</v>
      </c>
      <c r="D251" s="7">
        <v>0.48125000000000001</v>
      </c>
      <c r="E251" s="7">
        <v>0.56944444444444442</v>
      </c>
      <c r="G251" s="2">
        <v>1</v>
      </c>
      <c r="I251" s="432">
        <v>1</v>
      </c>
      <c r="J251" s="74">
        <f t="shared" si="125"/>
        <v>2</v>
      </c>
      <c r="K251" s="75">
        <f t="shared" si="126"/>
        <v>6.9999999999999485</v>
      </c>
      <c r="L251" s="7">
        <f t="shared" si="127"/>
        <v>8.8194444444444409E-2</v>
      </c>
      <c r="M251" s="22">
        <f t="shared" si="128"/>
        <v>8.8194444444444409E-2</v>
      </c>
      <c r="N251" s="426">
        <v>2367.4</v>
      </c>
      <c r="O251" s="417"/>
      <c r="P251" s="440"/>
      <c r="Q251" s="453">
        <f t="shared" si="129"/>
        <v>9.1666666666666632E-2</v>
      </c>
    </row>
    <row r="252" spans="1:17" ht="13.15" x14ac:dyDescent="0.35">
      <c r="A252" s="34">
        <v>43268</v>
      </c>
      <c r="C252" s="40">
        <v>18</v>
      </c>
      <c r="D252" s="7">
        <v>0.39444444444444443</v>
      </c>
      <c r="E252" s="7">
        <v>0.48055555555555557</v>
      </c>
      <c r="G252" s="2">
        <v>1</v>
      </c>
      <c r="I252" s="432">
        <v>1</v>
      </c>
      <c r="J252" s="74">
        <f t="shared" si="125"/>
        <v>2</v>
      </c>
      <c r="K252" s="75">
        <f t="shared" si="126"/>
        <v>4.0000000000000391</v>
      </c>
      <c r="L252" s="7">
        <f t="shared" si="127"/>
        <v>8.6111111111111138E-2</v>
      </c>
      <c r="M252" s="22">
        <f t="shared" si="128"/>
        <v>8.6111111111111138E-2</v>
      </c>
      <c r="N252" s="426">
        <v>2369.5</v>
      </c>
      <c r="O252" s="417"/>
      <c r="P252" s="440"/>
      <c r="Q252" s="453">
        <f t="shared" si="129"/>
        <v>8.9583333333333362E-2</v>
      </c>
    </row>
    <row r="253" spans="1:17" ht="13.5" thickBot="1" x14ac:dyDescent="0.4">
      <c r="A253" s="38">
        <v>43268</v>
      </c>
      <c r="B253" s="24"/>
      <c r="C253" s="41">
        <v>17</v>
      </c>
      <c r="D253" s="9">
        <v>0.68402777777777779</v>
      </c>
      <c r="E253" s="9">
        <v>0.7104166666666667</v>
      </c>
      <c r="F253" s="304"/>
      <c r="G253" s="269">
        <v>1</v>
      </c>
      <c r="H253" s="28"/>
      <c r="I253" s="433">
        <v>1</v>
      </c>
      <c r="J253" s="76">
        <f t="shared" si="125"/>
        <v>0</v>
      </c>
      <c r="K253" s="77">
        <f t="shared" si="126"/>
        <v>38.000000000000028</v>
      </c>
      <c r="L253" s="9">
        <f t="shared" si="127"/>
        <v>2.6388888888888906E-2</v>
      </c>
      <c r="M253" s="26">
        <f t="shared" si="128"/>
        <v>2.6388888888888906E-2</v>
      </c>
      <c r="N253" s="427">
        <v>2370.1</v>
      </c>
      <c r="O253" s="419"/>
      <c r="P253" s="441"/>
      <c r="Q253" s="453">
        <f t="shared" si="129"/>
        <v>2.986111111111113E-2</v>
      </c>
    </row>
    <row r="254" spans="1:17" ht="13.5" hidden="1" thickBot="1" x14ac:dyDescent="0.45">
      <c r="A254" s="409"/>
      <c r="B254" s="6"/>
      <c r="C254" s="42"/>
      <c r="D254" s="6"/>
      <c r="E254" s="6"/>
      <c r="F254" s="305"/>
      <c r="G254" s="266"/>
      <c r="H254" s="12"/>
      <c r="I254" s="434"/>
      <c r="J254" s="79">
        <f>SUM(J246:J253)</f>
        <v>8743</v>
      </c>
      <c r="K254" s="80">
        <f>SUM(K246:K253)</f>
        <v>172.00000000000011</v>
      </c>
      <c r="L254" s="10">
        <f>SUM(L247:L253)</f>
        <v>0.30277777777777787</v>
      </c>
      <c r="M254" s="10"/>
      <c r="N254" s="424">
        <f>MAX(N247:N253)</f>
        <v>2370.1</v>
      </c>
      <c r="O254" s="425">
        <f>MAX(O247:O253)</f>
        <v>0</v>
      </c>
      <c r="P254" s="442"/>
      <c r="Q254" s="454">
        <f t="shared" si="129"/>
        <v>0.30625000000000008</v>
      </c>
    </row>
    <row r="255" spans="1:17" ht="13.5" thickBot="1" x14ac:dyDescent="0.45">
      <c r="A255" s="410" t="s">
        <v>16</v>
      </c>
      <c r="B255" s="89"/>
      <c r="C255" s="90"/>
      <c r="D255" s="89"/>
      <c r="E255" s="89"/>
      <c r="F255" s="306"/>
      <c r="G255" s="81"/>
      <c r="H255" s="92"/>
      <c r="I255" s="435">
        <f>SUM(I246:I253)</f>
        <v>13016</v>
      </c>
      <c r="J255" s="81">
        <f>ROUNDDOWN(K254/60,0)+J254</f>
        <v>8745</v>
      </c>
      <c r="K255" s="82">
        <f>ROUND(K254-(ROUNDDOWN(K254/60,0)*60),0)</f>
        <v>52</v>
      </c>
      <c r="L255" s="271">
        <f>L254</f>
        <v>0.30277777777777787</v>
      </c>
      <c r="M255" s="93"/>
      <c r="N255" s="422">
        <f>N254-N245</f>
        <v>7.2999999999997272</v>
      </c>
      <c r="O255" s="423" t="str">
        <f>IF(OR(O246="N/A",O246="N / A", O246="N/ A",O246="N /A"),"N / A", O254-O245)</f>
        <v>N / A</v>
      </c>
      <c r="P255" s="443"/>
      <c r="Q255" s="454">
        <f>SUM(Q247:Q253)</f>
        <v>0.32361111111111107</v>
      </c>
    </row>
    <row r="256" spans="1:17" ht="13.15" x14ac:dyDescent="0.35">
      <c r="A256" s="34">
        <v>43268</v>
      </c>
      <c r="C256" s="40">
        <v>1</v>
      </c>
      <c r="D256" s="7">
        <v>0.73888888888888893</v>
      </c>
      <c r="E256" s="7">
        <v>0.78749999999999998</v>
      </c>
      <c r="G256" s="2">
        <v>1</v>
      </c>
      <c r="I256" s="432">
        <v>1</v>
      </c>
      <c r="J256" s="74">
        <f>ROUNDDOWN(M256*24,0)</f>
        <v>1</v>
      </c>
      <c r="K256" s="75">
        <f>(M256*24-J256)*60</f>
        <v>9.9999999999999112</v>
      </c>
      <c r="L256" s="7">
        <f>E256-D256</f>
        <v>4.8611111111111049E-2</v>
      </c>
      <c r="M256" s="22">
        <f t="shared" ref="M256:M262" si="130">L256</f>
        <v>4.8611111111111049E-2</v>
      </c>
      <c r="N256" s="426">
        <v>2371.3000000000002</v>
      </c>
      <c r="O256" s="417"/>
      <c r="P256" s="440"/>
      <c r="Q256" s="453">
        <v>4.8611111111111112E-2</v>
      </c>
    </row>
    <row r="257" spans="1:19" ht="13.15" x14ac:dyDescent="0.35">
      <c r="A257" s="34">
        <v>43270</v>
      </c>
      <c r="C257" s="40">
        <v>17</v>
      </c>
      <c r="D257" s="7">
        <v>0.36458333333333331</v>
      </c>
      <c r="E257" s="7">
        <v>0.39444444444444443</v>
      </c>
      <c r="G257" s="2">
        <v>0</v>
      </c>
      <c r="H257" s="3" t="s">
        <v>255</v>
      </c>
      <c r="I257" s="432">
        <v>1</v>
      </c>
      <c r="J257" s="74">
        <f>ROUNDDOWN(M257*24,0)</f>
        <v>0</v>
      </c>
      <c r="K257" s="75">
        <f>(M257*24-J257)*60</f>
        <v>43.000000000000007</v>
      </c>
      <c r="L257" s="7">
        <f>E257-D257</f>
        <v>2.9861111111111116E-2</v>
      </c>
      <c r="M257" s="22">
        <f t="shared" si="130"/>
        <v>2.9861111111111116E-2</v>
      </c>
      <c r="N257" s="426">
        <v>2372</v>
      </c>
      <c r="O257" s="417"/>
      <c r="P257" s="440"/>
      <c r="Q257" s="453">
        <f>IF(L257=0,0,$Q$2+L257)</f>
        <v>3.333333333333334E-2</v>
      </c>
    </row>
    <row r="258" spans="1:19" ht="13.15" x14ac:dyDescent="0.35">
      <c r="A258" s="34">
        <v>43270</v>
      </c>
      <c r="C258" s="40">
        <v>17</v>
      </c>
      <c r="D258" s="7">
        <v>0.51736111111111105</v>
      </c>
      <c r="E258" s="7">
        <v>0.54513888888888895</v>
      </c>
      <c r="G258" s="2">
        <v>1</v>
      </c>
      <c r="I258" s="432">
        <v>1</v>
      </c>
      <c r="J258" s="74">
        <f t="shared" ref="J258:J265" si="131">ROUNDDOWN(M258*24,0)</f>
        <v>0</v>
      </c>
      <c r="K258" s="75">
        <f t="shared" ref="K258:K265" si="132">(M258*24-J258)*60</f>
        <v>40.000000000000178</v>
      </c>
      <c r="L258" s="7">
        <f t="shared" ref="L258:L265" si="133">E258-D258</f>
        <v>2.7777777777777901E-2</v>
      </c>
      <c r="M258" s="22">
        <f t="shared" si="130"/>
        <v>2.7777777777777901E-2</v>
      </c>
      <c r="N258" s="426">
        <v>2372.6999999999998</v>
      </c>
      <c r="O258" s="417"/>
      <c r="P258" s="440"/>
      <c r="Q258" s="453">
        <f t="shared" ref="Q258:Q265" si="134">IF(L258=0,0,$Q$2+L258)</f>
        <v>3.1250000000000125E-2</v>
      </c>
    </row>
    <row r="259" spans="1:19" ht="13.15" x14ac:dyDescent="0.35">
      <c r="A259" s="34">
        <v>43271</v>
      </c>
      <c r="C259" s="40">
        <v>15</v>
      </c>
      <c r="D259" s="7">
        <v>0.32708333333333334</v>
      </c>
      <c r="E259" s="7">
        <v>0.37916666666666665</v>
      </c>
      <c r="G259" s="2">
        <v>0</v>
      </c>
      <c r="H259" s="3" t="s">
        <v>197</v>
      </c>
      <c r="I259" s="432">
        <v>1</v>
      </c>
      <c r="J259" s="74">
        <f t="shared" si="131"/>
        <v>1</v>
      </c>
      <c r="K259" s="75">
        <f t="shared" si="132"/>
        <v>14.999999999999973</v>
      </c>
      <c r="L259" s="7">
        <f t="shared" si="133"/>
        <v>5.2083333333333315E-2</v>
      </c>
      <c r="M259" s="22">
        <f t="shared" si="130"/>
        <v>5.2083333333333315E-2</v>
      </c>
      <c r="N259" s="426">
        <v>2373.9</v>
      </c>
      <c r="O259" s="417"/>
      <c r="P259" s="440"/>
      <c r="Q259" s="453">
        <f t="shared" si="134"/>
        <v>5.5555555555555539E-2</v>
      </c>
    </row>
    <row r="260" spans="1:19" ht="13.15" x14ac:dyDescent="0.35">
      <c r="A260" s="34">
        <v>43271</v>
      </c>
      <c r="C260" s="40">
        <v>15</v>
      </c>
      <c r="D260" s="7">
        <v>0.44027777777777777</v>
      </c>
      <c r="E260" s="7">
        <v>0.48819444444444443</v>
      </c>
      <c r="G260" s="2">
        <v>1</v>
      </c>
      <c r="I260" s="432">
        <v>1</v>
      </c>
      <c r="J260" s="74">
        <f t="shared" si="131"/>
        <v>1</v>
      </c>
      <c r="K260" s="75">
        <f t="shared" si="132"/>
        <v>8.9999999999999947</v>
      </c>
      <c r="L260" s="7">
        <f t="shared" si="133"/>
        <v>4.7916666666666663E-2</v>
      </c>
      <c r="M260" s="22">
        <f t="shared" si="130"/>
        <v>4.7916666666666663E-2</v>
      </c>
      <c r="N260" s="426">
        <v>2375</v>
      </c>
      <c r="O260" s="417"/>
      <c r="P260" s="440"/>
      <c r="Q260" s="453">
        <f t="shared" si="134"/>
        <v>5.1388888888888887E-2</v>
      </c>
    </row>
    <row r="261" spans="1:19" ht="13.15" x14ac:dyDescent="0.35">
      <c r="A261" s="34">
        <v>43292</v>
      </c>
      <c r="C261" s="40">
        <v>15</v>
      </c>
      <c r="D261" s="7">
        <v>0.66319444444444442</v>
      </c>
      <c r="E261" s="7">
        <v>0.70416666666666661</v>
      </c>
      <c r="G261" s="2">
        <v>3</v>
      </c>
      <c r="I261" s="432">
        <v>3</v>
      </c>
      <c r="J261" s="74">
        <f t="shared" si="131"/>
        <v>0</v>
      </c>
      <c r="K261" s="75">
        <f t="shared" si="132"/>
        <v>58.99999999999995</v>
      </c>
      <c r="L261" s="7">
        <f t="shared" si="133"/>
        <v>4.0972222222222188E-2</v>
      </c>
      <c r="M261" s="22">
        <f t="shared" si="130"/>
        <v>4.0972222222222188E-2</v>
      </c>
      <c r="N261" s="426">
        <v>2376.4</v>
      </c>
      <c r="O261" s="417"/>
      <c r="P261" s="440"/>
      <c r="Q261" s="453">
        <f t="shared" si="134"/>
        <v>4.4444444444444411E-2</v>
      </c>
    </row>
    <row r="262" spans="1:19" ht="13.5" thickBot="1" x14ac:dyDescent="0.4">
      <c r="A262" s="38">
        <v>43293</v>
      </c>
      <c r="B262" s="24"/>
      <c r="C262" s="41">
        <v>25</v>
      </c>
      <c r="D262" s="9">
        <v>0.72499999999999998</v>
      </c>
      <c r="E262" s="9">
        <v>0.74444444444444446</v>
      </c>
      <c r="F262" s="304"/>
      <c r="G262" s="269">
        <v>3</v>
      </c>
      <c r="H262" s="28"/>
      <c r="I262" s="433">
        <v>3</v>
      </c>
      <c r="J262" s="76">
        <f t="shared" si="131"/>
        <v>0</v>
      </c>
      <c r="K262" s="77">
        <f t="shared" si="132"/>
        <v>28.00000000000006</v>
      </c>
      <c r="L262" s="9">
        <f t="shared" si="133"/>
        <v>1.9444444444444486E-2</v>
      </c>
      <c r="M262" s="26">
        <f t="shared" si="130"/>
        <v>1.9444444444444486E-2</v>
      </c>
      <c r="N262" s="427">
        <v>2376.9</v>
      </c>
      <c r="O262" s="419"/>
      <c r="P262" s="441"/>
      <c r="Q262" s="453">
        <f t="shared" si="134"/>
        <v>2.291666666666671E-2</v>
      </c>
    </row>
    <row r="263" spans="1:19" ht="13.5" hidden="1" thickBot="1" x14ac:dyDescent="0.45">
      <c r="A263" s="409"/>
      <c r="B263" s="6"/>
      <c r="C263" s="42"/>
      <c r="D263" s="6"/>
      <c r="E263" s="6"/>
      <c r="F263" s="305"/>
      <c r="G263" s="266"/>
      <c r="H263" s="12"/>
      <c r="I263" s="434"/>
      <c r="J263" s="79">
        <f>SUM(J255:J262)</f>
        <v>8748</v>
      </c>
      <c r="K263" s="80">
        <f>SUM(K255:K262)</f>
        <v>256.00000000000006</v>
      </c>
      <c r="L263" s="10">
        <f>SUM(L256:L262)</f>
        <v>0.26666666666666672</v>
      </c>
      <c r="M263" s="10"/>
      <c r="N263" s="424">
        <f>MAX(N256:N262)</f>
        <v>2376.9</v>
      </c>
      <c r="O263" s="425">
        <f>MAX(O256:O262)</f>
        <v>0</v>
      </c>
      <c r="P263" s="442"/>
      <c r="Q263" s="454">
        <f>IF(L263=0,0,$Q$2+L263)</f>
        <v>0.27013888888888893</v>
      </c>
    </row>
    <row r="264" spans="1:19" ht="13.5" thickBot="1" x14ac:dyDescent="0.45">
      <c r="A264" s="410" t="s">
        <v>16</v>
      </c>
      <c r="B264" s="89"/>
      <c r="C264" s="90"/>
      <c r="D264" s="89"/>
      <c r="E264" s="89"/>
      <c r="F264" s="306"/>
      <c r="G264" s="81"/>
      <c r="H264" s="92"/>
      <c r="I264" s="435">
        <f>SUM(I255:I262)</f>
        <v>13027</v>
      </c>
      <c r="J264" s="81">
        <f>ROUNDDOWN(K263/60,0)+J263</f>
        <v>8752</v>
      </c>
      <c r="K264" s="82">
        <f>ROUND(K263-(ROUNDDOWN(K263/60,0)*60),0)</f>
        <v>16</v>
      </c>
      <c r="L264" s="271">
        <f>L263</f>
        <v>0.26666666666666672</v>
      </c>
      <c r="M264" s="93"/>
      <c r="N264" s="422">
        <f>N263-N254</f>
        <v>6.8000000000001819</v>
      </c>
      <c r="O264" s="423" t="str">
        <f>IF(OR(O255="N/A",O255="N / A", O255="N/ A",O255="N /A"),"N / A", O263-O254)</f>
        <v>N / A</v>
      </c>
      <c r="P264" s="443"/>
      <c r="Q264" s="454">
        <f>SUM(Q256:Q262)</f>
        <v>0.28750000000000009</v>
      </c>
    </row>
    <row r="265" spans="1:19" ht="13.15" x14ac:dyDescent="0.35">
      <c r="A265" s="34">
        <v>43294</v>
      </c>
      <c r="C265" s="40">
        <v>25</v>
      </c>
      <c r="D265" s="7">
        <v>0.66527777777777775</v>
      </c>
      <c r="E265" s="7">
        <v>0.67638888888888893</v>
      </c>
      <c r="G265" s="2">
        <v>0</v>
      </c>
      <c r="H265" s="3" t="s">
        <v>110</v>
      </c>
      <c r="I265" s="432">
        <v>1</v>
      </c>
      <c r="J265" s="74">
        <f t="shared" si="131"/>
        <v>0</v>
      </c>
      <c r="K265" s="75">
        <f t="shared" si="132"/>
        <v>16.000000000000103</v>
      </c>
      <c r="L265" s="7">
        <f t="shared" si="133"/>
        <v>1.1111111111111183E-2</v>
      </c>
      <c r="M265" s="22">
        <f t="shared" ref="M265:M271" si="135">L265</f>
        <v>1.1111111111111183E-2</v>
      </c>
      <c r="N265" s="426">
        <v>2377.1</v>
      </c>
      <c r="O265" s="417"/>
      <c r="P265" s="440"/>
      <c r="Q265" s="453">
        <f t="shared" si="134"/>
        <v>1.4583333333333405E-2</v>
      </c>
    </row>
    <row r="266" spans="1:19" ht="13.15" x14ac:dyDescent="0.35">
      <c r="A266" s="34">
        <v>43294</v>
      </c>
      <c r="C266" s="40">
        <v>15</v>
      </c>
      <c r="D266" s="7">
        <v>0.70138888888888884</v>
      </c>
      <c r="E266" s="7">
        <v>0.74305555555555547</v>
      </c>
      <c r="G266" s="2">
        <v>1</v>
      </c>
      <c r="H266" s="3" t="s">
        <v>110</v>
      </c>
      <c r="I266" s="432">
        <v>2</v>
      </c>
      <c r="J266" s="74">
        <f t="shared" ref="J266:J271" si="136">ROUNDDOWN(M266*24,0)</f>
        <v>0</v>
      </c>
      <c r="K266" s="75">
        <f t="shared" ref="K266:K271" si="137">(M266*24-J266)*60</f>
        <v>59.999999999999943</v>
      </c>
      <c r="L266" s="7">
        <f t="shared" ref="L266:L271" si="138">E266-D266</f>
        <v>4.166666666666663E-2</v>
      </c>
      <c r="M266" s="22">
        <f t="shared" si="135"/>
        <v>4.166666666666663E-2</v>
      </c>
      <c r="N266" s="426">
        <v>2378</v>
      </c>
      <c r="O266" s="417"/>
      <c r="P266" s="440"/>
      <c r="Q266" s="453">
        <f t="shared" ref="Q266:Q272" si="139">IF(L266=0,0,$Q$2+L266)</f>
        <v>4.5138888888888853E-2</v>
      </c>
    </row>
    <row r="267" spans="1:19" ht="13.15" x14ac:dyDescent="0.35">
      <c r="A267" s="34">
        <v>43295</v>
      </c>
      <c r="C267" s="40">
        <v>29</v>
      </c>
      <c r="D267" s="7">
        <v>0.30972222222222223</v>
      </c>
      <c r="E267" s="7">
        <v>0.32500000000000001</v>
      </c>
      <c r="G267" s="2">
        <v>0</v>
      </c>
      <c r="H267" s="3" t="s">
        <v>261</v>
      </c>
      <c r="I267" s="432">
        <v>1</v>
      </c>
      <c r="J267" s="74">
        <f t="shared" si="136"/>
        <v>0</v>
      </c>
      <c r="K267" s="75">
        <f t="shared" si="137"/>
        <v>22</v>
      </c>
      <c r="L267" s="7">
        <f t="shared" si="138"/>
        <v>1.5277777777777779E-2</v>
      </c>
      <c r="M267" s="22">
        <f t="shared" si="135"/>
        <v>1.5277777777777779E-2</v>
      </c>
      <c r="N267" s="426">
        <v>2378.3000000000002</v>
      </c>
      <c r="O267" s="417"/>
      <c r="P267" s="440"/>
      <c r="Q267" s="453">
        <f t="shared" si="139"/>
        <v>1.8750000000000003E-2</v>
      </c>
    </row>
    <row r="268" spans="1:19" ht="13.15" x14ac:dyDescent="0.35">
      <c r="A268" s="34">
        <v>43295</v>
      </c>
      <c r="C268" s="40">
        <v>29</v>
      </c>
      <c r="D268" s="7">
        <v>0.40069444444444446</v>
      </c>
      <c r="E268" s="7">
        <v>0.4381944444444445</v>
      </c>
      <c r="G268" s="2">
        <v>1</v>
      </c>
      <c r="I268" s="432">
        <v>1</v>
      </c>
      <c r="J268" s="74">
        <f t="shared" si="136"/>
        <v>0</v>
      </c>
      <c r="K268" s="75">
        <f t="shared" si="137"/>
        <v>54.00000000000005</v>
      </c>
      <c r="L268" s="7">
        <f t="shared" si="138"/>
        <v>3.7500000000000033E-2</v>
      </c>
      <c r="M268" s="22">
        <f t="shared" si="135"/>
        <v>3.7500000000000033E-2</v>
      </c>
      <c r="N268" s="426">
        <v>2379.4</v>
      </c>
      <c r="O268" s="417"/>
      <c r="P268" s="440"/>
      <c r="Q268" s="453">
        <f t="shared" si="139"/>
        <v>4.0972222222222257E-2</v>
      </c>
    </row>
    <row r="269" spans="1:19" ht="13.15" x14ac:dyDescent="0.35">
      <c r="A269" s="34">
        <v>43299</v>
      </c>
      <c r="C269" s="40">
        <v>3</v>
      </c>
      <c r="D269" s="7">
        <v>0.24444444444444446</v>
      </c>
      <c r="E269" s="7">
        <v>0.3576388888888889</v>
      </c>
      <c r="G269" s="2">
        <v>0</v>
      </c>
      <c r="H269" s="3" t="s">
        <v>262</v>
      </c>
      <c r="I269" s="432">
        <v>1</v>
      </c>
      <c r="J269" s="74">
        <f t="shared" si="136"/>
        <v>2</v>
      </c>
      <c r="K269" s="75">
        <f t="shared" si="137"/>
        <v>42.999999999999979</v>
      </c>
      <c r="L269" s="7">
        <f t="shared" si="138"/>
        <v>0.11319444444444443</v>
      </c>
      <c r="M269" s="22">
        <f t="shared" si="135"/>
        <v>0.11319444444444443</v>
      </c>
      <c r="N269" s="426">
        <v>2382.1</v>
      </c>
      <c r="O269" s="417"/>
      <c r="P269" s="445" t="s">
        <v>263</v>
      </c>
      <c r="Q269" s="453">
        <f t="shared" si="139"/>
        <v>0.11666666666666665</v>
      </c>
    </row>
    <row r="270" spans="1:19" ht="13.15" x14ac:dyDescent="0.35">
      <c r="A270" s="34">
        <v>43300</v>
      </c>
      <c r="C270" s="40">
        <v>3</v>
      </c>
      <c r="D270" s="7">
        <v>0.66041666666666665</v>
      </c>
      <c r="E270" s="7">
        <v>0.75624999999999998</v>
      </c>
      <c r="G270" s="2">
        <v>1</v>
      </c>
      <c r="I270" s="432">
        <v>1</v>
      </c>
      <c r="J270" s="74">
        <f t="shared" si="136"/>
        <v>2</v>
      </c>
      <c r="K270" s="75">
        <f t="shared" si="137"/>
        <v>17.999999999999989</v>
      </c>
      <c r="L270" s="7">
        <f t="shared" si="138"/>
        <v>9.5833333333333326E-2</v>
      </c>
      <c r="M270" s="22">
        <f t="shared" si="135"/>
        <v>9.5833333333333326E-2</v>
      </c>
      <c r="N270" s="426">
        <v>2384.5</v>
      </c>
      <c r="O270" s="417"/>
      <c r="P270" s="445" t="s">
        <v>264</v>
      </c>
      <c r="Q270" s="453">
        <f t="shared" si="139"/>
        <v>9.930555555555555E-2</v>
      </c>
      <c r="R270" s="650"/>
      <c r="S270" s="650"/>
    </row>
    <row r="271" spans="1:19" ht="13.5" thickBot="1" x14ac:dyDescent="0.4">
      <c r="A271" s="38">
        <v>43305</v>
      </c>
      <c r="B271" s="24"/>
      <c r="C271" s="41">
        <v>16</v>
      </c>
      <c r="D271" s="9">
        <v>0.4069444444444445</v>
      </c>
      <c r="E271" s="9">
        <v>0.4236111111111111</v>
      </c>
      <c r="F271" s="304"/>
      <c r="G271" s="269">
        <v>4</v>
      </c>
      <c r="H271" s="28"/>
      <c r="I271" s="433">
        <v>4</v>
      </c>
      <c r="J271" s="76">
        <f t="shared" si="136"/>
        <v>0</v>
      </c>
      <c r="K271" s="77">
        <f t="shared" si="137"/>
        <v>23.999999999999915</v>
      </c>
      <c r="L271" s="9">
        <f t="shared" si="138"/>
        <v>1.6666666666666607E-2</v>
      </c>
      <c r="M271" s="26">
        <f t="shared" si="135"/>
        <v>1.6666666666666607E-2</v>
      </c>
      <c r="N271" s="427">
        <v>2384.9</v>
      </c>
      <c r="O271" s="419"/>
      <c r="P271" s="441"/>
      <c r="Q271" s="453">
        <f t="shared" si="139"/>
        <v>2.0138888888888831E-2</v>
      </c>
    </row>
    <row r="272" spans="1:19" ht="13.5" hidden="1" thickBot="1" x14ac:dyDescent="0.45">
      <c r="A272" s="409"/>
      <c r="B272" s="6"/>
      <c r="C272" s="42"/>
      <c r="D272" s="6"/>
      <c r="E272" s="6"/>
      <c r="F272" s="305"/>
      <c r="G272" s="266"/>
      <c r="H272" s="12"/>
      <c r="I272" s="434"/>
      <c r="J272" s="79">
        <f>SUM(J264:J271)</f>
        <v>8756</v>
      </c>
      <c r="K272" s="80">
        <f>SUM(K264:K271)</f>
        <v>252.99999999999997</v>
      </c>
      <c r="L272" s="10">
        <f>SUM(L265:L271)</f>
        <v>0.33124999999999999</v>
      </c>
      <c r="M272" s="10"/>
      <c r="N272" s="424">
        <f>MAX(N265:N271)</f>
        <v>2384.9</v>
      </c>
      <c r="O272" s="425">
        <f>MAX(O265:O271)</f>
        <v>0</v>
      </c>
      <c r="P272" s="442"/>
      <c r="Q272" s="454">
        <f t="shared" si="139"/>
        <v>0.3347222222222222</v>
      </c>
    </row>
    <row r="273" spans="1:19" ht="13.5" thickBot="1" x14ac:dyDescent="0.45">
      <c r="A273" s="410" t="s">
        <v>16</v>
      </c>
      <c r="B273" s="89"/>
      <c r="C273" s="90"/>
      <c r="D273" s="89"/>
      <c r="E273" s="89"/>
      <c r="F273" s="306"/>
      <c r="G273" s="81"/>
      <c r="H273" s="92"/>
      <c r="I273" s="435">
        <f>SUM(I264:I271)</f>
        <v>13038</v>
      </c>
      <c r="J273" s="81">
        <f>ROUNDDOWN(K272/60,0)+J272</f>
        <v>8760</v>
      </c>
      <c r="K273" s="82">
        <f>ROUND(K272-(ROUNDDOWN(K272/60,0)*60),0)</f>
        <v>13</v>
      </c>
      <c r="L273" s="271">
        <f>L272</f>
        <v>0.33124999999999999</v>
      </c>
      <c r="M273" s="93"/>
      <c r="N273" s="422">
        <f>N272-N263</f>
        <v>8</v>
      </c>
      <c r="O273" s="423" t="str">
        <f>IF(OR(O264="N/A",O264="N / A", O264="N/ A",O264="N /A"),"N / A", O272-O263)</f>
        <v>N / A</v>
      </c>
      <c r="P273" s="443"/>
      <c r="Q273" s="454">
        <f>SUM(Q265:Q271)</f>
        <v>0.35555555555555551</v>
      </c>
    </row>
    <row r="274" spans="1:19" ht="13.15" x14ac:dyDescent="0.35">
      <c r="A274" s="34">
        <v>43305</v>
      </c>
      <c r="C274" s="40">
        <v>16</v>
      </c>
      <c r="D274" s="7">
        <v>0.44791666666666669</v>
      </c>
      <c r="E274" s="7">
        <v>0.47638888888888892</v>
      </c>
      <c r="G274" s="2">
        <v>0</v>
      </c>
      <c r="H274" s="3" t="s">
        <v>190</v>
      </c>
      <c r="I274" s="432">
        <v>1</v>
      </c>
      <c r="J274" s="74">
        <f t="shared" ref="J274:J280" si="140">ROUNDDOWN(M274*24,0)</f>
        <v>0</v>
      </c>
      <c r="K274" s="75">
        <f t="shared" ref="K274:K280" si="141">(M274*24-J274)*60</f>
        <v>41.000000000000014</v>
      </c>
      <c r="L274" s="7">
        <f t="shared" ref="L274:L280" si="142">E274-D274</f>
        <v>2.8472222222222232E-2</v>
      </c>
      <c r="M274" s="22">
        <f t="shared" ref="M274:M280" si="143">L274</f>
        <v>2.8472222222222232E-2</v>
      </c>
      <c r="N274" s="426">
        <v>2385.6</v>
      </c>
      <c r="O274" s="417"/>
      <c r="P274" s="440"/>
      <c r="Q274" s="453">
        <f t="shared" ref="Q274:Q280" si="144">IF(L274=0,0,$Q$2+L274)</f>
        <v>3.1944444444444456E-2</v>
      </c>
    </row>
    <row r="275" spans="1:19" ht="13.15" x14ac:dyDescent="0.35">
      <c r="A275" s="34">
        <v>43305</v>
      </c>
      <c r="C275" s="40">
        <v>16</v>
      </c>
      <c r="D275" s="7">
        <v>0.52222222222222225</v>
      </c>
      <c r="E275" s="7">
        <v>0.55208333333333337</v>
      </c>
      <c r="G275" s="2">
        <v>0</v>
      </c>
      <c r="H275" s="3" t="s">
        <v>166</v>
      </c>
      <c r="I275" s="432">
        <v>1</v>
      </c>
      <c r="J275" s="74">
        <f t="shared" si="140"/>
        <v>0</v>
      </c>
      <c r="K275" s="75">
        <f t="shared" si="141"/>
        <v>43.000000000000007</v>
      </c>
      <c r="L275" s="7">
        <f t="shared" si="142"/>
        <v>2.9861111111111116E-2</v>
      </c>
      <c r="M275" s="22">
        <f t="shared" si="143"/>
        <v>2.9861111111111116E-2</v>
      </c>
      <c r="N275" s="426">
        <v>2386.3000000000002</v>
      </c>
      <c r="O275" s="417"/>
      <c r="P275" s="440"/>
      <c r="Q275" s="453">
        <f t="shared" si="144"/>
        <v>3.333333333333334E-2</v>
      </c>
    </row>
    <row r="276" spans="1:19" ht="13.15" x14ac:dyDescent="0.35">
      <c r="A276" s="34">
        <v>43305</v>
      </c>
      <c r="C276" s="40">
        <v>16</v>
      </c>
      <c r="D276" s="7">
        <v>0.65416666666666667</v>
      </c>
      <c r="E276" s="7">
        <v>0.6777777777777777</v>
      </c>
      <c r="G276" s="2">
        <v>1</v>
      </c>
      <c r="I276" s="432">
        <v>1</v>
      </c>
      <c r="J276" s="74">
        <f t="shared" si="140"/>
        <v>0</v>
      </c>
      <c r="K276" s="75">
        <f t="shared" si="141"/>
        <v>33.999999999999879</v>
      </c>
      <c r="L276" s="7">
        <f t="shared" si="142"/>
        <v>2.3611111111111027E-2</v>
      </c>
      <c r="M276" s="22">
        <f t="shared" si="143"/>
        <v>2.3611111111111027E-2</v>
      </c>
      <c r="N276" s="426">
        <v>2386.9</v>
      </c>
      <c r="O276" s="417"/>
      <c r="P276" s="440"/>
      <c r="Q276" s="453">
        <f t="shared" si="144"/>
        <v>2.7083333333333251E-2</v>
      </c>
    </row>
    <row r="277" spans="1:19" ht="13.15" x14ac:dyDescent="0.35">
      <c r="A277" s="34">
        <v>43305</v>
      </c>
      <c r="C277" s="40">
        <v>16</v>
      </c>
      <c r="D277" s="7">
        <v>0.71388888888888891</v>
      </c>
      <c r="E277" s="7">
        <v>0.77847222222222223</v>
      </c>
      <c r="G277" s="2">
        <v>1</v>
      </c>
      <c r="I277" s="432">
        <v>1</v>
      </c>
      <c r="J277" s="74">
        <f t="shared" si="140"/>
        <v>1</v>
      </c>
      <c r="K277" s="75">
        <f t="shared" si="141"/>
        <v>32.999999999999986</v>
      </c>
      <c r="L277" s="7">
        <f t="shared" si="142"/>
        <v>6.4583333333333326E-2</v>
      </c>
      <c r="M277" s="22">
        <f t="shared" si="143"/>
        <v>6.4583333333333326E-2</v>
      </c>
      <c r="N277" s="426">
        <v>2388.5</v>
      </c>
      <c r="O277" s="417"/>
      <c r="P277" s="150" t="s">
        <v>265</v>
      </c>
      <c r="Q277" s="453">
        <f t="shared" si="144"/>
        <v>6.805555555555555E-2</v>
      </c>
    </row>
    <row r="278" spans="1:19" ht="13.15" x14ac:dyDescent="0.35">
      <c r="A278" s="34">
        <v>43308</v>
      </c>
      <c r="C278" s="40">
        <v>0</v>
      </c>
      <c r="D278" s="7">
        <v>0.32500000000000001</v>
      </c>
      <c r="E278" s="7">
        <v>0.36388888888888887</v>
      </c>
      <c r="G278" s="2">
        <v>0</v>
      </c>
      <c r="H278" s="3" t="s">
        <v>103</v>
      </c>
      <c r="I278" s="432">
        <v>1</v>
      </c>
      <c r="J278" s="74">
        <f t="shared" si="140"/>
        <v>0</v>
      </c>
      <c r="K278" s="75">
        <f t="shared" si="141"/>
        <v>55.999999999999957</v>
      </c>
      <c r="L278" s="7">
        <f t="shared" si="142"/>
        <v>3.8888888888888862E-2</v>
      </c>
      <c r="M278" s="22">
        <f t="shared" si="143"/>
        <v>3.8888888888888862E-2</v>
      </c>
      <c r="N278" s="426">
        <v>2389.5</v>
      </c>
      <c r="O278" s="417"/>
      <c r="P278" s="445" t="s">
        <v>177</v>
      </c>
      <c r="Q278" s="453">
        <v>3.888888888888889E-2</v>
      </c>
    </row>
    <row r="279" spans="1:19" ht="13.15" x14ac:dyDescent="0.35">
      <c r="A279" s="34">
        <v>43355</v>
      </c>
      <c r="C279" s="40">
        <v>20</v>
      </c>
      <c r="D279" s="7">
        <v>0.41736111111111113</v>
      </c>
      <c r="E279" s="7">
        <v>0.4236111111111111</v>
      </c>
      <c r="G279" s="2">
        <v>0</v>
      </c>
      <c r="H279" s="3" t="s">
        <v>103</v>
      </c>
      <c r="I279" s="432">
        <v>2</v>
      </c>
      <c r="J279" s="74">
        <f t="shared" si="140"/>
        <v>0</v>
      </c>
      <c r="K279" s="75">
        <f t="shared" si="141"/>
        <v>8.999999999999968</v>
      </c>
      <c r="L279" s="7">
        <f t="shared" si="142"/>
        <v>6.2499999999999778E-3</v>
      </c>
      <c r="M279" s="22">
        <f t="shared" si="143"/>
        <v>6.2499999999999778E-3</v>
      </c>
      <c r="N279" s="426">
        <v>2389.8000000000002</v>
      </c>
      <c r="O279" s="417"/>
      <c r="Q279" s="453">
        <f t="shared" si="144"/>
        <v>9.7222222222221998E-3</v>
      </c>
      <c r="R279" s="650"/>
      <c r="S279" s="650"/>
    </row>
    <row r="280" spans="1:19" ht="13.5" thickBot="1" x14ac:dyDescent="0.4">
      <c r="A280" s="38">
        <v>42990</v>
      </c>
      <c r="B280" s="24"/>
      <c r="C280" s="41">
        <f>C279</f>
        <v>20</v>
      </c>
      <c r="D280" s="9">
        <v>0.4236111111111111</v>
      </c>
      <c r="E280" s="9">
        <v>0.46458333333333335</v>
      </c>
      <c r="F280" s="304"/>
      <c r="G280" s="269">
        <v>1</v>
      </c>
      <c r="H280" s="28"/>
      <c r="I280" s="433">
        <v>1</v>
      </c>
      <c r="J280" s="76">
        <f t="shared" si="140"/>
        <v>0</v>
      </c>
      <c r="K280" s="77">
        <f t="shared" si="141"/>
        <v>59.000000000000028</v>
      </c>
      <c r="L280" s="9">
        <f t="shared" si="142"/>
        <v>4.0972222222222243E-2</v>
      </c>
      <c r="M280" s="26">
        <f t="shared" si="143"/>
        <v>4.0972222222222243E-2</v>
      </c>
      <c r="N280" s="427">
        <v>2390.8000000000002</v>
      </c>
      <c r="O280" s="419"/>
      <c r="P280" s="445" t="s">
        <v>271</v>
      </c>
      <c r="Q280" s="453">
        <f t="shared" si="144"/>
        <v>4.4444444444444467E-2</v>
      </c>
      <c r="R280" s="505"/>
      <c r="S280" s="375"/>
    </row>
    <row r="281" spans="1:19" ht="13.5" hidden="1" thickBot="1" x14ac:dyDescent="0.45">
      <c r="A281" s="409"/>
      <c r="B281" s="6"/>
      <c r="C281" s="42"/>
      <c r="D281" s="6"/>
      <c r="E281" s="6"/>
      <c r="F281" s="305"/>
      <c r="G281" s="266"/>
      <c r="H281" s="12"/>
      <c r="I281" s="434"/>
      <c r="J281" s="79">
        <f>SUM(J273:J280)</f>
        <v>8761</v>
      </c>
      <c r="K281" s="80">
        <f>SUM(K273:K280)</f>
        <v>287.99999999999983</v>
      </c>
      <c r="L281" s="10">
        <f>SUM(L274:L280)</f>
        <v>0.23263888888888878</v>
      </c>
      <c r="M281" s="10"/>
      <c r="N281" s="424">
        <f>MAX(N274:N280)</f>
        <v>2390.8000000000002</v>
      </c>
      <c r="O281" s="425">
        <f>MAX(O274:O280)</f>
        <v>0</v>
      </c>
      <c r="P281" s="442"/>
      <c r="Q281" s="454">
        <f>IF(L281=0,0,$Q$2+L281)</f>
        <v>0.23611111111111099</v>
      </c>
    </row>
    <row r="282" spans="1:19" ht="13.5" thickBot="1" x14ac:dyDescent="0.45">
      <c r="A282" s="410" t="s">
        <v>16</v>
      </c>
      <c r="B282" s="89"/>
      <c r="C282" s="90"/>
      <c r="D282" s="89"/>
      <c r="E282" s="89"/>
      <c r="F282" s="306"/>
      <c r="G282" s="81"/>
      <c r="H282" s="92"/>
      <c r="I282" s="435">
        <f>SUM(I273:I280)</f>
        <v>13046</v>
      </c>
      <c r="J282" s="81">
        <f>ROUNDDOWN(K281/60,0)+J281</f>
        <v>8765</v>
      </c>
      <c r="K282" s="82">
        <f>ROUND(K281-(ROUNDDOWN(K281/60,0)*60),0)</f>
        <v>48</v>
      </c>
      <c r="L282" s="271">
        <f>L281</f>
        <v>0.23263888888888878</v>
      </c>
      <c r="M282" s="93"/>
      <c r="N282" s="422">
        <f>N281-N272</f>
        <v>5.9000000000000909</v>
      </c>
      <c r="O282" s="423" t="str">
        <f>IF(OR(O273="N/A",O273="N / A", O273="N/ A",O273="N /A"),"N / A", O281-O272)</f>
        <v>N / A</v>
      </c>
      <c r="P282" s="443"/>
      <c r="Q282" s="454">
        <f>SUM(Q274:Q280)</f>
        <v>0.25347222222222215</v>
      </c>
      <c r="R282" s="2"/>
      <c r="S282" s="483"/>
    </row>
    <row r="283" spans="1:19" ht="13.15" x14ac:dyDescent="0.35">
      <c r="A283" s="34">
        <v>43356</v>
      </c>
      <c r="C283" s="40">
        <v>4</v>
      </c>
      <c r="D283" s="7">
        <v>0.33055555555555555</v>
      </c>
      <c r="E283" s="7">
        <v>0.42569444444444443</v>
      </c>
      <c r="G283" s="2">
        <v>4</v>
      </c>
      <c r="I283" s="432">
        <v>4</v>
      </c>
      <c r="J283" s="74">
        <f t="shared" ref="J283:J289" si="145">ROUNDDOWN(M283*24,0)</f>
        <v>2</v>
      </c>
      <c r="K283" s="75">
        <f t="shared" ref="K283:K289" si="146">(M283*24-J283)*60</f>
        <v>16.999999999999993</v>
      </c>
      <c r="L283" s="7">
        <f t="shared" ref="L283:L289" si="147">E283-D283</f>
        <v>9.5138888888888884E-2</v>
      </c>
      <c r="M283" s="22">
        <f t="shared" ref="M283:M289" si="148">L283</f>
        <v>9.5138888888888884E-2</v>
      </c>
      <c r="N283" s="426">
        <v>2392.9</v>
      </c>
      <c r="O283" s="417"/>
      <c r="P283" s="440"/>
      <c r="Q283" s="453">
        <f t="shared" ref="Q283:Q289" si="149">IF(L283=0,0,$Q$2+L283)</f>
        <v>9.8611111111111108E-2</v>
      </c>
      <c r="R283" s="2"/>
    </row>
    <row r="284" spans="1:19" ht="13.15" x14ac:dyDescent="0.35">
      <c r="A284" s="34">
        <v>43358</v>
      </c>
      <c r="C284" s="40">
        <v>14</v>
      </c>
      <c r="D284" s="7">
        <v>0.4826388888888889</v>
      </c>
      <c r="E284" s="7">
        <v>0.51388888888888895</v>
      </c>
      <c r="G284" s="2">
        <v>0</v>
      </c>
      <c r="H284" s="3" t="s">
        <v>167</v>
      </c>
      <c r="I284" s="432">
        <v>1</v>
      </c>
      <c r="J284" s="74">
        <f t="shared" si="145"/>
        <v>0</v>
      </c>
      <c r="K284" s="75">
        <f t="shared" si="146"/>
        <v>45.000000000000078</v>
      </c>
      <c r="L284" s="7">
        <f t="shared" si="147"/>
        <v>3.1250000000000056E-2</v>
      </c>
      <c r="M284" s="22">
        <f t="shared" si="148"/>
        <v>3.1250000000000056E-2</v>
      </c>
      <c r="N284" s="426">
        <v>2393.6</v>
      </c>
      <c r="O284" s="417"/>
      <c r="P284" s="440"/>
      <c r="Q284" s="453">
        <f t="shared" si="149"/>
        <v>3.4722222222222279E-2</v>
      </c>
    </row>
    <row r="285" spans="1:19" ht="13.15" x14ac:dyDescent="0.35">
      <c r="A285" s="34">
        <v>43358</v>
      </c>
      <c r="C285" s="40">
        <v>14</v>
      </c>
      <c r="D285" s="7">
        <v>0.57361111111111118</v>
      </c>
      <c r="E285" s="7">
        <v>0.61944444444444446</v>
      </c>
      <c r="G285" s="2">
        <v>2</v>
      </c>
      <c r="I285" s="432">
        <v>2</v>
      </c>
      <c r="J285" s="74">
        <f t="shared" si="145"/>
        <v>1</v>
      </c>
      <c r="K285" s="75">
        <f t="shared" si="146"/>
        <v>5.9999999999999254</v>
      </c>
      <c r="L285" s="7">
        <f t="shared" si="147"/>
        <v>4.5833333333333282E-2</v>
      </c>
      <c r="M285" s="22">
        <f t="shared" si="148"/>
        <v>4.5833333333333282E-2</v>
      </c>
      <c r="N285" s="426">
        <v>2394.6999999999998</v>
      </c>
      <c r="O285" s="417"/>
      <c r="P285" s="440"/>
      <c r="Q285" s="453">
        <f t="shared" si="149"/>
        <v>4.9305555555555505E-2</v>
      </c>
    </row>
    <row r="286" spans="1:19" ht="13.15" x14ac:dyDescent="0.35">
      <c r="A286" s="34">
        <v>43360</v>
      </c>
      <c r="C286" s="40">
        <v>29</v>
      </c>
      <c r="D286" s="7">
        <v>0.51388888888888895</v>
      </c>
      <c r="E286" s="7">
        <v>0.55208333333333337</v>
      </c>
      <c r="G286" s="2">
        <v>1</v>
      </c>
      <c r="I286" s="432">
        <v>1</v>
      </c>
      <c r="J286" s="74">
        <f t="shared" si="145"/>
        <v>0</v>
      </c>
      <c r="K286" s="75">
        <f t="shared" si="146"/>
        <v>54.999999999999964</v>
      </c>
      <c r="L286" s="7">
        <f t="shared" si="147"/>
        <v>3.819444444444442E-2</v>
      </c>
      <c r="M286" s="22">
        <f t="shared" si="148"/>
        <v>3.819444444444442E-2</v>
      </c>
      <c r="N286" s="426">
        <v>2395.8000000000002</v>
      </c>
      <c r="O286" s="417"/>
      <c r="P286" s="440"/>
      <c r="Q286" s="453">
        <f t="shared" si="149"/>
        <v>4.1666666666666644E-2</v>
      </c>
    </row>
    <row r="287" spans="1:19" ht="13.15" x14ac:dyDescent="0.4">
      <c r="A287" s="34">
        <v>43361</v>
      </c>
      <c r="C287" s="40">
        <v>7</v>
      </c>
      <c r="D287" s="7">
        <v>0.70347222222222217</v>
      </c>
      <c r="E287" s="7">
        <v>0.73819444444444438</v>
      </c>
      <c r="G287" s="2">
        <v>1</v>
      </c>
      <c r="I287" s="432">
        <v>1</v>
      </c>
      <c r="J287" s="74">
        <f t="shared" si="145"/>
        <v>0</v>
      </c>
      <c r="K287" s="75">
        <f t="shared" si="146"/>
        <v>49.999999999999986</v>
      </c>
      <c r="L287" s="7">
        <f t="shared" si="147"/>
        <v>3.472222222222221E-2</v>
      </c>
      <c r="M287" s="22">
        <f t="shared" si="148"/>
        <v>3.472222222222221E-2</v>
      </c>
      <c r="N287" s="426">
        <v>2396.6999999999998</v>
      </c>
      <c r="O287" s="417">
        <f>3*1.19</f>
        <v>3.57</v>
      </c>
      <c r="P287" s="535" t="s">
        <v>282</v>
      </c>
      <c r="Q287" s="453">
        <f t="shared" si="149"/>
        <v>3.8194444444444434E-2</v>
      </c>
      <c r="R287" s="266"/>
      <c r="S287" s="372"/>
    </row>
    <row r="288" spans="1:19" ht="13.15" x14ac:dyDescent="0.35">
      <c r="A288" s="34">
        <v>43362</v>
      </c>
      <c r="C288" s="40">
        <v>0</v>
      </c>
      <c r="D288" s="7">
        <v>0.63194444444444442</v>
      </c>
      <c r="E288" s="7">
        <v>0.70347222222222217</v>
      </c>
      <c r="G288" s="2">
        <v>0</v>
      </c>
      <c r="H288" s="3" t="s">
        <v>270</v>
      </c>
      <c r="I288" s="432">
        <v>1</v>
      </c>
      <c r="J288" s="74">
        <f t="shared" si="145"/>
        <v>1</v>
      </c>
      <c r="K288" s="75">
        <f t="shared" si="146"/>
        <v>42.999999999999957</v>
      </c>
      <c r="L288" s="7">
        <f t="shared" si="147"/>
        <v>7.1527777777777746E-2</v>
      </c>
      <c r="M288" s="22">
        <f t="shared" si="148"/>
        <v>7.1527777777777746E-2</v>
      </c>
      <c r="N288" s="426">
        <v>2398.4</v>
      </c>
      <c r="O288" s="417"/>
      <c r="P288" s="445" t="s">
        <v>274</v>
      </c>
      <c r="Q288" s="453">
        <f t="shared" si="149"/>
        <v>7.4999999999999969E-2</v>
      </c>
      <c r="R288" s="21"/>
    </row>
    <row r="289" spans="1:19" ht="13.5" thickBot="1" x14ac:dyDescent="0.4">
      <c r="A289" s="38">
        <v>43369</v>
      </c>
      <c r="B289" s="24"/>
      <c r="C289" s="41" t="s">
        <v>272</v>
      </c>
      <c r="D289" s="9">
        <v>0.31111111111111112</v>
      </c>
      <c r="E289" s="9">
        <v>0.32777777777777778</v>
      </c>
      <c r="F289" s="304"/>
      <c r="G289" s="269">
        <v>0</v>
      </c>
      <c r="H289" s="28" t="s">
        <v>270</v>
      </c>
      <c r="I289" s="433">
        <v>3</v>
      </c>
      <c r="J289" s="76">
        <f t="shared" si="145"/>
        <v>0</v>
      </c>
      <c r="K289" s="77">
        <f t="shared" si="146"/>
        <v>23.999999999999993</v>
      </c>
      <c r="L289" s="9">
        <f t="shared" si="147"/>
        <v>1.6666666666666663E-2</v>
      </c>
      <c r="M289" s="26">
        <f t="shared" si="148"/>
        <v>1.6666666666666663E-2</v>
      </c>
      <c r="N289" s="427">
        <v>2398.8000000000002</v>
      </c>
      <c r="O289" s="419"/>
      <c r="P289" s="441"/>
      <c r="Q289" s="453">
        <f t="shared" si="149"/>
        <v>2.0138888888888887E-2</v>
      </c>
    </row>
    <row r="290" spans="1:19" ht="13.5" hidden="1" thickBot="1" x14ac:dyDescent="0.45">
      <c r="A290" s="409"/>
      <c r="B290" s="6"/>
      <c r="C290" s="42"/>
      <c r="D290" s="6"/>
      <c r="E290" s="6"/>
      <c r="F290" s="305"/>
      <c r="G290" s="266"/>
      <c r="H290" s="12"/>
      <c r="I290" s="434"/>
      <c r="J290" s="79">
        <f>SUM(J282:J289)</f>
        <v>8769</v>
      </c>
      <c r="K290" s="80">
        <f>SUM(K282:K289)</f>
        <v>287.99999999999989</v>
      </c>
      <c r="L290" s="10">
        <f>SUM(L283:L289)</f>
        <v>0.33333333333333326</v>
      </c>
      <c r="M290" s="10"/>
      <c r="N290" s="424">
        <f>MAX(N283:N289)</f>
        <v>2398.8000000000002</v>
      </c>
      <c r="O290" s="425">
        <f>MAX(O283:O289)</f>
        <v>3.57</v>
      </c>
      <c r="P290" s="442"/>
      <c r="Q290" s="454">
        <f>IF(L290=0,0,$Q$2+L290)</f>
        <v>0.33680555555555547</v>
      </c>
    </row>
    <row r="291" spans="1:19" ht="13.5" thickBot="1" x14ac:dyDescent="0.45">
      <c r="A291" s="410" t="s">
        <v>16</v>
      </c>
      <c r="B291" s="89"/>
      <c r="C291" s="90"/>
      <c r="D291" s="89"/>
      <c r="E291" s="89"/>
      <c r="F291" s="306"/>
      <c r="G291" s="81"/>
      <c r="H291" s="92"/>
      <c r="I291" s="435">
        <f>SUM(I282:I289)</f>
        <v>13059</v>
      </c>
      <c r="J291" s="81">
        <f>ROUNDDOWN(K290/60,0)+J290</f>
        <v>8773</v>
      </c>
      <c r="K291" s="82">
        <f>ROUND(K290-(ROUNDDOWN(K290/60,0)*60),0)</f>
        <v>48</v>
      </c>
      <c r="L291" s="271">
        <f>L290</f>
        <v>0.33333333333333326</v>
      </c>
      <c r="M291" s="93"/>
      <c r="N291" s="422">
        <f>N290-N281</f>
        <v>8</v>
      </c>
      <c r="O291" s="423" t="str">
        <f>IF(OR(O282="N/A",O282="N / A", O282="N/ A",O282="N /A"),"N / A", O290-O281)</f>
        <v>N / A</v>
      </c>
      <c r="P291" s="443"/>
      <c r="Q291" s="454">
        <f>SUM(Q283:Q289)</f>
        <v>0.35763888888888878</v>
      </c>
    </row>
    <row r="292" spans="1:19" ht="13.15" x14ac:dyDescent="0.35">
      <c r="A292" s="34">
        <v>43369</v>
      </c>
      <c r="C292" s="40" t="s">
        <v>272</v>
      </c>
      <c r="D292" s="7">
        <v>0.3347222222222222</v>
      </c>
      <c r="E292" s="7">
        <v>0.34861111111111115</v>
      </c>
      <c r="G292" s="2">
        <v>0</v>
      </c>
      <c r="H292" s="3" t="s">
        <v>270</v>
      </c>
      <c r="I292" s="432">
        <v>3</v>
      </c>
      <c r="J292" s="74">
        <f t="shared" ref="J292:J298" si="150">ROUNDDOWN(M292*24,0)</f>
        <v>0</v>
      </c>
      <c r="K292" s="75">
        <f t="shared" ref="K292:K298" si="151">(M292*24-J292)*60</f>
        <v>20.000000000000089</v>
      </c>
      <c r="L292" s="7">
        <f t="shared" ref="L292:L298" si="152">E292-D292</f>
        <v>1.3888888888888951E-2</v>
      </c>
      <c r="M292" s="22">
        <f t="shared" ref="M292:M298" si="153">L292</f>
        <v>1.3888888888888951E-2</v>
      </c>
      <c r="N292" s="426">
        <v>2399.1</v>
      </c>
      <c r="O292" s="417"/>
      <c r="P292" s="440"/>
      <c r="Q292" s="453">
        <f t="shared" ref="Q292:Q298" si="154">IF(L292=0,0,$Q$2+L292)</f>
        <v>1.7361111111111174E-2</v>
      </c>
    </row>
    <row r="293" spans="1:19" ht="13.15" x14ac:dyDescent="0.35">
      <c r="A293" s="34">
        <v>43369</v>
      </c>
      <c r="C293" s="40" t="s">
        <v>272</v>
      </c>
      <c r="D293" s="7">
        <v>0.35902777777777778</v>
      </c>
      <c r="E293" s="7">
        <v>0.37847222222222227</v>
      </c>
      <c r="G293" s="2">
        <v>0</v>
      </c>
      <c r="H293" s="3" t="s">
        <v>283</v>
      </c>
      <c r="I293" s="432">
        <v>1</v>
      </c>
      <c r="J293" s="74">
        <f t="shared" si="150"/>
        <v>0</v>
      </c>
      <c r="K293" s="75">
        <f t="shared" si="151"/>
        <v>28.00000000000006</v>
      </c>
      <c r="L293" s="7">
        <f t="shared" si="152"/>
        <v>1.9444444444444486E-2</v>
      </c>
      <c r="M293" s="22">
        <f t="shared" si="153"/>
        <v>1.9444444444444486E-2</v>
      </c>
      <c r="N293" s="426">
        <v>2399.5</v>
      </c>
      <c r="O293" s="417"/>
      <c r="P293" s="440"/>
      <c r="Q293" s="453">
        <f t="shared" si="154"/>
        <v>2.291666666666671E-2</v>
      </c>
    </row>
    <row r="294" spans="1:19" ht="13.15" x14ac:dyDescent="0.35">
      <c r="A294" s="34">
        <v>43369</v>
      </c>
      <c r="C294" s="40" t="s">
        <v>272</v>
      </c>
      <c r="D294" s="7">
        <v>0.39027777777777778</v>
      </c>
      <c r="E294" s="7">
        <v>0.4055555555555555</v>
      </c>
      <c r="G294" s="2">
        <v>0</v>
      </c>
      <c r="H294" s="3" t="s">
        <v>283</v>
      </c>
      <c r="I294" s="432">
        <v>1</v>
      </c>
      <c r="J294" s="74">
        <f t="shared" si="150"/>
        <v>0</v>
      </c>
      <c r="K294" s="75">
        <f t="shared" si="151"/>
        <v>21.999999999999922</v>
      </c>
      <c r="L294" s="7">
        <f t="shared" si="152"/>
        <v>1.5277777777777724E-2</v>
      </c>
      <c r="M294" s="22">
        <f t="shared" si="153"/>
        <v>1.5277777777777724E-2</v>
      </c>
      <c r="N294" s="426">
        <v>2399.8000000000002</v>
      </c>
      <c r="O294" s="417"/>
      <c r="P294" s="440"/>
      <c r="Q294" s="453">
        <f t="shared" si="154"/>
        <v>1.8749999999999947E-2</v>
      </c>
    </row>
    <row r="295" spans="1:19" ht="13.15" x14ac:dyDescent="0.35">
      <c r="A295" s="34">
        <v>43371</v>
      </c>
      <c r="C295" s="40" t="s">
        <v>272</v>
      </c>
      <c r="D295" s="7">
        <v>0.6166666666666667</v>
      </c>
      <c r="E295" s="7">
        <v>0.62847222222222221</v>
      </c>
      <c r="G295" s="2">
        <v>0</v>
      </c>
      <c r="H295" s="3" t="s">
        <v>283</v>
      </c>
      <c r="I295" s="432">
        <v>3</v>
      </c>
      <c r="J295" s="74">
        <f t="shared" si="150"/>
        <v>0</v>
      </c>
      <c r="K295" s="75">
        <f t="shared" si="151"/>
        <v>16.99999999999994</v>
      </c>
      <c r="L295" s="7">
        <f t="shared" si="152"/>
        <v>1.1805555555555514E-2</v>
      </c>
      <c r="M295" s="22">
        <f t="shared" si="153"/>
        <v>1.1805555555555514E-2</v>
      </c>
      <c r="N295" s="426">
        <v>2400.1</v>
      </c>
      <c r="O295" s="417"/>
      <c r="P295" s="440"/>
      <c r="Q295" s="453">
        <f t="shared" si="154"/>
        <v>1.5277777777777736E-2</v>
      </c>
    </row>
    <row r="296" spans="1:19" ht="13.15" x14ac:dyDescent="0.4">
      <c r="A296" s="34">
        <v>43373</v>
      </c>
      <c r="C296" s="40" t="s">
        <v>272</v>
      </c>
      <c r="D296" s="7">
        <v>0.32291666666666669</v>
      </c>
      <c r="E296" s="7">
        <v>0.36458333333333331</v>
      </c>
      <c r="G296" s="2">
        <v>0</v>
      </c>
      <c r="H296" s="3" t="s">
        <v>283</v>
      </c>
      <c r="I296" s="432">
        <v>1</v>
      </c>
      <c r="J296" s="74">
        <f t="shared" si="150"/>
        <v>0</v>
      </c>
      <c r="K296" s="75">
        <f t="shared" si="151"/>
        <v>59.999999999999943</v>
      </c>
      <c r="L296" s="7">
        <f t="shared" si="152"/>
        <v>4.166666666666663E-2</v>
      </c>
      <c r="M296" s="22">
        <f t="shared" si="153"/>
        <v>4.166666666666663E-2</v>
      </c>
      <c r="N296" s="426">
        <v>2401.1</v>
      </c>
      <c r="O296" s="417"/>
      <c r="P296" s="440"/>
      <c r="Q296" s="453">
        <f t="shared" si="154"/>
        <v>4.5138888888888853E-2</v>
      </c>
      <c r="R296" s="266"/>
      <c r="S296" s="372"/>
    </row>
    <row r="297" spans="1:19" ht="13.15" x14ac:dyDescent="0.4">
      <c r="A297" s="34">
        <v>43373</v>
      </c>
      <c r="C297" s="40" t="s">
        <v>272</v>
      </c>
      <c r="D297" s="7">
        <v>0.37083333333333335</v>
      </c>
      <c r="E297" s="7">
        <v>0.42291666666666666</v>
      </c>
      <c r="G297" s="2">
        <v>0</v>
      </c>
      <c r="H297" s="3" t="s">
        <v>283</v>
      </c>
      <c r="I297" s="432">
        <v>1</v>
      </c>
      <c r="J297" s="74">
        <f t="shared" si="150"/>
        <v>1</v>
      </c>
      <c r="K297" s="75">
        <f t="shared" si="151"/>
        <v>14.999999999999973</v>
      </c>
      <c r="L297" s="7">
        <f t="shared" si="152"/>
        <v>5.2083333333333315E-2</v>
      </c>
      <c r="M297" s="22">
        <f t="shared" si="153"/>
        <v>5.2083333333333315E-2</v>
      </c>
      <c r="N297" s="426">
        <v>2402.1999999999998</v>
      </c>
      <c r="O297" s="417"/>
      <c r="P297" s="440"/>
      <c r="Q297" s="453">
        <f t="shared" si="154"/>
        <v>5.5555555555555539E-2</v>
      </c>
      <c r="R297" s="266"/>
      <c r="S297" s="372"/>
    </row>
    <row r="298" spans="1:19" ht="13.5" thickBot="1" x14ac:dyDescent="0.4">
      <c r="A298" s="38">
        <v>43373</v>
      </c>
      <c r="B298" s="24"/>
      <c r="C298" s="41" t="s">
        <v>272</v>
      </c>
      <c r="D298" s="9">
        <v>0.50555555555555554</v>
      </c>
      <c r="E298" s="9">
        <v>0.5444444444444444</v>
      </c>
      <c r="F298" s="304"/>
      <c r="G298" s="269">
        <v>0</v>
      </c>
      <c r="H298" s="28" t="s">
        <v>283</v>
      </c>
      <c r="I298" s="433">
        <v>1</v>
      </c>
      <c r="J298" s="76">
        <f t="shared" si="150"/>
        <v>0</v>
      </c>
      <c r="K298" s="77">
        <f t="shared" si="151"/>
        <v>55.999999999999957</v>
      </c>
      <c r="L298" s="9">
        <f t="shared" si="152"/>
        <v>3.8888888888888862E-2</v>
      </c>
      <c r="M298" s="26">
        <f t="shared" si="153"/>
        <v>3.8888888888888862E-2</v>
      </c>
      <c r="N298" s="427">
        <v>2403.1</v>
      </c>
      <c r="O298" s="419"/>
      <c r="P298" s="441"/>
      <c r="Q298" s="453">
        <f t="shared" si="154"/>
        <v>4.2361111111111086E-2</v>
      </c>
    </row>
    <row r="299" spans="1:19" ht="13.5" hidden="1" thickBot="1" x14ac:dyDescent="0.45">
      <c r="A299" s="409"/>
      <c r="B299" s="6"/>
      <c r="C299" s="42"/>
      <c r="D299" s="6"/>
      <c r="E299" s="6"/>
      <c r="F299" s="305"/>
      <c r="G299" s="266"/>
      <c r="H299" s="12"/>
      <c r="I299" s="434"/>
      <c r="J299" s="79">
        <f>SUM(J291:J298)</f>
        <v>8774</v>
      </c>
      <c r="K299" s="80">
        <f>SUM(K291:K298)</f>
        <v>265.99999999999989</v>
      </c>
      <c r="L299" s="10">
        <f>SUM(L292:L298)</f>
        <v>0.19305555555555548</v>
      </c>
      <c r="M299" s="10"/>
      <c r="N299" s="424">
        <f>MAX(N292:N298)</f>
        <v>2403.1</v>
      </c>
      <c r="O299" s="425">
        <f>MAX(O292:O298)</f>
        <v>0</v>
      </c>
      <c r="P299" s="442"/>
      <c r="Q299" s="454">
        <f>IF(L299=0,0,$Q$2+L299)</f>
        <v>0.19652777777777769</v>
      </c>
    </row>
    <row r="300" spans="1:19" ht="13.5" thickBot="1" x14ac:dyDescent="0.45">
      <c r="A300" s="410" t="s">
        <v>16</v>
      </c>
      <c r="B300" s="89"/>
      <c r="C300" s="90"/>
      <c r="D300" s="89"/>
      <c r="E300" s="89"/>
      <c r="F300" s="306"/>
      <c r="G300" s="81"/>
      <c r="H300" s="92"/>
      <c r="I300" s="435">
        <f>SUM(I291:I298)</f>
        <v>13070</v>
      </c>
      <c r="J300" s="81">
        <f>ROUNDDOWN(K299/60,0)+J299</f>
        <v>8778</v>
      </c>
      <c r="K300" s="82">
        <f>ROUND(K299-(ROUNDDOWN(K299/60,0)*60),0)</f>
        <v>26</v>
      </c>
      <c r="L300" s="271">
        <f>L299</f>
        <v>0.19305555555555548</v>
      </c>
      <c r="M300" s="93"/>
      <c r="N300" s="422">
        <f>N299-N290</f>
        <v>4.2999999999997272</v>
      </c>
      <c r="O300" s="423" t="str">
        <f>IF(OR(O291="N/A",O291="N / A", O291="N/ A",O291="N /A"),"N / A", O299-O290)</f>
        <v>N / A</v>
      </c>
      <c r="P300" s="443"/>
      <c r="Q300" s="454">
        <f>SUM(Q292:Q298)</f>
        <v>0.21736111111111106</v>
      </c>
    </row>
    <row r="301" spans="1:19" ht="13.15" x14ac:dyDescent="0.35">
      <c r="A301" s="34">
        <v>43373</v>
      </c>
      <c r="C301" s="40" t="s">
        <v>272</v>
      </c>
      <c r="D301" s="7">
        <v>0.5541666666666667</v>
      </c>
      <c r="E301" s="7">
        <v>0.57152777777777775</v>
      </c>
      <c r="G301" s="2">
        <v>0</v>
      </c>
      <c r="H301" s="3" t="s">
        <v>283</v>
      </c>
      <c r="I301" s="432">
        <v>1</v>
      </c>
      <c r="J301" s="74">
        <f t="shared" ref="J301:J307" si="155">ROUNDDOWN(M301*24,0)</f>
        <v>0</v>
      </c>
      <c r="K301" s="75">
        <f t="shared" ref="K301:K307" si="156">(M301*24-J301)*60</f>
        <v>24.999999999999911</v>
      </c>
      <c r="L301" s="7">
        <f t="shared" ref="L301:L307" si="157">E301-D301</f>
        <v>1.7361111111111049E-2</v>
      </c>
      <c r="M301" s="22">
        <f t="shared" ref="M301:M307" si="158">L301</f>
        <v>1.7361111111111049E-2</v>
      </c>
      <c r="N301" s="426">
        <v>2403.5</v>
      </c>
      <c r="O301" s="417"/>
      <c r="P301" s="440"/>
      <c r="Q301" s="453">
        <f t="shared" ref="Q301:Q307" si="159">IF(L301=0,0,$Q$2+L301)</f>
        <v>2.0833333333333273E-2</v>
      </c>
    </row>
    <row r="302" spans="1:19" ht="13.15" x14ac:dyDescent="0.35">
      <c r="A302" s="34">
        <v>43373</v>
      </c>
      <c r="C302" s="40" t="s">
        <v>272</v>
      </c>
      <c r="D302" s="7">
        <v>0.59444444444444444</v>
      </c>
      <c r="E302" s="7">
        <v>0.63472222222222219</v>
      </c>
      <c r="G302" s="2">
        <v>0</v>
      </c>
      <c r="H302" s="3" t="s">
        <v>283</v>
      </c>
      <c r="I302" s="432">
        <v>1</v>
      </c>
      <c r="J302" s="74">
        <f t="shared" si="155"/>
        <v>0</v>
      </c>
      <c r="K302" s="75">
        <f t="shared" si="156"/>
        <v>57.999999999999957</v>
      </c>
      <c r="L302" s="7">
        <f t="shared" si="157"/>
        <v>4.0277777777777746E-2</v>
      </c>
      <c r="M302" s="22">
        <f t="shared" si="158"/>
        <v>4.0277777777777746E-2</v>
      </c>
      <c r="N302" s="426">
        <v>2404.4</v>
      </c>
      <c r="O302" s="417"/>
      <c r="P302" s="440"/>
      <c r="Q302" s="453">
        <f t="shared" si="159"/>
        <v>4.3749999999999969E-2</v>
      </c>
      <c r="R302" s="373"/>
      <c r="S302" s="3"/>
    </row>
    <row r="303" spans="1:19" ht="13.15" x14ac:dyDescent="0.4">
      <c r="A303" s="34">
        <v>43374</v>
      </c>
      <c r="C303" s="40" t="s">
        <v>272</v>
      </c>
      <c r="D303" s="7">
        <v>0.55694444444444446</v>
      </c>
      <c r="E303" s="7">
        <v>0.60902777777777783</v>
      </c>
      <c r="G303" s="2">
        <v>0</v>
      </c>
      <c r="H303" s="3" t="s">
        <v>283</v>
      </c>
      <c r="I303" s="432">
        <v>1</v>
      </c>
      <c r="J303" s="74">
        <f t="shared" si="155"/>
        <v>1</v>
      </c>
      <c r="K303" s="75">
        <f t="shared" si="156"/>
        <v>15.000000000000053</v>
      </c>
      <c r="L303" s="7">
        <f t="shared" si="157"/>
        <v>5.208333333333337E-2</v>
      </c>
      <c r="M303" s="22">
        <f t="shared" si="158"/>
        <v>5.208333333333337E-2</v>
      </c>
      <c r="N303" s="426">
        <v>2405.6</v>
      </c>
      <c r="O303" s="417"/>
      <c r="P303" s="440"/>
      <c r="Q303" s="453">
        <f t="shared" si="159"/>
        <v>5.5555555555555594E-2</v>
      </c>
      <c r="R303" s="266"/>
      <c r="S303" s="372"/>
    </row>
    <row r="304" spans="1:19" ht="13.15" x14ac:dyDescent="0.4">
      <c r="A304" s="34">
        <v>43377</v>
      </c>
      <c r="C304" s="40" t="s">
        <v>272</v>
      </c>
      <c r="D304" s="7">
        <v>0.31319444444444444</v>
      </c>
      <c r="E304" s="7">
        <v>0.3298611111111111</v>
      </c>
      <c r="G304" s="2">
        <v>0</v>
      </c>
      <c r="H304" s="3" t="s">
        <v>270</v>
      </c>
      <c r="I304" s="432">
        <v>1</v>
      </c>
      <c r="J304" s="74">
        <f t="shared" si="155"/>
        <v>0</v>
      </c>
      <c r="K304" s="75">
        <f t="shared" si="156"/>
        <v>23.999999999999993</v>
      </c>
      <c r="L304" s="7">
        <f t="shared" si="157"/>
        <v>1.6666666666666663E-2</v>
      </c>
      <c r="M304" s="22">
        <f t="shared" si="158"/>
        <v>1.6666666666666663E-2</v>
      </c>
      <c r="N304" s="426">
        <v>2406</v>
      </c>
      <c r="O304" s="417"/>
      <c r="P304" s="440"/>
      <c r="Q304" s="453">
        <f t="shared" si="159"/>
        <v>2.0138888888888887E-2</v>
      </c>
      <c r="R304" s="266"/>
      <c r="S304" s="372"/>
    </row>
    <row r="305" spans="1:19" ht="13.15" x14ac:dyDescent="0.4">
      <c r="A305" s="34">
        <v>43380</v>
      </c>
      <c r="C305" s="40" t="s">
        <v>272</v>
      </c>
      <c r="D305" s="7">
        <v>0.53888888888888886</v>
      </c>
      <c r="E305" s="7">
        <v>0.54999999999999993</v>
      </c>
      <c r="G305" s="2">
        <v>0</v>
      </c>
      <c r="H305" s="3" t="s">
        <v>270</v>
      </c>
      <c r="I305" s="432">
        <v>3</v>
      </c>
      <c r="J305" s="74">
        <f t="shared" si="155"/>
        <v>0</v>
      </c>
      <c r="K305" s="75">
        <f t="shared" si="156"/>
        <v>15.999999999999943</v>
      </c>
      <c r="L305" s="7">
        <f t="shared" si="157"/>
        <v>1.1111111111111072E-2</v>
      </c>
      <c r="M305" s="22">
        <f t="shared" si="158"/>
        <v>1.1111111111111072E-2</v>
      </c>
      <c r="N305" s="426">
        <v>2406.4</v>
      </c>
      <c r="O305" s="417"/>
      <c r="P305" s="440"/>
      <c r="Q305" s="453">
        <f t="shared" si="159"/>
        <v>1.4583333333333294E-2</v>
      </c>
      <c r="R305" s="266"/>
      <c r="S305" s="372"/>
    </row>
    <row r="306" spans="1:19" ht="13.15" x14ac:dyDescent="0.4">
      <c r="A306" s="34">
        <v>43380</v>
      </c>
      <c r="C306" s="40" t="s">
        <v>272</v>
      </c>
      <c r="D306" s="7">
        <v>0.56458333333333333</v>
      </c>
      <c r="E306" s="7">
        <v>0.61388888888888882</v>
      </c>
      <c r="G306" s="2">
        <v>0</v>
      </c>
      <c r="H306" s="3" t="s">
        <v>270</v>
      </c>
      <c r="I306" s="432">
        <v>1</v>
      </c>
      <c r="J306" s="74">
        <f t="shared" si="155"/>
        <v>1</v>
      </c>
      <c r="K306" s="75">
        <f t="shared" si="156"/>
        <v>10.999999999999908</v>
      </c>
      <c r="L306" s="7">
        <f t="shared" si="157"/>
        <v>4.9305555555555491E-2</v>
      </c>
      <c r="M306" s="22">
        <f t="shared" si="158"/>
        <v>4.9305555555555491E-2</v>
      </c>
      <c r="N306" s="426">
        <v>2407.4</v>
      </c>
      <c r="O306" s="417"/>
      <c r="P306" s="440"/>
      <c r="Q306" s="453">
        <f t="shared" si="159"/>
        <v>5.2777777777777715E-2</v>
      </c>
      <c r="R306" s="266"/>
      <c r="S306" s="372"/>
    </row>
    <row r="307" spans="1:19" ht="13.5" thickBot="1" x14ac:dyDescent="0.4">
      <c r="A307" s="38">
        <v>43384</v>
      </c>
      <c r="B307" s="24"/>
      <c r="C307" s="41" t="s">
        <v>272</v>
      </c>
      <c r="D307" s="9">
        <v>0.46180555555555558</v>
      </c>
      <c r="E307" s="9">
        <v>0.5</v>
      </c>
      <c r="F307" s="304"/>
      <c r="G307" s="269">
        <v>0</v>
      </c>
      <c r="H307" s="28" t="s">
        <v>270</v>
      </c>
      <c r="I307" s="433">
        <v>1</v>
      </c>
      <c r="J307" s="76">
        <f t="shared" si="155"/>
        <v>0</v>
      </c>
      <c r="K307" s="77">
        <f t="shared" si="156"/>
        <v>54.999999999999964</v>
      </c>
      <c r="L307" s="9">
        <f t="shared" si="157"/>
        <v>3.819444444444442E-2</v>
      </c>
      <c r="M307" s="26">
        <f t="shared" si="158"/>
        <v>3.819444444444442E-2</v>
      </c>
      <c r="N307" s="427">
        <v>2408.3000000000002</v>
      </c>
      <c r="O307" s="419"/>
      <c r="P307" s="441"/>
      <c r="Q307" s="453">
        <f t="shared" si="159"/>
        <v>4.1666666666666644E-2</v>
      </c>
    </row>
    <row r="308" spans="1:19" ht="13.5" hidden="1" thickBot="1" x14ac:dyDescent="0.45">
      <c r="A308" s="409"/>
      <c r="B308" s="6"/>
      <c r="C308" s="42"/>
      <c r="D308" s="6"/>
      <c r="E308" s="6"/>
      <c r="F308" s="305"/>
      <c r="G308" s="266"/>
      <c r="H308" s="12"/>
      <c r="I308" s="434"/>
      <c r="J308" s="79">
        <f>SUM(J300:J307)</f>
        <v>8780</v>
      </c>
      <c r="K308" s="80">
        <f>SUM(K300:K307)</f>
        <v>229.99999999999974</v>
      </c>
      <c r="L308" s="10">
        <f>SUM(L301:L307)</f>
        <v>0.22499999999999981</v>
      </c>
      <c r="M308" s="10"/>
      <c r="N308" s="424">
        <f>MAX(N301:N307)</f>
        <v>2408.3000000000002</v>
      </c>
      <c r="O308" s="425">
        <f>MAX(O301:O307)</f>
        <v>0</v>
      </c>
      <c r="P308" s="442"/>
      <c r="Q308" s="454">
        <f>IF(L308=0,0,$Q$2+L308)</f>
        <v>0.22847222222222202</v>
      </c>
    </row>
    <row r="309" spans="1:19" ht="13.5" thickBot="1" x14ac:dyDescent="0.45">
      <c r="A309" s="410" t="s">
        <v>16</v>
      </c>
      <c r="B309" s="89"/>
      <c r="C309" s="90"/>
      <c r="D309" s="89"/>
      <c r="E309" s="89"/>
      <c r="F309" s="306"/>
      <c r="G309" s="81"/>
      <c r="H309" s="92"/>
      <c r="I309" s="435">
        <f>SUM(I300:I307)</f>
        <v>13079</v>
      </c>
      <c r="J309" s="81">
        <f>ROUNDDOWN(K308/60,0)+J308</f>
        <v>8783</v>
      </c>
      <c r="K309" s="82">
        <f>ROUND(K308-(ROUNDDOWN(K308/60,0)*60),0)</f>
        <v>50</v>
      </c>
      <c r="L309" s="271">
        <f>L308</f>
        <v>0.22499999999999981</v>
      </c>
      <c r="M309" s="93"/>
      <c r="N309" s="422">
        <f>N308-N299</f>
        <v>5.2000000000002728</v>
      </c>
      <c r="O309" s="423" t="str">
        <f>IF(OR(O300="N/A",O300="N / A", O300="N/ A",O300="N /A"),"N / A", O308-O299)</f>
        <v>N / A</v>
      </c>
      <c r="P309" s="443"/>
      <c r="Q309" s="454">
        <f>SUM(Q301:Q307)</f>
        <v>0.24930555555555534</v>
      </c>
    </row>
    <row r="310" spans="1:19" ht="13.15" x14ac:dyDescent="0.35">
      <c r="A310" s="34">
        <v>43386</v>
      </c>
      <c r="C310" s="40" t="s">
        <v>272</v>
      </c>
      <c r="D310" s="7">
        <v>0.55208333333333337</v>
      </c>
      <c r="E310" s="7">
        <v>0.60277777777777775</v>
      </c>
      <c r="G310" s="2">
        <v>0</v>
      </c>
      <c r="H310" s="3" t="s">
        <v>270</v>
      </c>
      <c r="I310" s="432">
        <v>1</v>
      </c>
      <c r="J310" s="74">
        <f t="shared" ref="J310:J316" si="160">ROUNDDOWN(M310*24,0)</f>
        <v>1</v>
      </c>
      <c r="K310" s="75">
        <f t="shared" ref="K310:K316" si="161">(M310*24-J310)*60</f>
        <v>12.999999999999901</v>
      </c>
      <c r="L310" s="7">
        <f t="shared" ref="L310:L316" si="162">E310-D310</f>
        <v>5.0694444444444375E-2</v>
      </c>
      <c r="M310" s="22">
        <f t="shared" ref="M310:M316" si="163">L310</f>
        <v>5.0694444444444375E-2</v>
      </c>
      <c r="N310" s="426">
        <v>2409.5</v>
      </c>
      <c r="O310" s="417"/>
      <c r="P310" s="440"/>
      <c r="Q310" s="453">
        <f t="shared" ref="Q310:Q316" si="164">IF(L310=0,0,$Q$2+L310)</f>
        <v>5.4166666666666599E-2</v>
      </c>
    </row>
    <row r="311" spans="1:19" ht="13.15" x14ac:dyDescent="0.4">
      <c r="A311" s="34">
        <v>43387</v>
      </c>
      <c r="C311" s="40" t="s">
        <v>272</v>
      </c>
      <c r="D311" s="7">
        <v>0.50138888888888888</v>
      </c>
      <c r="E311" s="7">
        <v>0.54861111111111105</v>
      </c>
      <c r="G311" s="2">
        <v>0</v>
      </c>
      <c r="H311" s="3" t="s">
        <v>270</v>
      </c>
      <c r="I311" s="432">
        <v>1</v>
      </c>
      <c r="J311" s="74">
        <f t="shared" si="160"/>
        <v>1</v>
      </c>
      <c r="K311" s="75">
        <f t="shared" si="161"/>
        <v>7.9999999999999183</v>
      </c>
      <c r="L311" s="7">
        <f t="shared" si="162"/>
        <v>4.7222222222222165E-2</v>
      </c>
      <c r="M311" s="22">
        <f t="shared" si="163"/>
        <v>4.7222222222222165E-2</v>
      </c>
      <c r="N311" s="426">
        <v>2410.6</v>
      </c>
      <c r="O311" s="417"/>
      <c r="P311" s="440"/>
      <c r="Q311" s="478">
        <f t="shared" si="164"/>
        <v>5.0694444444444389E-2</v>
      </c>
      <c r="R311" s="619"/>
      <c r="S311" s="620"/>
    </row>
    <row r="312" spans="1:19" ht="13.15" x14ac:dyDescent="0.35">
      <c r="A312" s="34">
        <v>43387</v>
      </c>
      <c r="C312" s="40" t="s">
        <v>272</v>
      </c>
      <c r="D312" s="7">
        <v>0.56319444444444444</v>
      </c>
      <c r="E312" s="7">
        <v>0.6069444444444444</v>
      </c>
      <c r="G312" s="2">
        <v>0</v>
      </c>
      <c r="H312" s="3" t="s">
        <v>270</v>
      </c>
      <c r="I312" s="432">
        <v>1</v>
      </c>
      <c r="J312" s="74">
        <f t="shared" si="160"/>
        <v>1</v>
      </c>
      <c r="K312" s="75">
        <f t="shared" si="161"/>
        <v>2.9999999999999361</v>
      </c>
      <c r="L312" s="7">
        <f t="shared" si="162"/>
        <v>4.3749999999999956E-2</v>
      </c>
      <c r="M312" s="22">
        <f t="shared" si="163"/>
        <v>4.3749999999999956E-2</v>
      </c>
      <c r="N312" s="426">
        <v>2411.6</v>
      </c>
      <c r="O312" s="417"/>
      <c r="P312" s="440"/>
      <c r="Q312" s="478">
        <f t="shared" si="164"/>
        <v>4.7222222222222179E-2</v>
      </c>
      <c r="R312" s="555"/>
      <c r="S312" s="622"/>
    </row>
    <row r="313" spans="1:19" ht="13.15" x14ac:dyDescent="0.35">
      <c r="A313" s="34">
        <v>43388</v>
      </c>
      <c r="C313" s="40" t="s">
        <v>272</v>
      </c>
      <c r="D313" s="7">
        <v>0.37638888888888888</v>
      </c>
      <c r="E313" s="7">
        <v>0.4694444444444445</v>
      </c>
      <c r="G313" s="2">
        <v>0</v>
      </c>
      <c r="H313" s="3" t="s">
        <v>286</v>
      </c>
      <c r="I313" s="432">
        <v>1</v>
      </c>
      <c r="J313" s="74">
        <f t="shared" si="160"/>
        <v>2</v>
      </c>
      <c r="K313" s="75">
        <f t="shared" si="161"/>
        <v>14.000000000000083</v>
      </c>
      <c r="L313" s="7">
        <f t="shared" si="162"/>
        <v>9.3055555555555614E-2</v>
      </c>
      <c r="M313" s="22">
        <f t="shared" si="163"/>
        <v>9.3055555555555614E-2</v>
      </c>
      <c r="N313" s="426">
        <v>2413.6</v>
      </c>
      <c r="O313" s="417"/>
      <c r="P313" s="440"/>
      <c r="Q313" s="478">
        <f t="shared" si="164"/>
        <v>9.6527777777777837E-2</v>
      </c>
      <c r="R313" s="555"/>
      <c r="S313" s="375"/>
    </row>
    <row r="314" spans="1:19" ht="13.15" x14ac:dyDescent="0.4">
      <c r="A314" s="34">
        <v>43396</v>
      </c>
      <c r="C314" s="40">
        <v>0</v>
      </c>
      <c r="D314" s="7">
        <v>0.46527777777777773</v>
      </c>
      <c r="E314" s="7">
        <v>0.4770833333333333</v>
      </c>
      <c r="G314" s="2">
        <v>1</v>
      </c>
      <c r="I314" s="432">
        <v>1</v>
      </c>
      <c r="J314" s="74">
        <f t="shared" si="160"/>
        <v>0</v>
      </c>
      <c r="K314" s="75">
        <f t="shared" si="161"/>
        <v>17.000000000000021</v>
      </c>
      <c r="L314" s="7">
        <f>E314-D314</f>
        <v>1.1805555555555569E-2</v>
      </c>
      <c r="M314" s="22">
        <f t="shared" si="163"/>
        <v>1.1805555555555569E-2</v>
      </c>
      <c r="N314" s="426">
        <v>2413.9</v>
      </c>
      <c r="O314" s="417"/>
      <c r="P314" s="440"/>
      <c r="Q314" s="478">
        <f>L314</f>
        <v>1.1805555555555569E-2</v>
      </c>
      <c r="R314" s="621"/>
      <c r="S314" s="372"/>
    </row>
    <row r="315" spans="1:19" ht="13.15" x14ac:dyDescent="0.35">
      <c r="A315" s="34">
        <v>43405</v>
      </c>
      <c r="C315" s="40">
        <v>20</v>
      </c>
      <c r="D315" s="7">
        <v>0.4770833333333333</v>
      </c>
      <c r="E315" s="7">
        <v>0.53402777777777777</v>
      </c>
      <c r="G315" s="2">
        <v>1</v>
      </c>
      <c r="I315" s="432">
        <v>1</v>
      </c>
      <c r="J315" s="74">
        <f t="shared" si="160"/>
        <v>1</v>
      </c>
      <c r="K315" s="75">
        <f t="shared" si="161"/>
        <v>22.000000000000028</v>
      </c>
      <c r="L315" s="7">
        <f t="shared" si="162"/>
        <v>5.6944444444444464E-2</v>
      </c>
      <c r="M315" s="22">
        <f t="shared" si="163"/>
        <v>5.6944444444444464E-2</v>
      </c>
      <c r="N315" s="426">
        <v>2415.4</v>
      </c>
      <c r="O315" s="417"/>
      <c r="P315" s="440"/>
      <c r="Q315" s="453">
        <f t="shared" si="164"/>
        <v>6.0416666666666688E-2</v>
      </c>
      <c r="R315" s="555"/>
      <c r="S315" s="372"/>
    </row>
    <row r="316" spans="1:19" ht="13.5" thickBot="1" x14ac:dyDescent="0.4">
      <c r="A316" s="38">
        <v>43411</v>
      </c>
      <c r="B316" s="24"/>
      <c r="C316" s="41">
        <v>20</v>
      </c>
      <c r="D316" s="9">
        <v>0.36527777777777781</v>
      </c>
      <c r="E316" s="9">
        <v>0.48402777777777778</v>
      </c>
      <c r="F316" s="304"/>
      <c r="G316" s="269">
        <v>0</v>
      </c>
      <c r="H316" s="28" t="s">
        <v>294</v>
      </c>
      <c r="I316" s="433">
        <v>1</v>
      </c>
      <c r="J316" s="76">
        <f t="shared" si="160"/>
        <v>2</v>
      </c>
      <c r="K316" s="77">
        <f t="shared" si="161"/>
        <v>50.99999999999995</v>
      </c>
      <c r="L316" s="9">
        <f t="shared" si="162"/>
        <v>0.11874999999999997</v>
      </c>
      <c r="M316" s="26">
        <f t="shared" si="163"/>
        <v>0.11874999999999997</v>
      </c>
      <c r="N316" s="427">
        <v>2418.3000000000002</v>
      </c>
      <c r="O316" s="419"/>
      <c r="P316" s="441"/>
      <c r="Q316" s="453">
        <f t="shared" si="164"/>
        <v>0.12222222222222219</v>
      </c>
    </row>
    <row r="317" spans="1:19" ht="13.5" hidden="1" thickBot="1" x14ac:dyDescent="0.45">
      <c r="A317" s="409"/>
      <c r="B317" s="6"/>
      <c r="C317" s="42"/>
      <c r="D317" s="6"/>
      <c r="E317" s="6"/>
      <c r="F317" s="305"/>
      <c r="G317" s="266"/>
      <c r="H317" s="12"/>
      <c r="I317" s="434"/>
      <c r="J317" s="79">
        <f>SUM(J309:J316)</f>
        <v>8791</v>
      </c>
      <c r="K317" s="80">
        <f>SUM(K309:K316)</f>
        <v>177.99999999999983</v>
      </c>
      <c r="L317" s="10">
        <f>SUM(L310:L316)</f>
        <v>0.42222222222222211</v>
      </c>
      <c r="M317" s="10"/>
      <c r="N317" s="424">
        <f>MAX(N310:N316)</f>
        <v>2418.3000000000002</v>
      </c>
      <c r="O317" s="425">
        <f>MAX(O310:O316)</f>
        <v>0</v>
      </c>
      <c r="P317" s="442"/>
      <c r="Q317" s="454">
        <f>IF(L317=0,0,$Q$2+L317)</f>
        <v>0.42569444444444432</v>
      </c>
    </row>
    <row r="318" spans="1:19" ht="13.5" thickBot="1" x14ac:dyDescent="0.45">
      <c r="A318" s="410" t="s">
        <v>16</v>
      </c>
      <c r="B318" s="89"/>
      <c r="C318" s="90"/>
      <c r="D318" s="89"/>
      <c r="E318" s="89"/>
      <c r="F318" s="306"/>
      <c r="G318" s="81"/>
      <c r="H318" s="92"/>
      <c r="I318" s="435">
        <f>SUM(I309:I316)</f>
        <v>13086</v>
      </c>
      <c r="J318" s="81">
        <f>ROUNDDOWN(K317/60,0)+J317</f>
        <v>8793</v>
      </c>
      <c r="K318" s="82">
        <f>ROUND(K317-(ROUNDDOWN(K317/60,0)*60),0)</f>
        <v>58</v>
      </c>
      <c r="L318" s="271">
        <f>L317</f>
        <v>0.42222222222222211</v>
      </c>
      <c r="M318" s="93"/>
      <c r="N318" s="422">
        <f>N317-N308</f>
        <v>10</v>
      </c>
      <c r="O318" s="423" t="str">
        <f>IF(OR(O309="N/A",O309="N / A", O309="N/ A",O309="N /A"),"N / A", O317-O308)</f>
        <v>N / A</v>
      </c>
      <c r="P318" s="443"/>
      <c r="Q318" s="454">
        <f>SUM(Q310:Q316)</f>
        <v>0.44305555555555542</v>
      </c>
    </row>
    <row r="319" spans="1:19" ht="13.15" x14ac:dyDescent="0.35">
      <c r="A319" s="34">
        <v>43411</v>
      </c>
      <c r="C319" s="40">
        <v>20</v>
      </c>
      <c r="D319" s="7">
        <v>0.51388888888888895</v>
      </c>
      <c r="E319" s="7">
        <v>0.5229166666666667</v>
      </c>
      <c r="G319" s="2">
        <v>0</v>
      </c>
      <c r="H319" s="3" t="s">
        <v>295</v>
      </c>
      <c r="I319" s="432">
        <v>1</v>
      </c>
      <c r="J319" s="74">
        <f t="shared" ref="J319:J325" si="165">ROUNDDOWN(M319*24,0)</f>
        <v>0</v>
      </c>
      <c r="K319" s="75">
        <f t="shared" ref="K319:K325" si="166">(M319*24-J319)*60</f>
        <v>12.999999999999954</v>
      </c>
      <c r="L319" s="7">
        <f t="shared" ref="L319:L325" si="167">E319-D319</f>
        <v>9.0277777777777457E-3</v>
      </c>
      <c r="M319" s="22">
        <f t="shared" ref="M319:M325" si="168">L319</f>
        <v>9.0277777777777457E-3</v>
      </c>
      <c r="N319" s="426">
        <v>2418.6</v>
      </c>
      <c r="O319" s="417"/>
      <c r="P319" s="445" t="s">
        <v>298</v>
      </c>
      <c r="Q319" s="453">
        <f>IF(L319=0,0,$Q$2+L319)</f>
        <v>1.2499999999999968E-2</v>
      </c>
    </row>
    <row r="320" spans="1:19" ht="13.15" x14ac:dyDescent="0.35">
      <c r="A320" s="34">
        <v>43411</v>
      </c>
      <c r="C320" s="40">
        <v>20</v>
      </c>
      <c r="D320" s="7">
        <v>0.57708333333333328</v>
      </c>
      <c r="E320" s="7">
        <v>0.58888888888888891</v>
      </c>
      <c r="G320" s="2">
        <v>0</v>
      </c>
      <c r="H320" s="3" t="s">
        <v>294</v>
      </c>
      <c r="I320" s="432">
        <v>1</v>
      </c>
      <c r="J320" s="74">
        <f t="shared" si="165"/>
        <v>0</v>
      </c>
      <c r="K320" s="75">
        <f t="shared" si="166"/>
        <v>17.000000000000099</v>
      </c>
      <c r="L320" s="7">
        <f t="shared" si="167"/>
        <v>1.1805555555555625E-2</v>
      </c>
      <c r="M320" s="22">
        <f t="shared" si="168"/>
        <v>1.1805555555555625E-2</v>
      </c>
      <c r="N320" s="426">
        <v>2419</v>
      </c>
      <c r="O320" s="417"/>
      <c r="P320" s="440"/>
      <c r="Q320" s="453">
        <f>IF(L320=0,0,$Q$2+L320)</f>
        <v>1.5277777777777847E-2</v>
      </c>
    </row>
    <row r="321" spans="1:19" ht="13.15" x14ac:dyDescent="0.35">
      <c r="A321" s="34">
        <v>43411</v>
      </c>
      <c r="C321" s="40">
        <v>20</v>
      </c>
      <c r="D321" s="7">
        <v>0.61875000000000002</v>
      </c>
      <c r="E321" s="7">
        <v>0.6777777777777777</v>
      </c>
      <c r="G321" s="2">
        <v>0</v>
      </c>
      <c r="H321" s="3" t="s">
        <v>296</v>
      </c>
      <c r="I321" s="432">
        <v>1</v>
      </c>
      <c r="J321" s="74">
        <f t="shared" si="165"/>
        <v>1</v>
      </c>
      <c r="K321" s="75">
        <f t="shared" si="166"/>
        <v>24.999999999999858</v>
      </c>
      <c r="L321" s="7">
        <f t="shared" si="167"/>
        <v>5.9027777777777679E-2</v>
      </c>
      <c r="M321" s="22">
        <f t="shared" si="168"/>
        <v>5.9027777777777679E-2</v>
      </c>
      <c r="N321" s="426">
        <v>2420.5</v>
      </c>
      <c r="O321" s="417"/>
      <c r="P321" s="445" t="s">
        <v>297</v>
      </c>
      <c r="Q321" s="453">
        <f>IF(L321=0,0,$Q$2+L321)</f>
        <v>6.2499999999999903E-2</v>
      </c>
    </row>
    <row r="322" spans="1:19" ht="13.15" x14ac:dyDescent="0.35">
      <c r="A322" s="34">
        <v>43412</v>
      </c>
      <c r="C322" s="40">
        <v>20</v>
      </c>
      <c r="D322" s="7">
        <v>0.41111111111111115</v>
      </c>
      <c r="E322" s="7">
        <v>0.52361111111111114</v>
      </c>
      <c r="G322" s="2">
        <v>1</v>
      </c>
      <c r="I322" s="432">
        <v>1</v>
      </c>
      <c r="J322" s="74">
        <f t="shared" si="165"/>
        <v>2</v>
      </c>
      <c r="K322" s="75">
        <f t="shared" si="166"/>
        <v>41.999999999999986</v>
      </c>
      <c r="L322" s="7">
        <f t="shared" si="167"/>
        <v>0.11249999999999999</v>
      </c>
      <c r="M322" s="22">
        <f t="shared" si="168"/>
        <v>0.11249999999999999</v>
      </c>
      <c r="N322" s="426">
        <v>2423.1999999999998</v>
      </c>
      <c r="O322" s="417"/>
      <c r="P322" s="440"/>
      <c r="Q322" s="453">
        <f>IF(L322=0,0,$Q$2+L322)</f>
        <v>0.11597222222222221</v>
      </c>
    </row>
    <row r="323" spans="1:19" ht="13.15" x14ac:dyDescent="0.35">
      <c r="A323" s="34">
        <v>43434</v>
      </c>
      <c r="C323" s="40">
        <v>0</v>
      </c>
      <c r="D323" s="7">
        <v>0.36527777777777781</v>
      </c>
      <c r="E323" s="7">
        <v>0.37013888888888885</v>
      </c>
      <c r="G323" s="2">
        <v>1</v>
      </c>
      <c r="I323" s="432">
        <v>1</v>
      </c>
      <c r="J323" s="74">
        <f t="shared" si="165"/>
        <v>0</v>
      </c>
      <c r="K323" s="75">
        <f t="shared" si="166"/>
        <v>6.9999999999998952</v>
      </c>
      <c r="L323" s="7">
        <f t="shared" si="167"/>
        <v>4.8611111111110383E-3</v>
      </c>
      <c r="M323" s="22">
        <f t="shared" si="168"/>
        <v>4.8611111111110383E-3</v>
      </c>
      <c r="N323" s="426">
        <v>2423.5</v>
      </c>
      <c r="O323" s="417"/>
      <c r="P323" s="440"/>
      <c r="Q323" s="453">
        <f>IF(L323=0,0,$Q$2+L323)</f>
        <v>8.3333333333332604E-3</v>
      </c>
    </row>
    <row r="324" spans="1:19" ht="13.15" x14ac:dyDescent="0.4">
      <c r="A324" s="34">
        <v>43462</v>
      </c>
      <c r="C324" s="40">
        <v>0</v>
      </c>
      <c r="D324" s="7">
        <v>0.62222222222222223</v>
      </c>
      <c r="E324" s="7">
        <v>0.63194444444444442</v>
      </c>
      <c r="G324" s="2">
        <v>0</v>
      </c>
      <c r="H324" s="3" t="s">
        <v>110</v>
      </c>
      <c r="I324" s="432">
        <v>1</v>
      </c>
      <c r="J324" s="74">
        <f t="shared" si="165"/>
        <v>0</v>
      </c>
      <c r="K324" s="75">
        <f t="shared" si="166"/>
        <v>13.99999999999995</v>
      </c>
      <c r="L324" s="7">
        <f t="shared" si="167"/>
        <v>9.7222222222221877E-3</v>
      </c>
      <c r="M324" s="22">
        <f t="shared" si="168"/>
        <v>9.7222222222221877E-3</v>
      </c>
      <c r="N324" s="426">
        <v>2423.9</v>
      </c>
      <c r="O324" s="417"/>
      <c r="P324" s="440"/>
      <c r="Q324" s="453">
        <v>9.7222222222222224E-3</v>
      </c>
      <c r="R324" s="476">
        <f>J327</f>
        <v>8799</v>
      </c>
      <c r="S324" s="477">
        <f>K327</f>
        <v>9</v>
      </c>
    </row>
    <row r="325" spans="1:19" ht="13.5" thickBot="1" x14ac:dyDescent="0.45">
      <c r="A325" s="38">
        <v>43462</v>
      </c>
      <c r="B325" s="24"/>
      <c r="C325" s="41">
        <v>0</v>
      </c>
      <c r="D325" s="9">
        <v>0.64652777777777781</v>
      </c>
      <c r="E325" s="9">
        <v>0.65555555555555556</v>
      </c>
      <c r="F325" s="304"/>
      <c r="G325" s="269">
        <v>1</v>
      </c>
      <c r="H325" s="28"/>
      <c r="I325" s="433">
        <v>1</v>
      </c>
      <c r="J325" s="76">
        <f t="shared" si="165"/>
        <v>0</v>
      </c>
      <c r="K325" s="77">
        <f t="shared" si="166"/>
        <v>12.999999999999954</v>
      </c>
      <c r="L325" s="9">
        <f t="shared" si="167"/>
        <v>9.0277777777777457E-3</v>
      </c>
      <c r="M325" s="26">
        <f t="shared" si="168"/>
        <v>9.0277777777777457E-3</v>
      </c>
      <c r="N325" s="427">
        <v>2424.1</v>
      </c>
      <c r="O325" s="419"/>
      <c r="P325" s="441"/>
      <c r="Q325" s="453">
        <v>9.0277777777777787E-3</v>
      </c>
      <c r="R325" s="646" t="s">
        <v>344</v>
      </c>
      <c r="S325" s="647"/>
    </row>
    <row r="326" spans="1:19" ht="13.5" hidden="1" customHeight="1" thickBot="1" x14ac:dyDescent="0.45">
      <c r="A326" s="409"/>
      <c r="B326" s="6"/>
      <c r="C326" s="42"/>
      <c r="D326" s="6"/>
      <c r="E326" s="6"/>
      <c r="F326" s="305"/>
      <c r="G326" s="266"/>
      <c r="H326" s="12"/>
      <c r="I326" s="434"/>
      <c r="J326" s="79">
        <f>SUM(J318:J325)</f>
        <v>8796</v>
      </c>
      <c r="K326" s="80">
        <f>SUM(K318:K325)</f>
        <v>188.99999999999966</v>
      </c>
      <c r="L326" s="10">
        <f>SUM(L319:L325)</f>
        <v>0.21597222222222201</v>
      </c>
      <c r="M326" s="10"/>
      <c r="N326" s="424">
        <f>MAX(N319:N325)</f>
        <v>2424.1</v>
      </c>
      <c r="O326" s="425">
        <f>MAX(O319:O325)</f>
        <v>0</v>
      </c>
      <c r="P326" s="442"/>
      <c r="Q326" s="454">
        <f>IF(L326=0,0,$Q$2+L326)</f>
        <v>0.21944444444444422</v>
      </c>
    </row>
    <row r="327" spans="1:19" ht="13.5" thickBot="1" x14ac:dyDescent="0.45">
      <c r="A327" s="410" t="s">
        <v>16</v>
      </c>
      <c r="B327" s="89"/>
      <c r="C327" s="90"/>
      <c r="D327" s="89"/>
      <c r="E327" s="89"/>
      <c r="F327" s="306"/>
      <c r="G327" s="81"/>
      <c r="H327" s="92"/>
      <c r="I327" s="435">
        <f>SUM(I318:I325)</f>
        <v>13093</v>
      </c>
      <c r="J327" s="81">
        <f>ROUNDDOWN(K326/60,0)+J326</f>
        <v>8799</v>
      </c>
      <c r="K327" s="82">
        <f>ROUND(K326-(ROUNDDOWN(K326/60,0)*60),0)</f>
        <v>9</v>
      </c>
      <c r="L327" s="271">
        <f>L326</f>
        <v>0.21597222222222201</v>
      </c>
      <c r="M327" s="93"/>
      <c r="N327" s="422">
        <f>N326-N317</f>
        <v>5.7999999999997272</v>
      </c>
      <c r="O327" s="423" t="str">
        <f>IF(OR(O318="N/A",O318="N / A", O318="N/ A",O318="N /A"),"N / A", O326-O317)</f>
        <v>N / A</v>
      </c>
      <c r="P327" s="443"/>
      <c r="Q327" s="454">
        <f>SUM(Q319:Q325)</f>
        <v>0.23333333333333317</v>
      </c>
      <c r="R327" s="624">
        <f>R324-R143</f>
        <v>142</v>
      </c>
      <c r="S327" s="625">
        <f>S324-S143</f>
        <v>1.9999999999999858</v>
      </c>
    </row>
    <row r="328" spans="1:19" ht="13.5" thickBot="1" x14ac:dyDescent="0.45">
      <c r="A328" s="34">
        <v>43485</v>
      </c>
      <c r="C328" s="40">
        <v>20</v>
      </c>
      <c r="D328" s="7">
        <v>0.4375</v>
      </c>
      <c r="E328" s="7">
        <v>0.49583333333333335</v>
      </c>
      <c r="G328" s="2"/>
      <c r="H328" s="3" t="s">
        <v>317</v>
      </c>
      <c r="I328" s="432">
        <v>1</v>
      </c>
      <c r="J328" s="74">
        <f t="shared" ref="J328:J334" si="169">ROUNDDOWN(M328*24,0)</f>
        <v>1</v>
      </c>
      <c r="K328" s="75">
        <f t="shared" ref="K328:K334" si="170">(M328*24-J328)*60</f>
        <v>24.000000000000021</v>
      </c>
      <c r="L328" s="7">
        <f t="shared" ref="L328:L334" si="171">E328-D328</f>
        <v>5.8333333333333348E-2</v>
      </c>
      <c r="M328" s="22">
        <f t="shared" ref="M328:M334" si="172">L328</f>
        <v>5.8333333333333348E-2</v>
      </c>
      <c r="N328" s="426"/>
      <c r="O328" s="417"/>
      <c r="P328" s="440"/>
      <c r="Q328" s="453">
        <f t="shared" ref="Q328:Q334" si="173">IF(L328=0,0,$Q$2+L328)</f>
        <v>6.1805555555555572E-2</v>
      </c>
      <c r="R328" s="479"/>
      <c r="S328" s="480"/>
    </row>
    <row r="329" spans="1:19" ht="13.15" x14ac:dyDescent="0.4">
      <c r="A329" s="34">
        <v>43485</v>
      </c>
      <c r="C329" s="40">
        <v>20</v>
      </c>
      <c r="D329" s="7">
        <v>0.60972222222222217</v>
      </c>
      <c r="E329" s="7">
        <v>0.67499999999999993</v>
      </c>
      <c r="G329" s="2">
        <v>1</v>
      </c>
      <c r="I329" s="432">
        <v>1</v>
      </c>
      <c r="J329" s="74">
        <f t="shared" si="169"/>
        <v>1</v>
      </c>
      <c r="K329" s="75">
        <f t="shared" si="170"/>
        <v>33.999999999999986</v>
      </c>
      <c r="L329" s="7">
        <f t="shared" si="171"/>
        <v>6.5277777777777768E-2</v>
      </c>
      <c r="M329" s="22">
        <f t="shared" si="172"/>
        <v>6.5277777777777768E-2</v>
      </c>
      <c r="N329" s="426">
        <v>2427.4</v>
      </c>
      <c r="O329" s="417"/>
      <c r="P329" s="440"/>
      <c r="Q329" s="453">
        <f t="shared" si="173"/>
        <v>6.8749999999999992E-2</v>
      </c>
      <c r="R329" s="479">
        <f>R327</f>
        <v>142</v>
      </c>
      <c r="S329" s="480">
        <f>S327</f>
        <v>1.9999999999999858</v>
      </c>
    </row>
    <row r="330" spans="1:19" ht="13.5" thickBot="1" x14ac:dyDescent="0.45">
      <c r="A330" s="34">
        <v>43486</v>
      </c>
      <c r="C330" s="40">
        <v>20</v>
      </c>
      <c r="D330" s="7">
        <v>0.58958333333333335</v>
      </c>
      <c r="E330" s="7">
        <v>0.7006944444444444</v>
      </c>
      <c r="G330" s="2"/>
      <c r="H330" s="3" t="s">
        <v>296</v>
      </c>
      <c r="I330" s="432">
        <v>1</v>
      </c>
      <c r="J330" s="74">
        <f t="shared" si="169"/>
        <v>2</v>
      </c>
      <c r="K330" s="75">
        <f t="shared" si="170"/>
        <v>39.999999999999915</v>
      </c>
      <c r="L330" s="7">
        <f t="shared" si="171"/>
        <v>0.11111111111111105</v>
      </c>
      <c r="M330" s="22">
        <f t="shared" si="172"/>
        <v>0.11111111111111105</v>
      </c>
      <c r="N330" s="426"/>
      <c r="O330" s="417"/>
      <c r="P330" s="440"/>
      <c r="Q330" s="453">
        <f t="shared" si="173"/>
        <v>0.11458333333333327</v>
      </c>
      <c r="R330" s="648" t="s">
        <v>345</v>
      </c>
      <c r="S330" s="649"/>
    </row>
    <row r="331" spans="1:19" ht="13.5" thickBot="1" x14ac:dyDescent="0.45">
      <c r="A331" s="34">
        <v>43487</v>
      </c>
      <c r="C331" s="40">
        <v>20</v>
      </c>
      <c r="D331" s="7">
        <v>0.38194444444444442</v>
      </c>
      <c r="E331" s="7">
        <v>0.41736111111111113</v>
      </c>
      <c r="G331" s="2"/>
      <c r="H331" s="3" t="s">
        <v>320</v>
      </c>
      <c r="I331" s="432">
        <v>1</v>
      </c>
      <c r="J331" s="74">
        <f t="shared" si="169"/>
        <v>0</v>
      </c>
      <c r="K331" s="75">
        <f t="shared" si="170"/>
        <v>51.000000000000057</v>
      </c>
      <c r="L331" s="7">
        <f t="shared" si="171"/>
        <v>3.5416666666666707E-2</v>
      </c>
      <c r="M331" s="22">
        <f t="shared" si="172"/>
        <v>3.5416666666666707E-2</v>
      </c>
      <c r="N331" s="426"/>
      <c r="O331" s="417"/>
      <c r="P331" s="445" t="s">
        <v>321</v>
      </c>
      <c r="Q331" s="453">
        <f t="shared" si="173"/>
        <v>3.8888888888888931E-2</v>
      </c>
      <c r="R331" s="481" t="s">
        <v>227</v>
      </c>
      <c r="S331" s="482">
        <f>Q327+Q318+Q309+Q300+Q291+Q282+Q273+Q264+Q255+Q246+Q237+Q228+Q218+Q209+Q200+Q191+Q182+Q173+Q164+Q155+Q146+Q144</f>
        <v>6.6965277777777787</v>
      </c>
    </row>
    <row r="332" spans="1:19" ht="13.15" x14ac:dyDescent="0.35">
      <c r="A332" s="34">
        <v>43487</v>
      </c>
      <c r="C332" s="40">
        <v>20</v>
      </c>
      <c r="D332" s="7">
        <v>0.4604166666666667</v>
      </c>
      <c r="E332" s="7">
        <v>0.53888888888888886</v>
      </c>
      <c r="G332" s="2"/>
      <c r="H332" s="3" t="s">
        <v>318</v>
      </c>
      <c r="I332" s="432">
        <v>1</v>
      </c>
      <c r="J332" s="74">
        <f t="shared" si="169"/>
        <v>1</v>
      </c>
      <c r="K332" s="75">
        <f t="shared" si="170"/>
        <v>52.999999999999915</v>
      </c>
      <c r="L332" s="7">
        <f t="shared" si="171"/>
        <v>7.8472222222222165E-2</v>
      </c>
      <c r="M332" s="22">
        <f t="shared" si="172"/>
        <v>7.8472222222222165E-2</v>
      </c>
      <c r="N332" s="426"/>
      <c r="O332" s="417"/>
      <c r="P332" s="440"/>
      <c r="Q332" s="453">
        <f t="shared" si="173"/>
        <v>8.1944444444444389E-2</v>
      </c>
    </row>
    <row r="333" spans="1:19" ht="13.15" x14ac:dyDescent="0.35">
      <c r="A333" s="34">
        <v>43487</v>
      </c>
      <c r="C333" s="40">
        <v>20</v>
      </c>
      <c r="D333" s="7">
        <v>0.58472222222222225</v>
      </c>
      <c r="E333" s="7">
        <v>0.68958333333333333</v>
      </c>
      <c r="G333" s="2"/>
      <c r="H333" s="3" t="s">
        <v>319</v>
      </c>
      <c r="I333" s="432">
        <v>1</v>
      </c>
      <c r="J333" s="74">
        <f t="shared" si="169"/>
        <v>2</v>
      </c>
      <c r="K333" s="75">
        <f t="shared" si="170"/>
        <v>30.999999999999943</v>
      </c>
      <c r="L333" s="7">
        <f t="shared" si="171"/>
        <v>0.10486111111111107</v>
      </c>
      <c r="M333" s="22">
        <f t="shared" si="172"/>
        <v>0.10486111111111107</v>
      </c>
      <c r="N333" s="426"/>
      <c r="O333" s="417"/>
      <c r="P333" s="440"/>
      <c r="Q333" s="453">
        <f t="shared" si="173"/>
        <v>0.1083333333333333</v>
      </c>
      <c r="S333" s="22">
        <f>(20*7+1)*5</f>
        <v>705</v>
      </c>
    </row>
    <row r="334" spans="1:19" ht="13.5" thickBot="1" x14ac:dyDescent="0.4">
      <c r="A334" s="38">
        <v>43488</v>
      </c>
      <c r="B334" s="24"/>
      <c r="C334" s="41">
        <v>20</v>
      </c>
      <c r="D334" s="9">
        <v>0.33680555555555558</v>
      </c>
      <c r="E334" s="9">
        <v>0.35069444444444442</v>
      </c>
      <c r="F334" s="304"/>
      <c r="G334" s="269">
        <v>1</v>
      </c>
      <c r="H334" s="28"/>
      <c r="I334" s="433">
        <v>1</v>
      </c>
      <c r="J334" s="76">
        <f t="shared" si="169"/>
        <v>0</v>
      </c>
      <c r="K334" s="77">
        <f t="shared" si="170"/>
        <v>19.999999999999929</v>
      </c>
      <c r="L334" s="9">
        <f t="shared" si="171"/>
        <v>1.388888888888884E-2</v>
      </c>
      <c r="M334" s="26">
        <f t="shared" si="172"/>
        <v>1.388888888888884E-2</v>
      </c>
      <c r="N334" s="427">
        <v>2436.1999999999998</v>
      </c>
      <c r="O334" s="419"/>
      <c r="P334" s="441"/>
      <c r="Q334" s="453">
        <f t="shared" si="173"/>
        <v>1.7361111111111063E-2</v>
      </c>
      <c r="S334" s="22">
        <f>S333/60</f>
        <v>11.75</v>
      </c>
    </row>
    <row r="335" spans="1:19" ht="13.5" hidden="1" thickBot="1" x14ac:dyDescent="0.45">
      <c r="A335" s="409"/>
      <c r="B335" s="6"/>
      <c r="C335" s="42"/>
      <c r="D335" s="6"/>
      <c r="E335" s="6"/>
      <c r="F335" s="305"/>
      <c r="G335" s="266"/>
      <c r="H335" s="12"/>
      <c r="I335" s="434"/>
      <c r="J335" s="79">
        <f>SUM(J327:J334)</f>
        <v>8806</v>
      </c>
      <c r="K335" s="80">
        <f>SUM(K327:K334)</f>
        <v>261.99999999999977</v>
      </c>
      <c r="L335" s="10">
        <f>SUM(L328:L334)</f>
        <v>0.46736111111111095</v>
      </c>
      <c r="M335" s="10"/>
      <c r="N335" s="424">
        <f>MAX(N328:N334)</f>
        <v>2436.1999999999998</v>
      </c>
      <c r="O335" s="425">
        <f>MAX(O328:O334)</f>
        <v>0</v>
      </c>
      <c r="P335" s="442"/>
      <c r="Q335" s="454">
        <f>IF(L335=0,0,$Q$2+L335)</f>
        <v>0.47083333333333316</v>
      </c>
    </row>
    <row r="336" spans="1:19" ht="13.5" thickBot="1" x14ac:dyDescent="0.45">
      <c r="A336" s="410" t="s">
        <v>16</v>
      </c>
      <c r="B336" s="89"/>
      <c r="C336" s="90"/>
      <c r="D336" s="89"/>
      <c r="E336" s="89"/>
      <c r="F336" s="306"/>
      <c r="G336" s="81"/>
      <c r="H336" s="92"/>
      <c r="I336" s="435">
        <f>SUM(I327:I334)</f>
        <v>13100</v>
      </c>
      <c r="J336" s="81">
        <f>ROUNDDOWN(K335/60,0)+J335</f>
        <v>8810</v>
      </c>
      <c r="K336" s="82">
        <f>ROUND(K335-(ROUNDDOWN(K335/60,0)*60),0)</f>
        <v>22</v>
      </c>
      <c r="L336" s="271">
        <f>L335</f>
        <v>0.46736111111111095</v>
      </c>
      <c r="M336" s="93"/>
      <c r="N336" s="422">
        <f>N335-N326</f>
        <v>12.099999999999909</v>
      </c>
      <c r="O336" s="423" t="str">
        <f>IF(OR(O327="N/A",O327="N / A", O327="N/ A",O327="N /A"),"N / A", O335-O326)</f>
        <v>N / A</v>
      </c>
      <c r="P336" s="443"/>
      <c r="Q336" s="454">
        <f>SUM(Q328:Q334)</f>
        <v>0.49166666666666647</v>
      </c>
    </row>
    <row r="337" spans="1:19" ht="13.15" x14ac:dyDescent="0.35">
      <c r="A337" s="34">
        <v>43496</v>
      </c>
      <c r="C337" s="40">
        <v>0</v>
      </c>
      <c r="D337" s="7">
        <v>0.57847222222222217</v>
      </c>
      <c r="E337" s="7">
        <v>0.58263888888888882</v>
      </c>
      <c r="G337" s="2">
        <v>1</v>
      </c>
      <c r="I337" s="432">
        <v>1</v>
      </c>
      <c r="J337" s="74">
        <f t="shared" ref="J337:J343" si="174">ROUNDDOWN(M337*24,0)</f>
        <v>0</v>
      </c>
      <c r="K337" s="75">
        <f t="shared" ref="K337:K343" si="175">(M337*24-J337)*60</f>
        <v>5.9999999999999787</v>
      </c>
      <c r="L337" s="7">
        <f t="shared" ref="L337:L343" si="176">E337-D337</f>
        <v>4.1666666666666519E-3</v>
      </c>
      <c r="M337" s="22">
        <f t="shared" ref="M337:M343" si="177">L337</f>
        <v>4.1666666666666519E-3</v>
      </c>
      <c r="N337" s="426">
        <v>2436</v>
      </c>
      <c r="O337" s="417"/>
      <c r="P337" s="440"/>
      <c r="Q337" s="453">
        <f t="shared" ref="Q337:Q343" si="178">IF(L337=0,0,$Q$2+L337)</f>
        <v>7.6388888888888739E-3</v>
      </c>
    </row>
    <row r="338" spans="1:19" ht="13.15" x14ac:dyDescent="0.35">
      <c r="A338" s="34">
        <v>43510</v>
      </c>
      <c r="C338" s="40">
        <v>15</v>
      </c>
      <c r="D338" s="7">
        <v>0.56111111111111112</v>
      </c>
      <c r="E338" s="7">
        <v>0.63055555555555554</v>
      </c>
      <c r="G338" s="2">
        <v>3</v>
      </c>
      <c r="I338" s="432">
        <v>3</v>
      </c>
      <c r="J338" s="74">
        <f t="shared" si="174"/>
        <v>1</v>
      </c>
      <c r="K338" s="75">
        <f t="shared" si="175"/>
        <v>39.999999999999964</v>
      </c>
      <c r="L338" s="7">
        <f t="shared" si="176"/>
        <v>6.944444444444442E-2</v>
      </c>
      <c r="M338" s="22">
        <f t="shared" si="177"/>
        <v>6.944444444444442E-2</v>
      </c>
      <c r="N338" s="426">
        <v>2438.1</v>
      </c>
      <c r="O338" s="417"/>
      <c r="P338" s="440"/>
      <c r="Q338" s="453">
        <f t="shared" si="178"/>
        <v>7.2916666666666644E-2</v>
      </c>
    </row>
    <row r="339" spans="1:19" ht="13.15" x14ac:dyDescent="0.35">
      <c r="A339" s="34">
        <v>43513</v>
      </c>
      <c r="C339" s="40">
        <v>4</v>
      </c>
      <c r="D339" s="7">
        <v>0.35833333333333334</v>
      </c>
      <c r="E339" s="7">
        <v>0.42708333333333331</v>
      </c>
      <c r="G339" s="2">
        <v>1</v>
      </c>
      <c r="I339" s="432">
        <v>1</v>
      </c>
      <c r="J339" s="74">
        <f t="shared" si="174"/>
        <v>1</v>
      </c>
      <c r="K339" s="75">
        <f t="shared" si="175"/>
        <v>38.999999999999972</v>
      </c>
      <c r="L339" s="7">
        <f t="shared" si="176"/>
        <v>6.8749999999999978E-2</v>
      </c>
      <c r="M339" s="22">
        <f t="shared" si="177"/>
        <v>6.8749999999999978E-2</v>
      </c>
      <c r="N339" s="426">
        <v>2439.8000000000002</v>
      </c>
      <c r="O339" s="417"/>
      <c r="P339" s="440"/>
      <c r="Q339" s="453">
        <f t="shared" si="178"/>
        <v>7.2222222222222202E-2</v>
      </c>
    </row>
    <row r="340" spans="1:19" ht="13.15" x14ac:dyDescent="0.35">
      <c r="A340" s="34">
        <v>43513</v>
      </c>
      <c r="C340" s="40">
        <v>9</v>
      </c>
      <c r="D340" s="7">
        <v>0.62916666666666665</v>
      </c>
      <c r="E340" s="7">
        <v>0.70277777777777783</v>
      </c>
      <c r="G340" s="2">
        <v>1</v>
      </c>
      <c r="I340" s="432">
        <v>1</v>
      </c>
      <c r="J340" s="74">
        <f t="shared" si="174"/>
        <v>1</v>
      </c>
      <c r="K340" s="75">
        <f t="shared" si="175"/>
        <v>46.000000000000099</v>
      </c>
      <c r="L340" s="7">
        <f t="shared" si="176"/>
        <v>7.3611111111111183E-2</v>
      </c>
      <c r="M340" s="22">
        <f t="shared" si="177"/>
        <v>7.3611111111111183E-2</v>
      </c>
      <c r="N340" s="426">
        <v>2441.5</v>
      </c>
      <c r="O340" s="417"/>
      <c r="P340" s="440"/>
      <c r="Q340" s="453">
        <f t="shared" si="178"/>
        <v>7.7083333333333406E-2</v>
      </c>
    </row>
    <row r="341" spans="1:19" ht="13.15" x14ac:dyDescent="0.35">
      <c r="A341" s="34">
        <v>43519</v>
      </c>
      <c r="C341" s="40">
        <v>22</v>
      </c>
      <c r="D341" s="7">
        <v>0.45833333333333331</v>
      </c>
      <c r="E341" s="7">
        <v>0.52083333333333337</v>
      </c>
      <c r="G341" s="2">
        <v>4</v>
      </c>
      <c r="I341" s="432">
        <v>4</v>
      </c>
      <c r="J341" s="74">
        <f t="shared" si="174"/>
        <v>1</v>
      </c>
      <c r="K341" s="75">
        <f t="shared" si="175"/>
        <v>30.000000000000078</v>
      </c>
      <c r="L341" s="7">
        <f t="shared" si="176"/>
        <v>6.2500000000000056E-2</v>
      </c>
      <c r="M341" s="22">
        <f t="shared" si="177"/>
        <v>6.2500000000000056E-2</v>
      </c>
      <c r="N341" s="426">
        <v>2442.8000000000002</v>
      </c>
      <c r="O341" s="417"/>
      <c r="P341" s="440"/>
      <c r="Q341" s="453">
        <f t="shared" si="178"/>
        <v>6.5972222222222279E-2</v>
      </c>
    </row>
    <row r="342" spans="1:19" ht="13.15" x14ac:dyDescent="0.35">
      <c r="A342" s="34">
        <v>43522</v>
      </c>
      <c r="C342" s="40">
        <v>13</v>
      </c>
      <c r="D342" s="7">
        <v>0.625</v>
      </c>
      <c r="E342" s="7">
        <v>0.63888888888888895</v>
      </c>
      <c r="G342" s="2">
        <v>0</v>
      </c>
      <c r="H342" s="3" t="s">
        <v>110</v>
      </c>
      <c r="I342" s="432">
        <v>1</v>
      </c>
      <c r="J342" s="74">
        <f t="shared" si="174"/>
        <v>0</v>
      </c>
      <c r="K342" s="75">
        <f t="shared" si="175"/>
        <v>20.000000000000089</v>
      </c>
      <c r="L342" s="7">
        <f t="shared" si="176"/>
        <v>1.3888888888888951E-2</v>
      </c>
      <c r="M342" s="22">
        <f t="shared" si="177"/>
        <v>1.3888888888888951E-2</v>
      </c>
      <c r="N342" s="426">
        <v>2443.1999999999998</v>
      </c>
      <c r="O342" s="417"/>
      <c r="P342" s="535" t="s">
        <v>325</v>
      </c>
      <c r="Q342" s="453">
        <f t="shared" si="178"/>
        <v>1.7361111111111174E-2</v>
      </c>
    </row>
    <row r="343" spans="1:19" ht="13.5" thickBot="1" x14ac:dyDescent="0.4">
      <c r="A343" s="38">
        <v>43522</v>
      </c>
      <c r="B343" s="24"/>
      <c r="C343" s="41">
        <v>13</v>
      </c>
      <c r="D343" s="9">
        <v>0.66597222222222219</v>
      </c>
      <c r="E343" s="9">
        <v>0.68402777777777779</v>
      </c>
      <c r="F343" s="304"/>
      <c r="G343" s="269">
        <v>1</v>
      </c>
      <c r="H343" s="28"/>
      <c r="I343" s="433">
        <v>1</v>
      </c>
      <c r="J343" s="76">
        <f t="shared" si="174"/>
        <v>0</v>
      </c>
      <c r="K343" s="77">
        <f t="shared" si="175"/>
        <v>26.000000000000068</v>
      </c>
      <c r="L343" s="9">
        <f t="shared" si="176"/>
        <v>1.8055555555555602E-2</v>
      </c>
      <c r="M343" s="26">
        <f t="shared" si="177"/>
        <v>1.8055555555555602E-2</v>
      </c>
      <c r="N343" s="427">
        <v>2443.6</v>
      </c>
      <c r="O343" s="419"/>
      <c r="P343" s="441"/>
      <c r="Q343" s="453">
        <f t="shared" si="178"/>
        <v>2.1527777777777826E-2</v>
      </c>
    </row>
    <row r="344" spans="1:19" ht="13.5" hidden="1" thickBot="1" x14ac:dyDescent="0.45">
      <c r="A344" s="409"/>
      <c r="B344" s="6"/>
      <c r="C344" s="42"/>
      <c r="D344" s="6"/>
      <c r="E344" s="6"/>
      <c r="F344" s="305"/>
      <c r="G344" s="266"/>
      <c r="H344" s="12"/>
      <c r="I344" s="434"/>
      <c r="J344" s="79">
        <f>SUM(J336:J343)</f>
        <v>8814</v>
      </c>
      <c r="K344" s="80">
        <f>SUM(K336:K343)</f>
        <v>229.00000000000023</v>
      </c>
      <c r="L344" s="10">
        <f>SUM(L337:L343)</f>
        <v>0.31041666666666684</v>
      </c>
      <c r="M344" s="10"/>
      <c r="N344" s="424">
        <f>MAX(N337:N343)</f>
        <v>2443.6</v>
      </c>
      <c r="O344" s="425">
        <f>MAX(O337:O343)</f>
        <v>0</v>
      </c>
      <c r="P344" s="442"/>
      <c r="Q344" s="454">
        <f>IF(L344=0,0,$Q$2+L344)</f>
        <v>0.31388888888888905</v>
      </c>
    </row>
    <row r="345" spans="1:19" ht="13.5" thickBot="1" x14ac:dyDescent="0.45">
      <c r="A345" s="410" t="s">
        <v>16</v>
      </c>
      <c r="B345" s="89"/>
      <c r="C345" s="90"/>
      <c r="D345" s="89"/>
      <c r="E345" s="89"/>
      <c r="F345" s="306"/>
      <c r="G345" s="81"/>
      <c r="H345" s="92"/>
      <c r="I345" s="435">
        <f>SUM(I336:I343)</f>
        <v>13112</v>
      </c>
      <c r="J345" s="81">
        <f>ROUNDDOWN(K344/60,0)+J344</f>
        <v>8817</v>
      </c>
      <c r="K345" s="82">
        <f>ROUND(K344-(ROUNDDOWN(K344/60,0)*60),0)</f>
        <v>49</v>
      </c>
      <c r="L345" s="271">
        <f>L344</f>
        <v>0.31041666666666684</v>
      </c>
      <c r="M345" s="93"/>
      <c r="N345" s="422">
        <f>N344-N335</f>
        <v>7.4000000000000909</v>
      </c>
      <c r="O345" s="423" t="str">
        <f>IF(OR(O336="N/A",O336="N / A", O336="N/ A",O336="N /A"),"N / A", O344-O335)</f>
        <v>N / A</v>
      </c>
      <c r="P345" s="443"/>
      <c r="Q345" s="454">
        <f>SUM(Q337:Q343)</f>
        <v>0.33472222222222237</v>
      </c>
    </row>
    <row r="346" spans="1:19" ht="13.15" x14ac:dyDescent="0.35">
      <c r="A346" s="34">
        <v>43524</v>
      </c>
      <c r="C346" s="40">
        <v>29</v>
      </c>
      <c r="D346" s="7">
        <v>0.4145833333333333</v>
      </c>
      <c r="E346" s="7">
        <v>0.4680555555555555</v>
      </c>
      <c r="G346" s="2">
        <v>3</v>
      </c>
      <c r="I346" s="432">
        <v>3</v>
      </c>
      <c r="J346" s="74">
        <f t="shared" ref="J346:J352" si="179">ROUNDDOWN(M346*24,0)</f>
        <v>1</v>
      </c>
      <c r="K346" s="75">
        <f t="shared" ref="K346:K352" si="180">(M346*24-J346)*60</f>
        <v>16.999999999999964</v>
      </c>
      <c r="L346" s="7">
        <f t="shared" ref="L346:L352" si="181">E346-D346</f>
        <v>5.3472222222222199E-2</v>
      </c>
      <c r="M346" s="22">
        <f t="shared" ref="M346:M352" si="182">L346</f>
        <v>5.3472222222222199E-2</v>
      </c>
      <c r="N346" s="426">
        <v>2445</v>
      </c>
      <c r="O346" s="417"/>
      <c r="P346" s="440"/>
      <c r="Q346" s="453">
        <f t="shared" ref="Q346:Q352" si="183">IF(L346=0,0,$Q$2+L346)</f>
        <v>5.6944444444444423E-2</v>
      </c>
    </row>
    <row r="347" spans="1:19" ht="13.15" x14ac:dyDescent="0.35">
      <c r="A347" s="34">
        <v>43530</v>
      </c>
      <c r="C347" s="40">
        <v>14</v>
      </c>
      <c r="D347" s="7">
        <v>0.54513888888888895</v>
      </c>
      <c r="E347" s="7">
        <v>0.56736111111111109</v>
      </c>
      <c r="G347" s="2">
        <v>0</v>
      </c>
      <c r="H347" s="3" t="s">
        <v>174</v>
      </c>
      <c r="I347" s="432">
        <v>1</v>
      </c>
      <c r="J347" s="74">
        <f t="shared" si="179"/>
        <v>0</v>
      </c>
      <c r="K347" s="75">
        <f t="shared" si="180"/>
        <v>31.999999999999886</v>
      </c>
      <c r="L347" s="7">
        <f t="shared" si="181"/>
        <v>2.2222222222222143E-2</v>
      </c>
      <c r="M347" s="22">
        <f t="shared" si="182"/>
        <v>2.2222222222222143E-2</v>
      </c>
      <c r="N347" s="426">
        <v>2445.6</v>
      </c>
      <c r="O347" s="417"/>
      <c r="P347" s="440"/>
      <c r="Q347" s="454">
        <f t="shared" si="183"/>
        <v>2.5694444444444367E-2</v>
      </c>
      <c r="R347" s="1" t="s">
        <v>273</v>
      </c>
    </row>
    <row r="348" spans="1:19" ht="13.15" x14ac:dyDescent="0.4">
      <c r="A348" s="34">
        <v>43530</v>
      </c>
      <c r="C348" s="40">
        <v>14</v>
      </c>
      <c r="D348" s="7">
        <v>0.61388888888888882</v>
      </c>
      <c r="E348" s="7">
        <v>0.62777777777777777</v>
      </c>
      <c r="G348" s="2">
        <v>0</v>
      </c>
      <c r="H348" s="3" t="s">
        <v>110</v>
      </c>
      <c r="I348" s="432">
        <v>1</v>
      </c>
      <c r="J348" s="74">
        <f t="shared" si="179"/>
        <v>0</v>
      </c>
      <c r="K348" s="75">
        <f t="shared" si="180"/>
        <v>20.000000000000089</v>
      </c>
      <c r="L348" s="7">
        <f t="shared" si="181"/>
        <v>1.3888888888888951E-2</v>
      </c>
      <c r="M348" s="22">
        <f t="shared" si="182"/>
        <v>1.3888888888888951E-2</v>
      </c>
      <c r="N348" s="426">
        <v>2445.9</v>
      </c>
      <c r="O348" s="417"/>
      <c r="P348" s="440"/>
      <c r="Q348" s="454">
        <f t="shared" si="183"/>
        <v>1.7361111111111174E-2</v>
      </c>
      <c r="R348" s="266">
        <f>D1</f>
        <v>8814</v>
      </c>
      <c r="S348" s="372">
        <v>0</v>
      </c>
    </row>
    <row r="349" spans="1:19" ht="13.15" x14ac:dyDescent="0.4">
      <c r="A349" s="34">
        <v>43530</v>
      </c>
      <c r="C349" s="40">
        <v>14</v>
      </c>
      <c r="D349" s="7">
        <v>0.6479166666666667</v>
      </c>
      <c r="E349" s="7">
        <v>0.66666666666666663</v>
      </c>
      <c r="G349" s="2">
        <v>1</v>
      </c>
      <c r="I349" s="432">
        <v>1</v>
      </c>
      <c r="J349" s="74">
        <f t="shared" si="179"/>
        <v>0</v>
      </c>
      <c r="K349" s="75">
        <f t="shared" si="180"/>
        <v>26.999999999999904</v>
      </c>
      <c r="L349" s="7">
        <f t="shared" si="181"/>
        <v>1.8749999999999933E-2</v>
      </c>
      <c r="M349" s="22">
        <f t="shared" si="182"/>
        <v>1.8749999999999933E-2</v>
      </c>
      <c r="N349" s="426">
        <v>2446.3000000000002</v>
      </c>
      <c r="O349" s="417"/>
      <c r="P349" s="440"/>
      <c r="Q349" s="454">
        <f t="shared" si="183"/>
        <v>2.2222222222222157E-2</v>
      </c>
      <c r="R349" s="266">
        <f>J381</f>
        <v>8820</v>
      </c>
      <c r="S349" s="372">
        <f>K381</f>
        <v>25</v>
      </c>
    </row>
    <row r="350" spans="1:19" ht="13.15" x14ac:dyDescent="0.4">
      <c r="A350" s="34">
        <v>43541</v>
      </c>
      <c r="C350" s="40">
        <v>22</v>
      </c>
      <c r="D350" s="7"/>
      <c r="E350" s="7"/>
      <c r="G350" s="2"/>
      <c r="I350" s="432"/>
      <c r="J350" s="74">
        <f t="shared" si="179"/>
        <v>0</v>
      </c>
      <c r="K350" s="75">
        <f t="shared" si="180"/>
        <v>0</v>
      </c>
      <c r="L350" s="7">
        <f t="shared" si="181"/>
        <v>0</v>
      </c>
      <c r="M350" s="22">
        <f t="shared" si="182"/>
        <v>0</v>
      </c>
      <c r="N350" s="426"/>
      <c r="O350" s="417"/>
      <c r="P350" s="440"/>
      <c r="Q350" s="454">
        <f t="shared" si="183"/>
        <v>0</v>
      </c>
      <c r="R350" s="503">
        <f>IF(R348&gt;R349,IF(S349=0,R348-R349,R348-R349-1),R348-R349)</f>
        <v>-6</v>
      </c>
      <c r="S350" s="504">
        <f>IF(R348&gt;R349,IF(S349=0,0,60-S349),-S349)</f>
        <v>-25</v>
      </c>
    </row>
    <row r="351" spans="1:19" ht="13.15" x14ac:dyDescent="0.35">
      <c r="A351" s="34"/>
      <c r="D351" s="7"/>
      <c r="E351" s="7"/>
      <c r="G351" s="2"/>
      <c r="I351" s="432"/>
      <c r="J351" s="74">
        <f t="shared" si="179"/>
        <v>0</v>
      </c>
      <c r="K351" s="75">
        <f t="shared" si="180"/>
        <v>0</v>
      </c>
      <c r="L351" s="7">
        <f t="shared" si="181"/>
        <v>0</v>
      </c>
      <c r="M351" s="22">
        <f t="shared" si="182"/>
        <v>0</v>
      </c>
      <c r="N351" s="426"/>
      <c r="O351" s="417"/>
      <c r="P351" s="440"/>
      <c r="Q351" s="454">
        <f t="shared" si="183"/>
        <v>0</v>
      </c>
    </row>
    <row r="352" spans="1:19" ht="13.15" x14ac:dyDescent="0.35">
      <c r="A352" s="38"/>
      <c r="B352" s="24"/>
      <c r="C352" s="41"/>
      <c r="D352" s="9"/>
      <c r="E352" s="9"/>
      <c r="F352" s="304"/>
      <c r="G352" s="269"/>
      <c r="H352" s="28"/>
      <c r="I352" s="433"/>
      <c r="J352" s="76">
        <f t="shared" si="179"/>
        <v>0</v>
      </c>
      <c r="K352" s="77">
        <f t="shared" si="180"/>
        <v>0</v>
      </c>
      <c r="L352" s="9">
        <f t="shared" si="181"/>
        <v>0</v>
      </c>
      <c r="M352" s="26">
        <f t="shared" si="182"/>
        <v>0</v>
      </c>
      <c r="N352" s="427"/>
      <c r="O352" s="419"/>
      <c r="P352" s="441"/>
      <c r="Q352" s="454">
        <f t="shared" si="183"/>
        <v>0</v>
      </c>
      <c r="R352" s="623" t="s">
        <v>342</v>
      </c>
    </row>
    <row r="353" spans="1:18" ht="13.5" thickBot="1" x14ac:dyDescent="0.45">
      <c r="A353" s="409"/>
      <c r="B353" s="6"/>
      <c r="C353" s="42"/>
      <c r="D353" s="6"/>
      <c r="E353" s="6"/>
      <c r="F353" s="305"/>
      <c r="G353" s="266"/>
      <c r="H353" s="12"/>
      <c r="I353" s="434"/>
      <c r="J353" s="79">
        <f>SUM(J345:J352)</f>
        <v>8818</v>
      </c>
      <c r="K353" s="80">
        <f>SUM(K345:K352)</f>
        <v>144.99999999999986</v>
      </c>
      <c r="L353" s="10">
        <f>SUM(L346:L352)</f>
        <v>0.10833333333333323</v>
      </c>
      <c r="M353" s="10"/>
      <c r="N353" s="424">
        <f>MAX(N346:N352)</f>
        <v>2446.3000000000002</v>
      </c>
      <c r="O353" s="425">
        <f>MAX(O346:O352)</f>
        <v>0</v>
      </c>
      <c r="P353" s="442"/>
      <c r="Q353" s="454">
        <f>IF(L353=0,0,$Q$2+L353)</f>
        <v>0.11180555555555545</v>
      </c>
      <c r="R353" s="3" t="s">
        <v>343</v>
      </c>
    </row>
    <row r="354" spans="1:18" ht="13.5" thickBot="1" x14ac:dyDescent="0.45">
      <c r="A354" s="410" t="s">
        <v>16</v>
      </c>
      <c r="B354" s="89"/>
      <c r="C354" s="90"/>
      <c r="D354" s="89"/>
      <c r="E354" s="89"/>
      <c r="F354" s="306"/>
      <c r="G354" s="81"/>
      <c r="H354" s="92"/>
      <c r="I354" s="435">
        <f>SUM(I345:I352)</f>
        <v>13118</v>
      </c>
      <c r="J354" s="81">
        <f>ROUNDDOWN(K353/60,0)+J353</f>
        <v>8820</v>
      </c>
      <c r="K354" s="82">
        <f>ROUND(K353-(ROUNDDOWN(K353/60,0)*60),0)</f>
        <v>25</v>
      </c>
      <c r="L354" s="271">
        <f>L353</f>
        <v>0.10833333333333323</v>
      </c>
      <c r="M354" s="93"/>
      <c r="N354" s="422">
        <f>N353-N344</f>
        <v>2.7000000000002728</v>
      </c>
      <c r="O354" s="423" t="str">
        <f>IF(OR(O345="N/A",O345="N / A", O345="N/ A",O345="N /A"),"N / A", O353-O344)</f>
        <v>N / A</v>
      </c>
      <c r="P354" s="443"/>
      <c r="Q354" s="454">
        <f>SUM(Q346:Q352)</f>
        <v>0.12222222222222212</v>
      </c>
    </row>
    <row r="355" spans="1:18" ht="13.15" x14ac:dyDescent="0.35">
      <c r="A355" s="34"/>
      <c r="D355" s="7"/>
      <c r="E355" s="7"/>
      <c r="G355" s="2"/>
      <c r="I355" s="432"/>
      <c r="J355" s="74">
        <f t="shared" ref="J355:J361" si="184">ROUNDDOWN(M355*24,0)</f>
        <v>0</v>
      </c>
      <c r="K355" s="75">
        <f t="shared" ref="K355:K361" si="185">(M355*24-J355)*60</f>
        <v>0</v>
      </c>
      <c r="L355" s="7">
        <f t="shared" ref="L355:L361" si="186">E355-D355</f>
        <v>0</v>
      </c>
      <c r="M355" s="22">
        <f t="shared" ref="M355:M361" si="187">L355</f>
        <v>0</v>
      </c>
      <c r="N355" s="426"/>
      <c r="O355" s="417"/>
      <c r="P355" s="440"/>
      <c r="Q355" s="454">
        <f t="shared" ref="Q355:Q361" si="188">IF(L355=0,0,$Q$2+L355)</f>
        <v>0</v>
      </c>
    </row>
    <row r="356" spans="1:18" ht="13.15" x14ac:dyDescent="0.35">
      <c r="A356" s="34"/>
      <c r="D356" s="7"/>
      <c r="E356" s="7"/>
      <c r="G356" s="2"/>
      <c r="I356" s="432"/>
      <c r="J356" s="74">
        <f t="shared" si="184"/>
        <v>0</v>
      </c>
      <c r="K356" s="75">
        <f t="shared" si="185"/>
        <v>0</v>
      </c>
      <c r="L356" s="7">
        <f t="shared" si="186"/>
        <v>0</v>
      </c>
      <c r="M356" s="22">
        <f t="shared" si="187"/>
        <v>0</v>
      </c>
      <c r="N356" s="426"/>
      <c r="O356" s="417"/>
      <c r="P356" s="440"/>
      <c r="Q356" s="454">
        <f t="shared" si="188"/>
        <v>0</v>
      </c>
    </row>
    <row r="357" spans="1:18" ht="13.15" x14ac:dyDescent="0.35">
      <c r="A357" s="34"/>
      <c r="D357" s="7"/>
      <c r="E357" s="7"/>
      <c r="G357" s="2"/>
      <c r="I357" s="432"/>
      <c r="J357" s="74">
        <f t="shared" si="184"/>
        <v>0</v>
      </c>
      <c r="K357" s="75">
        <f t="shared" si="185"/>
        <v>0</v>
      </c>
      <c r="L357" s="7">
        <f t="shared" si="186"/>
        <v>0</v>
      </c>
      <c r="M357" s="22">
        <f t="shared" si="187"/>
        <v>0</v>
      </c>
      <c r="N357" s="426"/>
      <c r="O357" s="417"/>
      <c r="P357" s="440"/>
      <c r="Q357" s="454">
        <f t="shared" si="188"/>
        <v>0</v>
      </c>
    </row>
    <row r="358" spans="1:18" ht="13.15" x14ac:dyDescent="0.35">
      <c r="A358" s="34"/>
      <c r="D358" s="7"/>
      <c r="E358" s="7"/>
      <c r="G358" s="2"/>
      <c r="I358" s="432"/>
      <c r="J358" s="74">
        <f t="shared" si="184"/>
        <v>0</v>
      </c>
      <c r="K358" s="75">
        <f t="shared" si="185"/>
        <v>0</v>
      </c>
      <c r="L358" s="7">
        <f t="shared" si="186"/>
        <v>0</v>
      </c>
      <c r="M358" s="22">
        <f t="shared" si="187"/>
        <v>0</v>
      </c>
      <c r="N358" s="426"/>
      <c r="O358" s="417"/>
      <c r="P358" s="440"/>
      <c r="Q358" s="454">
        <f t="shared" si="188"/>
        <v>0</v>
      </c>
    </row>
    <row r="359" spans="1:18" ht="13.15" x14ac:dyDescent="0.35">
      <c r="A359" s="34"/>
      <c r="D359" s="7"/>
      <c r="E359" s="7"/>
      <c r="G359" s="2"/>
      <c r="I359" s="432"/>
      <c r="J359" s="74">
        <f t="shared" si="184"/>
        <v>0</v>
      </c>
      <c r="K359" s="75">
        <f t="shared" si="185"/>
        <v>0</v>
      </c>
      <c r="L359" s="7">
        <f t="shared" si="186"/>
        <v>0</v>
      </c>
      <c r="M359" s="22">
        <f t="shared" si="187"/>
        <v>0</v>
      </c>
      <c r="N359" s="426"/>
      <c r="O359" s="417"/>
      <c r="P359" s="440"/>
      <c r="Q359" s="454">
        <f t="shared" si="188"/>
        <v>0</v>
      </c>
    </row>
    <row r="360" spans="1:18" ht="13.15" x14ac:dyDescent="0.35">
      <c r="A360" s="34"/>
      <c r="D360" s="7"/>
      <c r="E360" s="7"/>
      <c r="G360" s="2"/>
      <c r="I360" s="432"/>
      <c r="J360" s="74">
        <f t="shared" si="184"/>
        <v>0</v>
      </c>
      <c r="K360" s="75">
        <f t="shared" si="185"/>
        <v>0</v>
      </c>
      <c r="L360" s="7">
        <f t="shared" si="186"/>
        <v>0</v>
      </c>
      <c r="M360" s="22">
        <f t="shared" si="187"/>
        <v>0</v>
      </c>
      <c r="N360" s="426"/>
      <c r="O360" s="417"/>
      <c r="P360" s="440"/>
      <c r="Q360" s="454">
        <f t="shared" si="188"/>
        <v>0</v>
      </c>
    </row>
    <row r="361" spans="1:18" ht="13.15" x14ac:dyDescent="0.35">
      <c r="A361" s="38"/>
      <c r="B361" s="24"/>
      <c r="C361" s="41"/>
      <c r="D361" s="9"/>
      <c r="E361" s="9"/>
      <c r="F361" s="304"/>
      <c r="G361" s="269"/>
      <c r="H361" s="28"/>
      <c r="I361" s="433"/>
      <c r="J361" s="76">
        <f t="shared" si="184"/>
        <v>0</v>
      </c>
      <c r="K361" s="77">
        <f t="shared" si="185"/>
        <v>0</v>
      </c>
      <c r="L361" s="9">
        <f t="shared" si="186"/>
        <v>0</v>
      </c>
      <c r="M361" s="26">
        <f t="shared" si="187"/>
        <v>0</v>
      </c>
      <c r="N361" s="427"/>
      <c r="O361" s="419"/>
      <c r="P361" s="441"/>
      <c r="Q361" s="454">
        <f t="shared" si="188"/>
        <v>0</v>
      </c>
    </row>
    <row r="362" spans="1:18" ht="13.5" thickBot="1" x14ac:dyDescent="0.45">
      <c r="A362" s="409"/>
      <c r="B362" s="402"/>
      <c r="C362" s="42"/>
      <c r="D362" s="6"/>
      <c r="E362" s="6"/>
      <c r="F362" s="305"/>
      <c r="G362" s="266"/>
      <c r="H362" s="12"/>
      <c r="I362" s="434"/>
      <c r="J362" s="79">
        <f>SUM(J354:J361)</f>
        <v>8820</v>
      </c>
      <c r="K362" s="80">
        <f>SUM(K354:K361)</f>
        <v>25</v>
      </c>
      <c r="L362" s="10">
        <f>SUM(L355:L361)</f>
        <v>0</v>
      </c>
      <c r="M362" s="10"/>
      <c r="N362" s="424">
        <f>MAX(N355:N361)</f>
        <v>0</v>
      </c>
      <c r="O362" s="425">
        <f>MAX(O355:O361)</f>
        <v>0</v>
      </c>
      <c r="P362" s="442"/>
      <c r="Q362" s="454">
        <f>IF(L362=0,0,$Q$2+L362)</f>
        <v>0</v>
      </c>
    </row>
    <row r="363" spans="1:18" ht="13.5" thickBot="1" x14ac:dyDescent="0.45">
      <c r="A363" s="410" t="s">
        <v>16</v>
      </c>
      <c r="B363" s="403"/>
      <c r="C363" s="90"/>
      <c r="D363" s="89"/>
      <c r="E363" s="89"/>
      <c r="F363" s="306"/>
      <c r="G363" s="81"/>
      <c r="H363" s="92"/>
      <c r="I363" s="435">
        <f>SUM(I354:I361)</f>
        <v>13118</v>
      </c>
      <c r="J363" s="81">
        <f>ROUNDDOWN(K362/60,0)+J362</f>
        <v>8820</v>
      </c>
      <c r="K363" s="82">
        <f>ROUND(K362-(ROUNDDOWN(K362/60,0)*60),0)</f>
        <v>25</v>
      </c>
      <c r="L363" s="271">
        <f>L362</f>
        <v>0</v>
      </c>
      <c r="M363" s="93"/>
      <c r="N363" s="422">
        <f>N362-N353</f>
        <v>-2446.3000000000002</v>
      </c>
      <c r="O363" s="423" t="str">
        <f>IF(OR(O354="N/A",O354="N / A", O354="N/ A",O354="N /A"),"N / A", O362-O353)</f>
        <v>N / A</v>
      </c>
      <c r="P363" s="443"/>
      <c r="Q363" s="454">
        <f>SUM(Q355:Q361)</f>
        <v>0</v>
      </c>
    </row>
    <row r="364" spans="1:18" ht="13.15" x14ac:dyDescent="0.35">
      <c r="A364" s="34"/>
      <c r="B364" s="152"/>
      <c r="D364" s="7"/>
      <c r="E364" s="7"/>
      <c r="G364" s="2"/>
      <c r="I364" s="432"/>
      <c r="J364" s="74">
        <f t="shared" ref="J364:J370" si="189">ROUNDDOWN(M364*24,0)</f>
        <v>0</v>
      </c>
      <c r="K364" s="75">
        <f t="shared" ref="K364:K370" si="190">(M364*24-J364)*60</f>
        <v>0</v>
      </c>
      <c r="L364" s="7">
        <f t="shared" ref="L364:L370" si="191">E364-D364</f>
        <v>0</v>
      </c>
      <c r="M364" s="22">
        <f t="shared" ref="M364:M370" si="192">L364</f>
        <v>0</v>
      </c>
      <c r="N364" s="426"/>
      <c r="O364" s="417"/>
      <c r="P364" s="440"/>
      <c r="Q364" s="454">
        <f t="shared" ref="Q364:Q370" si="193">IF(L364=0,0,$Q$2+L364)</f>
        <v>0</v>
      </c>
    </row>
    <row r="365" spans="1:18" ht="13.15" x14ac:dyDescent="0.35">
      <c r="A365" s="34"/>
      <c r="B365" s="152"/>
      <c r="D365" s="7"/>
      <c r="E365" s="7"/>
      <c r="G365" s="2"/>
      <c r="I365" s="432"/>
      <c r="J365" s="74">
        <f t="shared" si="189"/>
        <v>0</v>
      </c>
      <c r="K365" s="75">
        <f t="shared" si="190"/>
        <v>0</v>
      </c>
      <c r="L365" s="7">
        <f t="shared" si="191"/>
        <v>0</v>
      </c>
      <c r="M365" s="22">
        <f t="shared" si="192"/>
        <v>0</v>
      </c>
      <c r="N365" s="426"/>
      <c r="O365" s="417"/>
      <c r="P365" s="440"/>
      <c r="Q365" s="454">
        <f t="shared" si="193"/>
        <v>0</v>
      </c>
    </row>
    <row r="366" spans="1:18" ht="13.15" x14ac:dyDescent="0.35">
      <c r="A366" s="34"/>
      <c r="B366" s="152" t="s">
        <v>284</v>
      </c>
      <c r="D366" s="7"/>
      <c r="E366" s="7"/>
      <c r="G366" s="2"/>
      <c r="I366" s="432"/>
      <c r="J366" s="74">
        <f t="shared" si="189"/>
        <v>0</v>
      </c>
      <c r="K366" s="75">
        <f t="shared" si="190"/>
        <v>0</v>
      </c>
      <c r="L366" s="7">
        <f t="shared" si="191"/>
        <v>0</v>
      </c>
      <c r="M366" s="22">
        <f t="shared" si="192"/>
        <v>0</v>
      </c>
      <c r="N366" s="426"/>
      <c r="O366" s="417"/>
      <c r="P366" s="440"/>
      <c r="Q366" s="454">
        <f t="shared" si="193"/>
        <v>0</v>
      </c>
    </row>
    <row r="367" spans="1:18" ht="13.15" x14ac:dyDescent="0.35">
      <c r="A367" s="34"/>
      <c r="B367" s="152"/>
      <c r="D367" s="7"/>
      <c r="E367" s="7"/>
      <c r="G367" s="2"/>
      <c r="I367" s="432"/>
      <c r="J367" s="74">
        <f t="shared" si="189"/>
        <v>0</v>
      </c>
      <c r="K367" s="75">
        <f t="shared" si="190"/>
        <v>0</v>
      </c>
      <c r="L367" s="7">
        <f t="shared" si="191"/>
        <v>0</v>
      </c>
      <c r="M367" s="22">
        <f t="shared" si="192"/>
        <v>0</v>
      </c>
      <c r="N367" s="426"/>
      <c r="O367" s="417"/>
      <c r="P367" s="440"/>
      <c r="Q367" s="454">
        <f t="shared" si="193"/>
        <v>0</v>
      </c>
    </row>
    <row r="368" spans="1:18" ht="13.15" x14ac:dyDescent="0.35">
      <c r="A368" s="34"/>
      <c r="B368" s="152"/>
      <c r="D368" s="7"/>
      <c r="E368" s="7"/>
      <c r="G368" s="2"/>
      <c r="I368" s="432"/>
      <c r="J368" s="74">
        <f t="shared" si="189"/>
        <v>0</v>
      </c>
      <c r="K368" s="75">
        <f t="shared" si="190"/>
        <v>0</v>
      </c>
      <c r="L368" s="7">
        <f t="shared" si="191"/>
        <v>0</v>
      </c>
      <c r="M368" s="22">
        <f t="shared" si="192"/>
        <v>0</v>
      </c>
      <c r="N368" s="426"/>
      <c r="O368" s="417"/>
      <c r="P368" s="440"/>
      <c r="Q368" s="454">
        <f t="shared" si="193"/>
        <v>0</v>
      </c>
    </row>
    <row r="369" spans="1:17" ht="13.15" x14ac:dyDescent="0.35">
      <c r="A369" s="34"/>
      <c r="B369" s="152"/>
      <c r="D369" s="7"/>
      <c r="E369" s="7"/>
      <c r="G369" s="2"/>
      <c r="I369" s="432"/>
      <c r="J369" s="74">
        <f t="shared" si="189"/>
        <v>0</v>
      </c>
      <c r="K369" s="75">
        <f t="shared" si="190"/>
        <v>0</v>
      </c>
      <c r="L369" s="7">
        <f t="shared" si="191"/>
        <v>0</v>
      </c>
      <c r="M369" s="22">
        <f t="shared" si="192"/>
        <v>0</v>
      </c>
      <c r="N369" s="426"/>
      <c r="O369" s="417"/>
      <c r="P369" s="440"/>
      <c r="Q369" s="454">
        <f t="shared" si="193"/>
        <v>0</v>
      </c>
    </row>
    <row r="370" spans="1:17" ht="13.15" x14ac:dyDescent="0.35">
      <c r="A370" s="38"/>
      <c r="B370" s="404"/>
      <c r="C370" s="41"/>
      <c r="D370" s="9"/>
      <c r="E370" s="9"/>
      <c r="F370" s="304"/>
      <c r="G370" s="269"/>
      <c r="H370" s="28"/>
      <c r="I370" s="433"/>
      <c r="J370" s="76">
        <f t="shared" si="189"/>
        <v>0</v>
      </c>
      <c r="K370" s="77">
        <f t="shared" si="190"/>
        <v>0</v>
      </c>
      <c r="L370" s="9">
        <f t="shared" si="191"/>
        <v>0</v>
      </c>
      <c r="M370" s="26">
        <f t="shared" si="192"/>
        <v>0</v>
      </c>
      <c r="N370" s="427"/>
      <c r="O370" s="419"/>
      <c r="P370" s="441"/>
      <c r="Q370" s="454">
        <f t="shared" si="193"/>
        <v>0</v>
      </c>
    </row>
    <row r="371" spans="1:17" ht="13.5" thickBot="1" x14ac:dyDescent="0.45">
      <c r="A371" s="409"/>
      <c r="B371" s="6"/>
      <c r="C371" s="42"/>
      <c r="D371" s="6"/>
      <c r="E371" s="6"/>
      <c r="F371" s="305"/>
      <c r="G371" s="266"/>
      <c r="H371" s="12"/>
      <c r="I371" s="434"/>
      <c r="J371" s="79">
        <f>SUM(J363:J370)</f>
        <v>8820</v>
      </c>
      <c r="K371" s="80">
        <f>SUM(K363:K370)</f>
        <v>25</v>
      </c>
      <c r="L371" s="10">
        <f>SUM(L364:L370)</f>
        <v>0</v>
      </c>
      <c r="M371" s="10"/>
      <c r="N371" s="424">
        <f>MAX(N364:N370)</f>
        <v>0</v>
      </c>
      <c r="O371" s="425">
        <f>MAX(O364:O370)</f>
        <v>0</v>
      </c>
      <c r="P371" s="442"/>
      <c r="Q371" s="454">
        <f>IF(L371=0,0,$Q$2+L371)</f>
        <v>0</v>
      </c>
    </row>
    <row r="372" spans="1:17" ht="13.5" thickBot="1" x14ac:dyDescent="0.45">
      <c r="A372" s="410" t="s">
        <v>16</v>
      </c>
      <c r="B372" s="538"/>
      <c r="C372" s="90"/>
      <c r="D372" s="89"/>
      <c r="E372" s="89"/>
      <c r="F372" s="306"/>
      <c r="G372" s="81"/>
      <c r="H372" s="92"/>
      <c r="I372" s="435">
        <f>SUM(I363:I370)</f>
        <v>13118</v>
      </c>
      <c r="J372" s="81">
        <f>ROUNDDOWN(K371/60,0)+J371</f>
        <v>8820</v>
      </c>
      <c r="K372" s="82">
        <f>ROUND(K371-(ROUNDDOWN(K371/60,0)*60),0)</f>
        <v>25</v>
      </c>
      <c r="L372" s="271">
        <f>L371</f>
        <v>0</v>
      </c>
      <c r="M372" s="93"/>
      <c r="N372" s="422">
        <f>N371-N362</f>
        <v>0</v>
      </c>
      <c r="O372" s="423" t="str">
        <f>IF(OR(O363="N/A",O363="N / A", O363="N/ A",O363="N /A"),"N / A", O371-O362)</f>
        <v>N / A</v>
      </c>
      <c r="P372" s="443"/>
      <c r="Q372" s="454">
        <f>SUM(Q364:Q370)</f>
        <v>0</v>
      </c>
    </row>
    <row r="373" spans="1:17" ht="13.15" x14ac:dyDescent="0.35">
      <c r="A373" s="34"/>
      <c r="D373" s="7"/>
      <c r="E373" s="7"/>
      <c r="G373" s="2"/>
      <c r="I373" s="432"/>
      <c r="J373" s="74">
        <f t="shared" ref="J373:J379" si="194">ROUNDDOWN(M373*24,0)</f>
        <v>0</v>
      </c>
      <c r="K373" s="75">
        <f t="shared" ref="K373:K379" si="195">(M373*24-J373)*60</f>
        <v>0</v>
      </c>
      <c r="L373" s="7">
        <f t="shared" ref="L373:L379" si="196">E373-D373</f>
        <v>0</v>
      </c>
      <c r="M373" s="22">
        <f t="shared" ref="M373:M379" si="197">L373</f>
        <v>0</v>
      </c>
      <c r="N373" s="426"/>
      <c r="O373" s="417"/>
      <c r="P373" s="440"/>
      <c r="Q373" s="454">
        <f t="shared" ref="Q373:Q379" si="198">IF(L373=0,0,$Q$2+L373)</f>
        <v>0</v>
      </c>
    </row>
    <row r="374" spans="1:17" ht="13.15" x14ac:dyDescent="0.35">
      <c r="A374" s="34"/>
      <c r="D374" s="7"/>
      <c r="E374" s="7"/>
      <c r="G374" s="2"/>
      <c r="I374" s="432"/>
      <c r="J374" s="74">
        <f t="shared" si="194"/>
        <v>0</v>
      </c>
      <c r="K374" s="75">
        <f t="shared" si="195"/>
        <v>0</v>
      </c>
      <c r="L374" s="7">
        <f t="shared" si="196"/>
        <v>0</v>
      </c>
      <c r="M374" s="22">
        <f t="shared" si="197"/>
        <v>0</v>
      </c>
      <c r="N374" s="426"/>
      <c r="O374" s="417"/>
      <c r="P374" s="440"/>
      <c r="Q374" s="454">
        <f t="shared" si="198"/>
        <v>0</v>
      </c>
    </row>
    <row r="375" spans="1:17" ht="13.15" x14ac:dyDescent="0.35">
      <c r="A375" s="34"/>
      <c r="D375" s="7"/>
      <c r="E375" s="7"/>
      <c r="G375" s="2"/>
      <c r="I375" s="432"/>
      <c r="J375" s="74">
        <f t="shared" si="194"/>
        <v>0</v>
      </c>
      <c r="K375" s="75">
        <f t="shared" si="195"/>
        <v>0</v>
      </c>
      <c r="L375" s="7">
        <f t="shared" si="196"/>
        <v>0</v>
      </c>
      <c r="M375" s="22">
        <f t="shared" si="197"/>
        <v>0</v>
      </c>
      <c r="N375" s="426"/>
      <c r="O375" s="417"/>
      <c r="P375" s="440"/>
      <c r="Q375" s="454">
        <f t="shared" si="198"/>
        <v>0</v>
      </c>
    </row>
    <row r="376" spans="1:17" ht="13.15" x14ac:dyDescent="0.35">
      <c r="A376" s="34"/>
      <c r="D376" s="7"/>
      <c r="E376" s="7"/>
      <c r="G376" s="2"/>
      <c r="I376" s="432"/>
      <c r="J376" s="74">
        <f t="shared" si="194"/>
        <v>0</v>
      </c>
      <c r="K376" s="75">
        <f t="shared" si="195"/>
        <v>0</v>
      </c>
      <c r="L376" s="7">
        <f t="shared" si="196"/>
        <v>0</v>
      </c>
      <c r="M376" s="22">
        <f t="shared" si="197"/>
        <v>0</v>
      </c>
      <c r="N376" s="426"/>
      <c r="O376" s="417"/>
      <c r="P376" s="440"/>
      <c r="Q376" s="454">
        <f t="shared" si="198"/>
        <v>0</v>
      </c>
    </row>
    <row r="377" spans="1:17" ht="13.15" x14ac:dyDescent="0.35">
      <c r="A377" s="34"/>
      <c r="D377" s="7"/>
      <c r="E377" s="7"/>
      <c r="G377" s="2"/>
      <c r="I377" s="432"/>
      <c r="J377" s="74">
        <f t="shared" si="194"/>
        <v>0</v>
      </c>
      <c r="K377" s="75">
        <f t="shared" si="195"/>
        <v>0</v>
      </c>
      <c r="L377" s="7">
        <f t="shared" si="196"/>
        <v>0</v>
      </c>
      <c r="M377" s="22">
        <f t="shared" si="197"/>
        <v>0</v>
      </c>
      <c r="N377" s="426"/>
      <c r="O377" s="417"/>
      <c r="P377" s="440"/>
      <c r="Q377" s="454">
        <f t="shared" si="198"/>
        <v>0</v>
      </c>
    </row>
    <row r="378" spans="1:17" ht="13.15" x14ac:dyDescent="0.35">
      <c r="A378" s="34"/>
      <c r="D378" s="7"/>
      <c r="E378" s="7"/>
      <c r="G378" s="2"/>
      <c r="I378" s="432"/>
      <c r="J378" s="74">
        <f t="shared" si="194"/>
        <v>0</v>
      </c>
      <c r="K378" s="75">
        <f t="shared" si="195"/>
        <v>0</v>
      </c>
      <c r="L378" s="7">
        <f t="shared" si="196"/>
        <v>0</v>
      </c>
      <c r="M378" s="22">
        <f t="shared" si="197"/>
        <v>0</v>
      </c>
      <c r="N378" s="426"/>
      <c r="O378" s="417"/>
      <c r="P378" s="440"/>
      <c r="Q378" s="454">
        <f t="shared" si="198"/>
        <v>0</v>
      </c>
    </row>
    <row r="379" spans="1:17" ht="13.15" x14ac:dyDescent="0.35">
      <c r="A379" s="38"/>
      <c r="B379" s="24"/>
      <c r="C379" s="41"/>
      <c r="D379" s="9"/>
      <c r="E379" s="9"/>
      <c r="F379" s="304"/>
      <c r="G379" s="269"/>
      <c r="H379" s="28"/>
      <c r="I379" s="433"/>
      <c r="J379" s="76">
        <f t="shared" si="194"/>
        <v>0</v>
      </c>
      <c r="K379" s="77">
        <f t="shared" si="195"/>
        <v>0</v>
      </c>
      <c r="L379" s="9">
        <f t="shared" si="196"/>
        <v>0</v>
      </c>
      <c r="M379" s="26">
        <f t="shared" si="197"/>
        <v>0</v>
      </c>
      <c r="N379" s="427"/>
      <c r="O379" s="419"/>
      <c r="P379" s="441"/>
      <c r="Q379" s="454">
        <f t="shared" si="198"/>
        <v>0</v>
      </c>
    </row>
    <row r="380" spans="1:17" ht="13.5" thickBot="1" x14ac:dyDescent="0.45">
      <c r="A380" s="409"/>
      <c r="B380" s="6"/>
      <c r="C380" s="42"/>
      <c r="D380" s="6"/>
      <c r="E380" s="6"/>
      <c r="F380" s="305"/>
      <c r="G380" s="266"/>
      <c r="H380" s="12"/>
      <c r="I380" s="434"/>
      <c r="J380" s="79">
        <f>SUM(J372:J379)</f>
        <v>8820</v>
      </c>
      <c r="K380" s="80">
        <f>SUM(K372:K379)</f>
        <v>25</v>
      </c>
      <c r="L380" s="10">
        <f>SUM(L373:L379)</f>
        <v>0</v>
      </c>
      <c r="M380" s="10"/>
      <c r="N380" s="424">
        <f>MAX(N373:N379)</f>
        <v>0</v>
      </c>
      <c r="O380" s="425">
        <f>MAX(O373:O379)</f>
        <v>0</v>
      </c>
      <c r="P380" s="442"/>
      <c r="Q380" s="454">
        <f>IF(L380=0,0,$Q$2+L380)</f>
        <v>0</v>
      </c>
    </row>
    <row r="381" spans="1:17" ht="13.5" thickBot="1" x14ac:dyDescent="0.45">
      <c r="A381" s="410" t="s">
        <v>16</v>
      </c>
      <c r="B381" s="89"/>
      <c r="C381" s="90"/>
      <c r="D381" s="89"/>
      <c r="E381" s="89"/>
      <c r="F381" s="306"/>
      <c r="G381" s="81"/>
      <c r="H381" s="92"/>
      <c r="I381" s="435">
        <f>SUM(I372:I379)</f>
        <v>13118</v>
      </c>
      <c r="J381" s="81">
        <f>ROUNDDOWN(K380/60,0)+J380</f>
        <v>8820</v>
      </c>
      <c r="K381" s="82">
        <f>ROUND(K380-(ROUNDDOWN(K380/60,0)*60),0)</f>
        <v>25</v>
      </c>
      <c r="L381" s="271">
        <f>L380</f>
        <v>0</v>
      </c>
      <c r="M381" s="93"/>
      <c r="N381" s="422">
        <f>N380-N371</f>
        <v>0</v>
      </c>
      <c r="O381" s="423" t="str">
        <f>IF(OR(O372="N/A",O372="N / A", O372="N/ A",O372="N /A"),"N / A", O380-O371)</f>
        <v>N / A</v>
      </c>
      <c r="P381" s="456"/>
      <c r="Q381" s="455">
        <f>SUM(Q373:Q379)</f>
        <v>0</v>
      </c>
    </row>
    <row r="382" spans="1:17" ht="13.15" x14ac:dyDescent="0.4">
      <c r="I382" s="186" t="s">
        <v>130</v>
      </c>
      <c r="J382" s="185">
        <f>L11+L20+L29+L38+L47+L56+L65+L74+L83+L92+L101+L110+L119+L128+L137+L146+L155+L164+L173+L182+L191+L200+L209+L218+L228+L237+L246+L255+L264+L381</f>
        <v>9.4555555555555557</v>
      </c>
    </row>
  </sheetData>
  <mergeCells count="8">
    <mergeCell ref="R325:S325"/>
    <mergeCell ref="R330:S330"/>
    <mergeCell ref="R279:S279"/>
    <mergeCell ref="J1:K1"/>
    <mergeCell ref="R270:S270"/>
    <mergeCell ref="R43:S43"/>
    <mergeCell ref="R144:S144"/>
    <mergeCell ref="R148:S148"/>
  </mergeCells>
  <pageMargins left="0.70866141732283472" right="0.70866141732283472" top="0.78740157480314965" bottom="0.78740157480314965" header="0.31496062992125984" footer="0.31496062992125984"/>
  <pageSetup paperSize="9" scale="13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V428"/>
  <sheetViews>
    <sheetView zoomScale="90" zoomScaleNormal="90" workbookViewId="0">
      <pane xSplit="2" ySplit="2" topLeftCell="C358" activePane="bottomRight" state="frozen"/>
      <selection pane="topRight" activeCell="C1" sqref="C1"/>
      <selection pane="bottomLeft" activeCell="A3" sqref="A3"/>
      <selection pane="bottomRight" activeCell="S297" sqref="S297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customWidth="1"/>
    <col min="4" max="5" width="11.3984375" style="1" customWidth="1"/>
    <col min="6" max="6" width="9.73046875" style="4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2" width="6" style="7" customWidth="1"/>
    <col min="13" max="13" width="5.59765625" style="7" customWidth="1"/>
    <col min="14" max="14" width="7.86328125" style="14" customWidth="1"/>
    <col min="15" max="15" width="7.86328125" style="1" customWidth="1"/>
    <col min="16" max="16" width="25.3984375" style="1" customWidth="1"/>
    <col min="17" max="17" width="9.265625" style="1" bestFit="1" customWidth="1"/>
    <col min="18" max="19" width="11.3984375" style="1"/>
    <col min="20" max="20" width="11.3984375" style="484"/>
    <col min="21" max="16384" width="11.3984375" style="1"/>
  </cols>
  <sheetData>
    <row r="1" spans="1:20" s="5" customFormat="1" ht="13.15" x14ac:dyDescent="0.45">
      <c r="A1" s="104" t="s">
        <v>4</v>
      </c>
      <c r="B1" s="35" t="s">
        <v>27</v>
      </c>
      <c r="C1" s="513">
        <v>50</v>
      </c>
      <c r="D1" s="37">
        <f>'FH-Überw.'!R2</f>
        <v>14976</v>
      </c>
      <c r="E1" s="105"/>
      <c r="F1" s="106" t="s">
        <v>13</v>
      </c>
      <c r="G1" s="107" t="s">
        <v>10</v>
      </c>
      <c r="H1" s="107" t="s">
        <v>24</v>
      </c>
      <c r="I1" s="69" t="s">
        <v>15</v>
      </c>
      <c r="J1" s="656" t="s">
        <v>14</v>
      </c>
      <c r="K1" s="652"/>
      <c r="L1" s="108" t="s">
        <v>17</v>
      </c>
      <c r="M1" s="108"/>
      <c r="N1" s="109" t="s">
        <v>6</v>
      </c>
      <c r="O1" s="110" t="s">
        <v>7</v>
      </c>
      <c r="P1" s="110" t="s">
        <v>19</v>
      </c>
      <c r="Q1" s="5" t="s">
        <v>9</v>
      </c>
      <c r="T1" s="514"/>
    </row>
    <row r="2" spans="1:20" s="6" customFormat="1" ht="13.15" x14ac:dyDescent="0.4">
      <c r="A2" s="96" t="s">
        <v>0</v>
      </c>
      <c r="B2" s="97" t="s">
        <v>1</v>
      </c>
      <c r="C2" s="111" t="s">
        <v>33</v>
      </c>
      <c r="D2" s="99" t="s">
        <v>2</v>
      </c>
      <c r="E2" s="99" t="s">
        <v>3</v>
      </c>
      <c r="F2" s="100" t="s">
        <v>12</v>
      </c>
      <c r="G2" s="99" t="s">
        <v>11</v>
      </c>
      <c r="H2" s="99" t="s">
        <v>25</v>
      </c>
      <c r="I2" s="70">
        <v>20062</v>
      </c>
      <c r="J2" s="71">
        <v>14647</v>
      </c>
      <c r="K2" s="72">
        <v>47</v>
      </c>
      <c r="L2" s="101" t="s">
        <v>18</v>
      </c>
      <c r="M2" s="101"/>
      <c r="N2" s="102">
        <v>5639.3</v>
      </c>
      <c r="O2" s="102">
        <v>1685.6</v>
      </c>
      <c r="P2" s="103" t="s">
        <v>26</v>
      </c>
      <c r="Q2" s="163">
        <v>3.472222222222222E-3</v>
      </c>
      <c r="T2" s="515"/>
    </row>
    <row r="3" spans="1:20" x14ac:dyDescent="0.35">
      <c r="A3" s="33"/>
      <c r="B3" s="15"/>
      <c r="C3" s="39"/>
      <c r="D3" s="16"/>
      <c r="E3" s="16"/>
      <c r="F3" s="17"/>
      <c r="G3" s="268"/>
      <c r="H3" s="20"/>
      <c r="I3" s="73"/>
      <c r="J3" s="74">
        <f>ROUNDDOWN(M3*24,0)</f>
        <v>0</v>
      </c>
      <c r="K3" s="75">
        <f>(M3*24-J3)*60</f>
        <v>0</v>
      </c>
      <c r="L3" s="16">
        <f>E3-D3</f>
        <v>0</v>
      </c>
      <c r="M3" s="18">
        <f>L3</f>
        <v>0</v>
      </c>
      <c r="N3" s="19"/>
      <c r="O3" s="29"/>
      <c r="P3" s="15"/>
      <c r="Q3" s="263">
        <f t="shared" ref="Q3:Q34" si="0">IF(L3=0,0,L3+$Q$2)</f>
        <v>0</v>
      </c>
    </row>
    <row r="4" spans="1:20" x14ac:dyDescent="0.35">
      <c r="A4" s="34"/>
      <c r="D4" s="7"/>
      <c r="E4" s="7"/>
      <c r="G4" s="2"/>
      <c r="I4" s="74"/>
      <c r="J4" s="74">
        <f t="shared" ref="J4:J9" si="1">ROUNDDOWN(M4*24,0)</f>
        <v>0</v>
      </c>
      <c r="K4" s="75">
        <f t="shared" ref="K4:K9" si="2">(M4*24-J4)*60</f>
        <v>0</v>
      </c>
      <c r="L4" s="7">
        <f t="shared" ref="L4:L9" si="3">E4-D4</f>
        <v>0</v>
      </c>
      <c r="M4" s="22">
        <f t="shared" ref="M4:M9" si="4">L4</f>
        <v>0</v>
      </c>
      <c r="O4" s="30"/>
      <c r="Q4" s="263">
        <f t="shared" si="0"/>
        <v>0</v>
      </c>
    </row>
    <row r="5" spans="1:20" x14ac:dyDescent="0.35">
      <c r="A5" s="34"/>
      <c r="D5" s="7"/>
      <c r="E5" s="7"/>
      <c r="G5" s="2"/>
      <c r="I5" s="74"/>
      <c r="J5" s="74">
        <f t="shared" si="1"/>
        <v>0</v>
      </c>
      <c r="K5" s="75">
        <f t="shared" si="2"/>
        <v>0</v>
      </c>
      <c r="L5" s="7">
        <f t="shared" si="3"/>
        <v>0</v>
      </c>
      <c r="M5" s="22">
        <f t="shared" si="4"/>
        <v>0</v>
      </c>
      <c r="O5" s="30"/>
      <c r="Q5" s="263">
        <f t="shared" si="0"/>
        <v>0</v>
      </c>
    </row>
    <row r="6" spans="1:20" x14ac:dyDescent="0.35">
      <c r="A6" s="34"/>
      <c r="D6" s="7"/>
      <c r="E6" s="7"/>
      <c r="G6" s="2"/>
      <c r="I6" s="74"/>
      <c r="J6" s="74">
        <f t="shared" si="1"/>
        <v>0</v>
      </c>
      <c r="K6" s="75">
        <f t="shared" si="2"/>
        <v>0</v>
      </c>
      <c r="L6" s="7">
        <f t="shared" si="3"/>
        <v>0</v>
      </c>
      <c r="M6" s="22">
        <f t="shared" si="4"/>
        <v>0</v>
      </c>
      <c r="O6" s="30"/>
      <c r="Q6" s="263">
        <f t="shared" si="0"/>
        <v>0</v>
      </c>
    </row>
    <row r="7" spans="1:20" x14ac:dyDescent="0.35">
      <c r="A7" s="34">
        <v>42591</v>
      </c>
      <c r="C7" s="151">
        <v>0</v>
      </c>
      <c r="D7" s="7">
        <v>0.46319444444444446</v>
      </c>
      <c r="E7" s="7">
        <v>0.50069444444444444</v>
      </c>
      <c r="G7" s="2">
        <v>1</v>
      </c>
      <c r="H7" s="3" t="s">
        <v>103</v>
      </c>
      <c r="I7" s="74">
        <v>1</v>
      </c>
      <c r="J7" s="74">
        <f t="shared" si="1"/>
        <v>0</v>
      </c>
      <c r="K7" s="75">
        <f t="shared" si="2"/>
        <v>53.999999999999972</v>
      </c>
      <c r="L7" s="7">
        <f>E7-D7</f>
        <v>3.7499999999999978E-2</v>
      </c>
      <c r="M7" s="22">
        <f>L7</f>
        <v>3.7499999999999978E-2</v>
      </c>
      <c r="N7" s="14">
        <v>5640.2</v>
      </c>
      <c r="O7" s="30">
        <v>1686.6</v>
      </c>
      <c r="P7" s="150" t="s">
        <v>117</v>
      </c>
      <c r="Q7" s="263">
        <f t="shared" si="0"/>
        <v>4.0972222222222202E-2</v>
      </c>
    </row>
    <row r="8" spans="1:20" x14ac:dyDescent="0.35">
      <c r="A8" s="34">
        <v>42594</v>
      </c>
      <c r="C8" s="40">
        <f>Charterer!A4</f>
        <v>1</v>
      </c>
      <c r="D8" s="7">
        <v>0.76111111111111107</v>
      </c>
      <c r="E8" s="7">
        <v>0.78888888888888886</v>
      </c>
      <c r="G8" s="2">
        <v>1</v>
      </c>
      <c r="I8" s="74">
        <v>1</v>
      </c>
      <c r="J8" s="74">
        <f t="shared" si="1"/>
        <v>0</v>
      </c>
      <c r="K8" s="75">
        <f t="shared" si="2"/>
        <v>40.000000000000014</v>
      </c>
      <c r="L8" s="7">
        <f t="shared" si="3"/>
        <v>2.777777777777779E-2</v>
      </c>
      <c r="M8" s="22">
        <f t="shared" si="4"/>
        <v>2.777777777777779E-2</v>
      </c>
      <c r="N8" s="14">
        <v>5641</v>
      </c>
      <c r="O8" s="30">
        <v>1687.4</v>
      </c>
      <c r="Q8" s="263">
        <f t="shared" si="0"/>
        <v>3.1250000000000014E-2</v>
      </c>
    </row>
    <row r="9" spans="1:20" ht="13.15" thickBot="1" x14ac:dyDescent="0.4">
      <c r="A9" s="38">
        <v>42595</v>
      </c>
      <c r="B9" s="24"/>
      <c r="C9" s="41">
        <v>12</v>
      </c>
      <c r="D9" s="9">
        <v>0.28611111111111115</v>
      </c>
      <c r="E9" s="9">
        <v>0.33888888888888885</v>
      </c>
      <c r="F9" s="25"/>
      <c r="G9" s="269">
        <v>0</v>
      </c>
      <c r="H9" s="28" t="s">
        <v>29</v>
      </c>
      <c r="I9" s="76">
        <v>1</v>
      </c>
      <c r="J9" s="76">
        <f t="shared" si="1"/>
        <v>1</v>
      </c>
      <c r="K9" s="77">
        <f t="shared" si="2"/>
        <v>15.99999999999989</v>
      </c>
      <c r="L9" s="9">
        <f t="shared" si="3"/>
        <v>5.2777777777777701E-2</v>
      </c>
      <c r="M9" s="26">
        <f t="shared" si="4"/>
        <v>5.2777777777777701E-2</v>
      </c>
      <c r="N9" s="27">
        <v>5642.3</v>
      </c>
      <c r="O9" s="31">
        <v>1689</v>
      </c>
      <c r="P9" s="24"/>
      <c r="Q9" s="263">
        <f t="shared" si="0"/>
        <v>5.6249999999999925E-2</v>
      </c>
    </row>
    <row r="10" spans="1:20" s="6" customFormat="1" ht="13.5" hidden="1" thickBot="1" x14ac:dyDescent="0.45">
      <c r="C10" s="42"/>
      <c r="G10" s="266"/>
      <c r="H10" s="12"/>
      <c r="I10" s="78"/>
      <c r="J10" s="79">
        <f>SUM(J2:J9)</f>
        <v>14648</v>
      </c>
      <c r="K10" s="80">
        <f>SUM(K2:K9)</f>
        <v>156.99999999999989</v>
      </c>
      <c r="L10" s="10">
        <f>SUM(L3:L9)</f>
        <v>0.11805555555555547</v>
      </c>
      <c r="M10" s="10"/>
      <c r="N10" s="11">
        <f>MAX(N3:N9)</f>
        <v>5642.3</v>
      </c>
      <c r="O10" s="32">
        <f>MAX(O3:O9)</f>
        <v>1689</v>
      </c>
      <c r="Q10" s="162">
        <f t="shared" si="0"/>
        <v>0.12152777777777769</v>
      </c>
      <c r="T10" s="515"/>
    </row>
    <row r="11" spans="1:20" ht="13.5" thickBot="1" x14ac:dyDescent="0.45">
      <c r="A11" s="87" t="s">
        <v>16</v>
      </c>
      <c r="B11" s="89"/>
      <c r="C11" s="90"/>
      <c r="D11" s="89"/>
      <c r="E11" s="89"/>
      <c r="F11" s="91"/>
      <c r="G11" s="81"/>
      <c r="H11" s="92"/>
      <c r="I11" s="81">
        <f>I2+I3+I4+I5+I6+I7+I8+I9</f>
        <v>20065</v>
      </c>
      <c r="J11" s="81">
        <f>ROUNDDOWN(K10/60,0)+J10</f>
        <v>14650</v>
      </c>
      <c r="K11" s="82">
        <f>ROUND(K10-(ROUNDDOWN(K10/60,0)*60),0)</f>
        <v>37</v>
      </c>
      <c r="L11" s="271">
        <f>L10</f>
        <v>0.11805555555555547</v>
      </c>
      <c r="M11" s="93"/>
      <c r="N11" s="94">
        <f>N10-N2</f>
        <v>3</v>
      </c>
      <c r="O11" s="94">
        <f>IF(OR(O2="N/A",O2="N / A", O2="N/ A",O2="N /A"),"N / A", O10-O2)</f>
        <v>3.4000000000000909</v>
      </c>
      <c r="P11" s="371"/>
      <c r="Q11" s="162">
        <f>SUM(Q3:Q9)</f>
        <v>0.12847222222222215</v>
      </c>
    </row>
    <row r="12" spans="1:20" x14ac:dyDescent="0.35">
      <c r="A12" s="34">
        <v>42595</v>
      </c>
      <c r="C12" s="40">
        <v>5</v>
      </c>
      <c r="D12" s="7">
        <v>0.56597222222222221</v>
      </c>
      <c r="E12" s="7">
        <v>0.58611111111111114</v>
      </c>
      <c r="G12" s="2">
        <v>0</v>
      </c>
      <c r="H12" s="3" t="s">
        <v>30</v>
      </c>
      <c r="I12" s="74">
        <v>1</v>
      </c>
      <c r="J12" s="74">
        <f>ROUNDDOWN(M12*24,0)</f>
        <v>0</v>
      </c>
      <c r="K12" s="75">
        <f>(M12*24-J12)*60</f>
        <v>29.000000000000057</v>
      </c>
      <c r="L12" s="7">
        <f>E12-D12</f>
        <v>2.0138888888888928E-2</v>
      </c>
      <c r="M12" s="22">
        <f>L12</f>
        <v>2.0138888888888928E-2</v>
      </c>
      <c r="N12" s="14">
        <v>5642.9</v>
      </c>
      <c r="O12" s="30">
        <v>1689.6</v>
      </c>
      <c r="Q12" s="263">
        <f t="shared" si="0"/>
        <v>2.3611111111111152E-2</v>
      </c>
    </row>
    <row r="13" spans="1:20" x14ac:dyDescent="0.35">
      <c r="A13" s="34">
        <v>42595</v>
      </c>
      <c r="C13" s="40">
        <v>4</v>
      </c>
      <c r="D13" s="7">
        <v>0.62708333333333333</v>
      </c>
      <c r="E13" s="7">
        <v>0.67499999999999993</v>
      </c>
      <c r="G13" s="2">
        <v>1</v>
      </c>
      <c r="I13" s="74">
        <v>1</v>
      </c>
      <c r="J13" s="74">
        <f t="shared" ref="J13:J18" si="5">ROUNDDOWN(M13*24,0)</f>
        <v>1</v>
      </c>
      <c r="K13" s="75">
        <f t="shared" ref="K13:K18" si="6">(M13*24-J13)*60</f>
        <v>8.9999999999999147</v>
      </c>
      <c r="L13" s="7">
        <f t="shared" ref="L13:L18" si="7">E13-D13</f>
        <v>4.7916666666666607E-2</v>
      </c>
      <c r="M13" s="22">
        <f t="shared" ref="M13:M18" si="8">L13</f>
        <v>4.7916666666666607E-2</v>
      </c>
      <c r="N13" s="14">
        <v>5644</v>
      </c>
      <c r="O13" s="30">
        <v>1690.9</v>
      </c>
      <c r="Q13" s="263">
        <f t="shared" si="0"/>
        <v>5.1388888888888831E-2</v>
      </c>
    </row>
    <row r="14" spans="1:20" x14ac:dyDescent="0.35">
      <c r="A14" s="34">
        <v>42596</v>
      </c>
      <c r="C14" s="40">
        <v>8</v>
      </c>
      <c r="D14" s="7">
        <v>0.4458333333333333</v>
      </c>
      <c r="E14" s="7">
        <v>0.51597222222222217</v>
      </c>
      <c r="G14" s="2">
        <v>1</v>
      </c>
      <c r="I14" s="74">
        <v>1</v>
      </c>
      <c r="J14" s="74">
        <f t="shared" si="5"/>
        <v>1</v>
      </c>
      <c r="K14" s="75">
        <f t="shared" si="6"/>
        <v>40.999999999999957</v>
      </c>
      <c r="L14" s="7">
        <f t="shared" si="7"/>
        <v>7.0138888888888862E-2</v>
      </c>
      <c r="M14" s="22">
        <f t="shared" si="8"/>
        <v>7.0138888888888862E-2</v>
      </c>
      <c r="N14" s="14">
        <v>5645.7</v>
      </c>
      <c r="O14" s="30">
        <v>1692.6</v>
      </c>
      <c r="Q14" s="263">
        <f t="shared" si="0"/>
        <v>7.3611111111111086E-2</v>
      </c>
    </row>
    <row r="15" spans="1:20" x14ac:dyDescent="0.35">
      <c r="A15" s="34">
        <v>42601</v>
      </c>
      <c r="C15" s="40">
        <v>3</v>
      </c>
      <c r="D15" s="7">
        <v>0.63750000000000007</v>
      </c>
      <c r="E15" s="7">
        <v>0.6777777777777777</v>
      </c>
      <c r="G15" s="2">
        <v>1</v>
      </c>
      <c r="I15" s="74">
        <v>1</v>
      </c>
      <c r="J15" s="74">
        <f t="shared" si="5"/>
        <v>0</v>
      </c>
      <c r="K15" s="75">
        <f t="shared" si="6"/>
        <v>57.999999999999794</v>
      </c>
      <c r="L15" s="7">
        <f t="shared" si="7"/>
        <v>4.0277777777777635E-2</v>
      </c>
      <c r="M15" s="22">
        <f t="shared" si="8"/>
        <v>4.0277777777777635E-2</v>
      </c>
      <c r="N15" s="14">
        <v>5646.7</v>
      </c>
      <c r="O15" s="30">
        <v>1693.7</v>
      </c>
      <c r="Q15" s="263">
        <f t="shared" si="0"/>
        <v>4.3749999999999858E-2</v>
      </c>
    </row>
    <row r="16" spans="1:20" x14ac:dyDescent="0.35">
      <c r="A16" s="34">
        <v>42602</v>
      </c>
      <c r="C16" s="40">
        <f>Charterer!A5</f>
        <v>2</v>
      </c>
      <c r="D16" s="7">
        <v>0.33680555555555558</v>
      </c>
      <c r="E16" s="7">
        <v>0.38958333333333334</v>
      </c>
      <c r="G16" s="2">
        <v>0</v>
      </c>
      <c r="H16" s="3" t="s">
        <v>84</v>
      </c>
      <c r="I16" s="74">
        <v>1</v>
      </c>
      <c r="J16" s="74">
        <f t="shared" si="5"/>
        <v>1</v>
      </c>
      <c r="K16" s="75">
        <f t="shared" si="6"/>
        <v>15.99999999999997</v>
      </c>
      <c r="L16" s="7">
        <f t="shared" si="7"/>
        <v>5.2777777777777757E-2</v>
      </c>
      <c r="M16" s="22">
        <f t="shared" si="8"/>
        <v>5.2777777777777757E-2</v>
      </c>
      <c r="N16" s="14">
        <v>5648.1</v>
      </c>
      <c r="O16" s="30">
        <v>1695.5</v>
      </c>
      <c r="Q16" s="263">
        <f t="shared" si="0"/>
        <v>5.6249999999999981E-2</v>
      </c>
    </row>
    <row r="17" spans="1:17" x14ac:dyDescent="0.35">
      <c r="A17" s="34">
        <v>42603</v>
      </c>
      <c r="C17" s="40">
        <f>Charterer!A5</f>
        <v>2</v>
      </c>
      <c r="D17" s="7">
        <v>0.41736111111111113</v>
      </c>
      <c r="E17" s="7">
        <v>0.46458333333333335</v>
      </c>
      <c r="G17" s="2">
        <v>1</v>
      </c>
      <c r="I17" s="74">
        <v>1</v>
      </c>
      <c r="J17" s="74">
        <f t="shared" si="5"/>
        <v>1</v>
      </c>
      <c r="K17" s="75">
        <f t="shared" si="6"/>
        <v>7.9999999999999982</v>
      </c>
      <c r="L17" s="7">
        <f t="shared" si="7"/>
        <v>4.7222222222222221E-2</v>
      </c>
      <c r="M17" s="22">
        <f t="shared" si="8"/>
        <v>4.7222222222222221E-2</v>
      </c>
      <c r="N17" s="14">
        <v>5649.3</v>
      </c>
      <c r="O17" s="30">
        <v>1696.8</v>
      </c>
      <c r="Q17" s="263">
        <f t="shared" si="0"/>
        <v>5.0694444444444445E-2</v>
      </c>
    </row>
    <row r="18" spans="1:17" ht="13.15" thickBot="1" x14ac:dyDescent="0.4">
      <c r="A18" s="38">
        <v>42604</v>
      </c>
      <c r="B18" s="24"/>
      <c r="C18" s="41">
        <v>1</v>
      </c>
      <c r="D18" s="9">
        <v>0.29236111111111113</v>
      </c>
      <c r="E18" s="9">
        <v>0.34861111111111115</v>
      </c>
      <c r="F18" s="25"/>
      <c r="G18" s="269">
        <v>0</v>
      </c>
      <c r="H18" s="28" t="s">
        <v>85</v>
      </c>
      <c r="I18" s="76">
        <v>1</v>
      </c>
      <c r="J18" s="76">
        <f t="shared" si="5"/>
        <v>1</v>
      </c>
      <c r="K18" s="77">
        <f t="shared" si="6"/>
        <v>21.000000000000032</v>
      </c>
      <c r="L18" s="9">
        <f t="shared" si="7"/>
        <v>5.6250000000000022E-2</v>
      </c>
      <c r="M18" s="26">
        <f t="shared" si="8"/>
        <v>5.6250000000000022E-2</v>
      </c>
      <c r="N18" s="27">
        <v>5650.7</v>
      </c>
      <c r="O18" s="31">
        <v>1698.3</v>
      </c>
      <c r="P18" s="24"/>
      <c r="Q18" s="263">
        <f t="shared" si="0"/>
        <v>5.9722222222222246E-2</v>
      </c>
    </row>
    <row r="19" spans="1:17" ht="13.5" hidden="1" thickBot="1" x14ac:dyDescent="0.45">
      <c r="A19" s="6"/>
      <c r="B19" s="6"/>
      <c r="C19" s="42"/>
      <c r="D19" s="6"/>
      <c r="E19" s="6"/>
      <c r="F19" s="6"/>
      <c r="G19" s="266"/>
      <c r="H19" s="12"/>
      <c r="I19" s="78"/>
      <c r="J19" s="79">
        <f>SUM(J11:J18)</f>
        <v>14655</v>
      </c>
      <c r="K19" s="80">
        <f>SUM(K11:K18)</f>
        <v>218.99999999999972</v>
      </c>
      <c r="L19" s="10">
        <f>SUM(L12:L18)</f>
        <v>0.33472222222222203</v>
      </c>
      <c r="M19" s="10"/>
      <c r="N19" s="11">
        <f>MAX(N12:N18)</f>
        <v>5650.7</v>
      </c>
      <c r="O19" s="32">
        <f>MAX(O12:O18)</f>
        <v>1698.3</v>
      </c>
      <c r="P19" s="6"/>
      <c r="Q19" s="162">
        <f t="shared" si="0"/>
        <v>0.33819444444444424</v>
      </c>
    </row>
    <row r="20" spans="1:17" ht="13.5" thickBot="1" x14ac:dyDescent="0.45">
      <c r="A20" s="87" t="s">
        <v>16</v>
      </c>
      <c r="B20" s="89"/>
      <c r="C20" s="90"/>
      <c r="D20" s="89"/>
      <c r="E20" s="89"/>
      <c r="F20" s="91"/>
      <c r="G20" s="81"/>
      <c r="H20" s="92"/>
      <c r="I20" s="81">
        <f>I11+I12+I13+I14+I15+I16+I17+I18</f>
        <v>20072</v>
      </c>
      <c r="J20" s="81">
        <f>ROUNDDOWN(K19/60,0)+J19</f>
        <v>14658</v>
      </c>
      <c r="K20" s="82">
        <f>ROUND(K19-(ROUNDDOWN(K19/60,0)*60),0)</f>
        <v>39</v>
      </c>
      <c r="L20" s="271">
        <f>L19</f>
        <v>0.33472222222222203</v>
      </c>
      <c r="M20" s="93"/>
      <c r="N20" s="94">
        <f>N19-N10</f>
        <v>8.3999999999996362</v>
      </c>
      <c r="O20" s="94">
        <f>IF(OR(O11="N/A",O11="N / A", O11="N/ A",O11="N /A"),"N / A",O19-O10)</f>
        <v>9.2999999999999545</v>
      </c>
      <c r="P20" s="371"/>
      <c r="Q20" s="162">
        <f>SUM(Q12:Q18)</f>
        <v>0.35902777777777756</v>
      </c>
    </row>
    <row r="21" spans="1:17" x14ac:dyDescent="0.35">
      <c r="A21" s="34">
        <v>42604</v>
      </c>
      <c r="C21" s="151">
        <v>0</v>
      </c>
      <c r="D21" s="7">
        <v>0.54652777777777783</v>
      </c>
      <c r="E21" s="7">
        <v>0.57291666666666663</v>
      </c>
      <c r="G21" s="2">
        <v>0</v>
      </c>
      <c r="H21" s="3" t="s">
        <v>86</v>
      </c>
      <c r="I21" s="74">
        <v>1</v>
      </c>
      <c r="J21" s="74">
        <f>ROUNDDOWN(M21*24,0)</f>
        <v>0</v>
      </c>
      <c r="K21" s="75">
        <f>(M21*24-J21)*60</f>
        <v>37.999999999999865</v>
      </c>
      <c r="L21" s="7">
        <f>E21-D21</f>
        <v>2.6388888888888795E-2</v>
      </c>
      <c r="M21" s="22">
        <f>L21</f>
        <v>2.6388888888888795E-2</v>
      </c>
      <c r="N21" s="14">
        <v>5651.4</v>
      </c>
      <c r="O21" s="30">
        <v>1699.1</v>
      </c>
      <c r="P21" s="150" t="s">
        <v>118</v>
      </c>
      <c r="Q21" s="263">
        <f t="shared" si="0"/>
        <v>2.9861111111111019E-2</v>
      </c>
    </row>
    <row r="22" spans="1:17" x14ac:dyDescent="0.35">
      <c r="A22" s="34">
        <v>42604</v>
      </c>
      <c r="C22" s="151">
        <v>0</v>
      </c>
      <c r="D22" s="7">
        <v>0.68958333333333333</v>
      </c>
      <c r="E22" s="7">
        <v>0.7402777777777777</v>
      </c>
      <c r="G22" s="2">
        <v>1</v>
      </c>
      <c r="I22" s="74">
        <v>1</v>
      </c>
      <c r="J22" s="74">
        <f t="shared" ref="J22:J27" si="9">ROUNDDOWN(M22*24,0)</f>
        <v>1</v>
      </c>
      <c r="K22" s="75">
        <f t="shared" ref="K22:K27" si="10">(M22*24-J22)*60</f>
        <v>12.999999999999901</v>
      </c>
      <c r="L22" s="7">
        <f t="shared" ref="L22:L27" si="11">E22-D22</f>
        <v>5.0694444444444375E-2</v>
      </c>
      <c r="M22" s="22">
        <f t="shared" ref="M22:M27" si="12">L22</f>
        <v>5.0694444444444375E-2</v>
      </c>
      <c r="N22" s="14">
        <v>5652.6</v>
      </c>
      <c r="O22" s="30">
        <v>1700.5</v>
      </c>
      <c r="P22" s="150" t="s">
        <v>118</v>
      </c>
      <c r="Q22" s="263">
        <f t="shared" si="0"/>
        <v>5.4166666666666599E-2</v>
      </c>
    </row>
    <row r="23" spans="1:17" x14ac:dyDescent="0.35">
      <c r="A23" s="34">
        <v>42610</v>
      </c>
      <c r="C23" s="40">
        <f>Charterer!A7</f>
        <v>4</v>
      </c>
      <c r="D23" s="7">
        <v>0.49027777777777781</v>
      </c>
      <c r="E23" s="7">
        <v>0.54027777777777775</v>
      </c>
      <c r="G23" s="2">
        <v>0</v>
      </c>
      <c r="H23" s="3" t="s">
        <v>96</v>
      </c>
      <c r="I23" s="74">
        <v>1</v>
      </c>
      <c r="J23" s="74">
        <f t="shared" si="9"/>
        <v>1</v>
      </c>
      <c r="K23" s="75">
        <f t="shared" si="10"/>
        <v>11.999999999999904</v>
      </c>
      <c r="L23" s="7">
        <f t="shared" si="11"/>
        <v>4.9999999999999933E-2</v>
      </c>
      <c r="M23" s="22">
        <f t="shared" si="12"/>
        <v>4.9999999999999933E-2</v>
      </c>
      <c r="N23" s="14">
        <v>5653.7</v>
      </c>
      <c r="O23" s="30">
        <v>1701.8</v>
      </c>
      <c r="Q23" s="263">
        <f t="shared" si="0"/>
        <v>5.3472222222222157E-2</v>
      </c>
    </row>
    <row r="24" spans="1:17" x14ac:dyDescent="0.35">
      <c r="A24" s="34">
        <v>42610</v>
      </c>
      <c r="C24" s="40">
        <f>Charterer!A7</f>
        <v>4</v>
      </c>
      <c r="D24" s="7">
        <v>0.59097222222222223</v>
      </c>
      <c r="E24" s="7">
        <v>0.63541666666666663</v>
      </c>
      <c r="G24" s="2">
        <v>1</v>
      </c>
      <c r="I24" s="74">
        <v>1</v>
      </c>
      <c r="J24" s="74">
        <f t="shared" si="9"/>
        <v>1</v>
      </c>
      <c r="K24" s="75">
        <f t="shared" si="10"/>
        <v>3.9999999999999325</v>
      </c>
      <c r="L24" s="7">
        <f t="shared" si="11"/>
        <v>4.4444444444444398E-2</v>
      </c>
      <c r="M24" s="22">
        <f t="shared" si="12"/>
        <v>4.4444444444444398E-2</v>
      </c>
      <c r="N24" s="14">
        <v>5654.8</v>
      </c>
      <c r="O24" s="30">
        <v>1703</v>
      </c>
      <c r="Q24" s="263">
        <f t="shared" si="0"/>
        <v>4.7916666666666621E-2</v>
      </c>
    </row>
    <row r="25" spans="1:17" x14ac:dyDescent="0.35">
      <c r="A25" s="34">
        <v>42619</v>
      </c>
      <c r="C25" s="40">
        <v>1</v>
      </c>
      <c r="D25" s="7">
        <v>0.51388888888888895</v>
      </c>
      <c r="E25" s="7">
        <v>0.57152777777777775</v>
      </c>
      <c r="G25" s="2">
        <v>0</v>
      </c>
      <c r="H25" s="3" t="s">
        <v>97</v>
      </c>
      <c r="I25" s="74">
        <v>1</v>
      </c>
      <c r="J25" s="74">
        <f t="shared" si="9"/>
        <v>1</v>
      </c>
      <c r="K25" s="75">
        <f t="shared" si="10"/>
        <v>22.999999999999865</v>
      </c>
      <c r="L25" s="7">
        <f t="shared" si="11"/>
        <v>5.7638888888888795E-2</v>
      </c>
      <c r="M25" s="22">
        <f t="shared" si="12"/>
        <v>5.7638888888888795E-2</v>
      </c>
      <c r="N25" s="14">
        <v>5656.2</v>
      </c>
      <c r="O25" s="30">
        <v>1704.7</v>
      </c>
      <c r="Q25" s="263">
        <f t="shared" si="0"/>
        <v>6.1111111111111019E-2</v>
      </c>
    </row>
    <row r="26" spans="1:17" x14ac:dyDescent="0.35">
      <c r="A26" s="34">
        <v>42619</v>
      </c>
      <c r="C26" s="40">
        <v>1</v>
      </c>
      <c r="D26" s="7">
        <v>0.6</v>
      </c>
      <c r="E26" s="7">
        <v>0.69930555555555562</v>
      </c>
      <c r="G26" s="2">
        <v>0</v>
      </c>
      <c r="H26" s="3" t="s">
        <v>98</v>
      </c>
      <c r="I26" s="74">
        <v>1</v>
      </c>
      <c r="J26" s="74">
        <f t="shared" si="9"/>
        <v>2</v>
      </c>
      <c r="K26" s="75">
        <f t="shared" si="10"/>
        <v>23.000000000000131</v>
      </c>
      <c r="L26" s="7">
        <f t="shared" si="11"/>
        <v>9.9305555555555647E-2</v>
      </c>
      <c r="M26" s="22">
        <f t="shared" si="12"/>
        <v>9.9305555555555647E-2</v>
      </c>
      <c r="N26" s="14">
        <v>5658.6</v>
      </c>
      <c r="O26" s="30">
        <v>1707.1</v>
      </c>
      <c r="Q26" s="263">
        <f t="shared" si="0"/>
        <v>0.10277777777777787</v>
      </c>
    </row>
    <row r="27" spans="1:17" ht="13.15" thickBot="1" x14ac:dyDescent="0.4">
      <c r="A27" s="38">
        <v>42620</v>
      </c>
      <c r="B27" s="24"/>
      <c r="C27" s="41">
        <v>1</v>
      </c>
      <c r="D27" s="9">
        <v>0.39652777777777781</v>
      </c>
      <c r="E27" s="9">
        <v>0.40833333333333338</v>
      </c>
      <c r="F27" s="25"/>
      <c r="G27" s="269">
        <v>0</v>
      </c>
      <c r="H27" s="28" t="s">
        <v>100</v>
      </c>
      <c r="I27" s="76">
        <v>1</v>
      </c>
      <c r="J27" s="76">
        <f t="shared" si="9"/>
        <v>0</v>
      </c>
      <c r="K27" s="77">
        <f t="shared" si="10"/>
        <v>17.000000000000021</v>
      </c>
      <c r="L27" s="9">
        <f t="shared" si="11"/>
        <v>1.1805555555555569E-2</v>
      </c>
      <c r="M27" s="26">
        <f t="shared" si="12"/>
        <v>1.1805555555555569E-2</v>
      </c>
      <c r="N27" s="27">
        <v>5659</v>
      </c>
      <c r="O27" s="31">
        <v>1707.6</v>
      </c>
      <c r="P27" s="24"/>
      <c r="Q27" s="263">
        <f t="shared" si="0"/>
        <v>1.5277777777777791E-2</v>
      </c>
    </row>
    <row r="28" spans="1:17" ht="13.5" hidden="1" thickBot="1" x14ac:dyDescent="0.45">
      <c r="A28" s="6"/>
      <c r="B28" s="6"/>
      <c r="C28" s="42"/>
      <c r="D28" s="6"/>
      <c r="E28" s="6"/>
      <c r="F28" s="6"/>
      <c r="G28" s="266"/>
      <c r="H28" s="12"/>
      <c r="I28" s="78"/>
      <c r="J28" s="79">
        <f>SUM(J20:J27)</f>
        <v>14664</v>
      </c>
      <c r="K28" s="80">
        <f>SUM(K20:K27)</f>
        <v>168.99999999999963</v>
      </c>
      <c r="L28" s="10">
        <f>SUM(L21:L27)</f>
        <v>0.34027777777777751</v>
      </c>
      <c r="M28" s="10"/>
      <c r="N28" s="13">
        <f>MAX(N21:N27)</f>
        <v>5659</v>
      </c>
      <c r="O28" s="13">
        <f>MAX(O21:O27)</f>
        <v>1707.6</v>
      </c>
      <c r="P28" s="6"/>
      <c r="Q28" s="162">
        <f t="shared" si="0"/>
        <v>0.34374999999999972</v>
      </c>
    </row>
    <row r="29" spans="1:17" ht="13.5" thickBot="1" x14ac:dyDescent="0.45">
      <c r="A29" s="87" t="s">
        <v>16</v>
      </c>
      <c r="B29" s="89"/>
      <c r="C29" s="90"/>
      <c r="D29" s="89"/>
      <c r="E29" s="89"/>
      <c r="F29" s="91"/>
      <c r="G29" s="81"/>
      <c r="H29" s="92"/>
      <c r="I29" s="81">
        <f>I20+I21+I22+I23+I24+I25+I26+I27</f>
        <v>20079</v>
      </c>
      <c r="J29" s="81">
        <f>ROUNDDOWN(K28/60,0)+J28</f>
        <v>14666</v>
      </c>
      <c r="K29" s="82">
        <f>ROUND(K28-(ROUNDDOWN(K28/60,0)*60),0)</f>
        <v>49</v>
      </c>
      <c r="L29" s="271">
        <f>L28</f>
        <v>0.34027777777777751</v>
      </c>
      <c r="M29" s="93"/>
      <c r="N29" s="94">
        <f>N28-N19</f>
        <v>8.3000000000001819</v>
      </c>
      <c r="O29" s="94">
        <f>IF(OR(O20="N/A",O20="N / A", O20="N/ A",O20="N /A"),"N / A", O28-O19)</f>
        <v>9.2999999999999545</v>
      </c>
      <c r="P29" s="371"/>
      <c r="Q29" s="162">
        <f>SUM(Q21:Q27)</f>
        <v>0.36458333333333304</v>
      </c>
    </row>
    <row r="30" spans="1:17" x14ac:dyDescent="0.35">
      <c r="A30" s="34">
        <v>42620</v>
      </c>
      <c r="C30" s="40">
        <v>1</v>
      </c>
      <c r="D30" s="7">
        <v>0.41666666666666669</v>
      </c>
      <c r="E30" s="7">
        <v>0.45902777777777781</v>
      </c>
      <c r="G30" s="2">
        <v>0</v>
      </c>
      <c r="H30" s="3" t="s">
        <v>101</v>
      </c>
      <c r="I30" s="74">
        <v>1</v>
      </c>
      <c r="J30" s="74">
        <f t="shared" ref="J30:J36" si="13">ROUNDDOWN(M30*24,0)</f>
        <v>1</v>
      </c>
      <c r="K30" s="75">
        <f t="shared" ref="K30:K36" si="14">(M30*24-J30)*60</f>
        <v>1.0000000000000231</v>
      </c>
      <c r="L30" s="7">
        <f>E30-D30</f>
        <v>4.2361111111111127E-2</v>
      </c>
      <c r="M30" s="22">
        <f>L30</f>
        <v>4.2361111111111127E-2</v>
      </c>
      <c r="N30" s="14">
        <v>5660</v>
      </c>
      <c r="O30" s="30">
        <v>1708.7</v>
      </c>
      <c r="Q30" s="263">
        <f t="shared" si="0"/>
        <v>4.5833333333333351E-2</v>
      </c>
    </row>
    <row r="31" spans="1:17" x14ac:dyDescent="0.35">
      <c r="A31" s="34">
        <v>42620</v>
      </c>
      <c r="C31" s="40">
        <v>1</v>
      </c>
      <c r="D31" s="7">
        <v>0.65486111111111112</v>
      </c>
      <c r="E31" s="7">
        <v>0.69097222222222221</v>
      </c>
      <c r="G31" s="2">
        <v>0</v>
      </c>
      <c r="H31" s="3" t="s">
        <v>98</v>
      </c>
      <c r="I31" s="74">
        <v>1</v>
      </c>
      <c r="J31" s="74">
        <f t="shared" si="13"/>
        <v>0</v>
      </c>
      <c r="K31" s="75">
        <f t="shared" si="14"/>
        <v>51.999999999999972</v>
      </c>
      <c r="L31" s="7">
        <f t="shared" ref="L31:L36" si="15">E31-D31</f>
        <v>3.6111111111111094E-2</v>
      </c>
      <c r="M31" s="22">
        <f t="shared" ref="M31:M36" si="16">L31</f>
        <v>3.6111111111111094E-2</v>
      </c>
      <c r="N31" s="14">
        <v>5660.7</v>
      </c>
      <c r="O31" s="30">
        <v>1709.6</v>
      </c>
      <c r="Q31" s="263">
        <f t="shared" si="0"/>
        <v>3.9583333333333318E-2</v>
      </c>
    </row>
    <row r="32" spans="1:17" x14ac:dyDescent="0.35">
      <c r="A32" s="34">
        <v>42621</v>
      </c>
      <c r="C32" s="40">
        <v>1</v>
      </c>
      <c r="D32" s="7">
        <v>0.5756944444444444</v>
      </c>
      <c r="E32" s="7">
        <v>0.68263888888888891</v>
      </c>
      <c r="G32" s="2">
        <v>0</v>
      </c>
      <c r="H32" s="3" t="s">
        <v>102</v>
      </c>
      <c r="I32" s="74">
        <v>1</v>
      </c>
      <c r="J32" s="74">
        <f t="shared" si="13"/>
        <v>2</v>
      </c>
      <c r="K32" s="75">
        <f t="shared" si="14"/>
        <v>34.000000000000092</v>
      </c>
      <c r="L32" s="7">
        <f t="shared" si="15"/>
        <v>0.10694444444444451</v>
      </c>
      <c r="M32" s="22">
        <f t="shared" si="16"/>
        <v>0.10694444444444451</v>
      </c>
      <c r="N32" s="14">
        <v>5663.3</v>
      </c>
      <c r="O32" s="30">
        <v>1712.4</v>
      </c>
      <c r="Q32" s="263">
        <f t="shared" si="0"/>
        <v>0.11041666666666673</v>
      </c>
    </row>
    <row r="33" spans="1:19" x14ac:dyDescent="0.35">
      <c r="A33" s="34">
        <v>42622</v>
      </c>
      <c r="C33" s="40">
        <v>1</v>
      </c>
      <c r="D33" s="7">
        <v>0.29236111111111113</v>
      </c>
      <c r="E33" s="7">
        <v>0.36458333333333331</v>
      </c>
      <c r="G33" s="2">
        <v>1</v>
      </c>
      <c r="H33" s="3" t="s">
        <v>11</v>
      </c>
      <c r="I33" s="74">
        <v>1</v>
      </c>
      <c r="J33" s="74">
        <f t="shared" si="13"/>
        <v>1</v>
      </c>
      <c r="K33" s="75">
        <f t="shared" si="14"/>
        <v>43.99999999999995</v>
      </c>
      <c r="L33" s="7">
        <f t="shared" si="15"/>
        <v>7.2222222222222188E-2</v>
      </c>
      <c r="M33" s="22">
        <f t="shared" si="16"/>
        <v>7.2222222222222188E-2</v>
      </c>
      <c r="N33" s="14">
        <v>5665</v>
      </c>
      <c r="O33" s="30">
        <v>1714.4</v>
      </c>
      <c r="Q33" s="263">
        <f t="shared" si="0"/>
        <v>7.5694444444444411E-2</v>
      </c>
    </row>
    <row r="34" spans="1:19" x14ac:dyDescent="0.35">
      <c r="A34" s="34">
        <v>42623</v>
      </c>
      <c r="C34" s="40" t="e">
        <f>Charterer!#REF!</f>
        <v>#REF!</v>
      </c>
      <c r="D34" s="7">
        <v>0.64861111111111114</v>
      </c>
      <c r="E34" s="7">
        <v>0.69236111111111109</v>
      </c>
      <c r="G34" s="2">
        <v>0</v>
      </c>
      <c r="H34" s="3" t="s">
        <v>103</v>
      </c>
      <c r="I34" s="74">
        <v>1</v>
      </c>
      <c r="J34" s="74">
        <f t="shared" si="13"/>
        <v>1</v>
      </c>
      <c r="K34" s="75">
        <f t="shared" si="14"/>
        <v>2.9999999999999361</v>
      </c>
      <c r="L34" s="7">
        <f t="shared" si="15"/>
        <v>4.3749999999999956E-2</v>
      </c>
      <c r="M34" s="22">
        <f t="shared" si="16"/>
        <v>4.3749999999999956E-2</v>
      </c>
      <c r="N34" s="14">
        <v>5666.1</v>
      </c>
      <c r="O34" s="30">
        <v>1715.5</v>
      </c>
      <c r="P34" s="150" t="s">
        <v>117</v>
      </c>
      <c r="Q34" s="263">
        <f t="shared" si="0"/>
        <v>4.7222222222222179E-2</v>
      </c>
    </row>
    <row r="35" spans="1:19" x14ac:dyDescent="0.35">
      <c r="A35" s="34">
        <v>42638</v>
      </c>
      <c r="C35" s="151">
        <v>0</v>
      </c>
      <c r="D35" s="7">
        <v>0.62013888888888891</v>
      </c>
      <c r="E35" s="7">
        <v>0.65972222222222221</v>
      </c>
      <c r="G35" s="2">
        <v>1</v>
      </c>
      <c r="I35" s="74">
        <v>1</v>
      </c>
      <c r="J35" s="74">
        <f t="shared" si="13"/>
        <v>0</v>
      </c>
      <c r="K35" s="75">
        <f t="shared" si="14"/>
        <v>56.999999999999957</v>
      </c>
      <c r="L35" s="7">
        <f t="shared" si="15"/>
        <v>3.9583333333333304E-2</v>
      </c>
      <c r="M35" s="22">
        <f t="shared" si="16"/>
        <v>3.9583333333333304E-2</v>
      </c>
      <c r="N35" s="14">
        <v>5667.1</v>
      </c>
      <c r="O35" s="30">
        <v>1716.8</v>
      </c>
      <c r="P35" s="150" t="s">
        <v>117</v>
      </c>
      <c r="Q35" s="263">
        <f t="shared" ref="Q35:Q67" si="17">IF(L35=0,0,L35+$Q$2)</f>
        <v>4.3055555555555527E-2</v>
      </c>
    </row>
    <row r="36" spans="1:19" ht="13.15" thickBot="1" x14ac:dyDescent="0.4">
      <c r="A36" s="38">
        <v>42674</v>
      </c>
      <c r="B36" s="24"/>
      <c r="C36" s="41">
        <v>12</v>
      </c>
      <c r="D36" s="9">
        <v>0.3743055555555555</v>
      </c>
      <c r="E36" s="9">
        <v>0.43402777777777773</v>
      </c>
      <c r="F36" s="25"/>
      <c r="G36" s="269">
        <v>0</v>
      </c>
      <c r="H36" s="28" t="s">
        <v>127</v>
      </c>
      <c r="I36" s="76">
        <v>1</v>
      </c>
      <c r="J36" s="76">
        <f t="shared" si="13"/>
        <v>1</v>
      </c>
      <c r="K36" s="77">
        <f t="shared" si="14"/>
        <v>26.000000000000014</v>
      </c>
      <c r="L36" s="9">
        <f t="shared" si="15"/>
        <v>5.9722222222222232E-2</v>
      </c>
      <c r="M36" s="26">
        <f t="shared" si="16"/>
        <v>5.9722222222222232E-2</v>
      </c>
      <c r="N36" s="27">
        <v>5668.7</v>
      </c>
      <c r="O36" s="31">
        <v>1718.6</v>
      </c>
      <c r="P36" s="24"/>
      <c r="Q36" s="263">
        <f t="shared" si="17"/>
        <v>6.3194444444444456E-2</v>
      </c>
    </row>
    <row r="37" spans="1:19" ht="13.5" hidden="1" thickBot="1" x14ac:dyDescent="0.45">
      <c r="A37" s="6"/>
      <c r="B37" s="6"/>
      <c r="C37" s="42"/>
      <c r="D37" s="6"/>
      <c r="E37" s="6"/>
      <c r="F37" s="6"/>
      <c r="G37" s="266"/>
      <c r="H37" s="12"/>
      <c r="I37" s="78"/>
      <c r="J37" s="79">
        <f>SUM(J29:J36)</f>
        <v>14672</v>
      </c>
      <c r="K37" s="80">
        <f>SUM(K29:K36)</f>
        <v>265.99999999999994</v>
      </c>
      <c r="L37" s="10">
        <f>SUM(L30:L36)</f>
        <v>0.40069444444444441</v>
      </c>
      <c r="M37" s="10"/>
      <c r="N37" s="13">
        <f>MAX(N30:N36)</f>
        <v>5668.7</v>
      </c>
      <c r="O37" s="13">
        <f>MAX(O30:O36)</f>
        <v>1718.6</v>
      </c>
      <c r="P37" s="6"/>
      <c r="Q37" s="162">
        <f t="shared" si="17"/>
        <v>0.40416666666666662</v>
      </c>
    </row>
    <row r="38" spans="1:19" ht="13.5" thickBot="1" x14ac:dyDescent="0.45">
      <c r="A38" s="87" t="s">
        <v>16</v>
      </c>
      <c r="B38" s="89"/>
      <c r="C38" s="90"/>
      <c r="D38" s="89"/>
      <c r="E38" s="89"/>
      <c r="F38" s="91"/>
      <c r="G38" s="81"/>
      <c r="H38" s="92"/>
      <c r="I38" s="81">
        <f>I29+I30+I31+I32+I33+I34+I35+I36</f>
        <v>20086</v>
      </c>
      <c r="J38" s="81">
        <f>ROUNDDOWN(K37/60,1)+J37</f>
        <v>14676.4</v>
      </c>
      <c r="K38" s="82">
        <f>ROUND(K37-(ROUNDDOWN(K37/60,0)*60),0)</f>
        <v>26</v>
      </c>
      <c r="L38" s="271">
        <f>L37</f>
        <v>0.40069444444444441</v>
      </c>
      <c r="M38" s="93"/>
      <c r="N38" s="94">
        <f>N37-N28</f>
        <v>9.6999999999998181</v>
      </c>
      <c r="O38" s="94">
        <f>IF(OR(O29="N/A",O29="N / A", O29="N/ A",O29="N /A"),"N / A", O37-O28)</f>
        <v>11</v>
      </c>
      <c r="P38" s="371"/>
      <c r="Q38" s="162">
        <f>SUM(Q30:Q36)</f>
        <v>0.42499999999999993</v>
      </c>
    </row>
    <row r="39" spans="1:19" x14ac:dyDescent="0.35">
      <c r="A39" s="34">
        <v>42674</v>
      </c>
      <c r="C39" s="40">
        <v>12</v>
      </c>
      <c r="D39" s="7">
        <v>0.4597222222222222</v>
      </c>
      <c r="E39" s="7">
        <v>0.48541666666666666</v>
      </c>
      <c r="G39" s="2">
        <v>0</v>
      </c>
      <c r="H39" s="3" t="s">
        <v>128</v>
      </c>
      <c r="I39" s="74">
        <v>1</v>
      </c>
      <c r="J39" s="74">
        <f>ROUNDDOWN(M39*24,0)</f>
        <v>0</v>
      </c>
      <c r="K39" s="75">
        <f>(M39*24-J39)*60</f>
        <v>37.000000000000028</v>
      </c>
      <c r="L39" s="7">
        <f>E39-D39</f>
        <v>2.5694444444444464E-2</v>
      </c>
      <c r="M39" s="22">
        <f>L39</f>
        <v>2.5694444444444464E-2</v>
      </c>
      <c r="N39" s="14">
        <v>5669.2</v>
      </c>
      <c r="O39" s="30">
        <v>1719.3</v>
      </c>
      <c r="Q39" s="263">
        <f t="shared" si="17"/>
        <v>2.9166666666666688E-2</v>
      </c>
    </row>
    <row r="40" spans="1:19" x14ac:dyDescent="0.35">
      <c r="A40" s="34">
        <v>42674</v>
      </c>
      <c r="C40" s="40">
        <v>9</v>
      </c>
      <c r="D40" s="7">
        <v>0.49722222222222223</v>
      </c>
      <c r="E40" s="7">
        <v>0.57708333333333328</v>
      </c>
      <c r="G40" s="2">
        <v>1</v>
      </c>
      <c r="I40" s="74">
        <v>1</v>
      </c>
      <c r="J40" s="74">
        <f t="shared" ref="J40:J45" si="18">ROUNDDOWN(M40*24,0)</f>
        <v>1</v>
      </c>
      <c r="K40" s="75">
        <f t="shared" ref="K40:K45" si="19">(M40*24-J40)*60</f>
        <v>54.999999999999915</v>
      </c>
      <c r="L40" s="7">
        <f t="shared" ref="L40:L45" si="20">E40-D40</f>
        <v>7.9861111111111049E-2</v>
      </c>
      <c r="M40" s="22">
        <f t="shared" ref="M40:M45" si="21">L40</f>
        <v>7.9861111111111049E-2</v>
      </c>
      <c r="N40" s="14">
        <v>5671.1</v>
      </c>
      <c r="O40" s="30">
        <v>1721.4</v>
      </c>
      <c r="Q40" s="263">
        <f t="shared" si="17"/>
        <v>8.3333333333333273E-2</v>
      </c>
    </row>
    <row r="41" spans="1:19" x14ac:dyDescent="0.35">
      <c r="A41" s="34">
        <v>42694</v>
      </c>
      <c r="C41" s="40">
        <v>12</v>
      </c>
      <c r="D41" s="7">
        <v>0.36458333333333331</v>
      </c>
      <c r="E41" s="7">
        <v>0.4055555555555555</v>
      </c>
      <c r="G41" s="2">
        <v>0</v>
      </c>
      <c r="H41" s="3" t="s">
        <v>143</v>
      </c>
      <c r="I41" s="74">
        <v>1</v>
      </c>
      <c r="J41" s="74">
        <f t="shared" si="18"/>
        <v>0</v>
      </c>
      <c r="K41" s="75">
        <f t="shared" si="19"/>
        <v>58.99999999999995</v>
      </c>
      <c r="L41" s="7">
        <f t="shared" si="20"/>
        <v>4.0972222222222188E-2</v>
      </c>
      <c r="M41" s="22">
        <f t="shared" si="21"/>
        <v>4.0972222222222188E-2</v>
      </c>
      <c r="N41" s="14">
        <v>5672.1</v>
      </c>
      <c r="O41" s="30">
        <v>1722.6</v>
      </c>
      <c r="Q41" s="263">
        <f t="shared" si="17"/>
        <v>4.4444444444444411E-2</v>
      </c>
    </row>
    <row r="42" spans="1:19" x14ac:dyDescent="0.35">
      <c r="A42" s="34">
        <v>42694</v>
      </c>
      <c r="C42" s="40">
        <v>9</v>
      </c>
      <c r="D42" s="7">
        <v>0.56180555555555556</v>
      </c>
      <c r="E42" s="7">
        <v>0.63402777777777775</v>
      </c>
      <c r="G42" s="2">
        <v>1</v>
      </c>
      <c r="I42" s="74">
        <v>1</v>
      </c>
      <c r="J42" s="74">
        <f t="shared" si="18"/>
        <v>1</v>
      </c>
      <c r="K42" s="75">
        <f t="shared" si="19"/>
        <v>43.99999999999995</v>
      </c>
      <c r="L42" s="7">
        <f t="shared" si="20"/>
        <v>7.2222222222222188E-2</v>
      </c>
      <c r="M42" s="22">
        <f t="shared" si="21"/>
        <v>7.2222222222222188E-2</v>
      </c>
      <c r="N42" s="14">
        <v>5673.8</v>
      </c>
      <c r="O42" s="30">
        <v>1724.5</v>
      </c>
      <c r="Q42" s="263">
        <f t="shared" si="17"/>
        <v>7.5694444444444411E-2</v>
      </c>
    </row>
    <row r="43" spans="1:19" x14ac:dyDescent="0.35">
      <c r="A43" s="34">
        <v>42714</v>
      </c>
      <c r="C43" s="40">
        <v>2</v>
      </c>
      <c r="D43" s="7">
        <v>0.46111111111111108</v>
      </c>
      <c r="E43" s="7">
        <v>0.52152777777777781</v>
      </c>
      <c r="G43" s="2">
        <v>0</v>
      </c>
      <c r="H43" s="3" t="s">
        <v>144</v>
      </c>
      <c r="I43" s="74">
        <v>1</v>
      </c>
      <c r="J43" s="74">
        <f t="shared" si="18"/>
        <v>1</v>
      </c>
      <c r="K43" s="75">
        <f t="shared" si="19"/>
        <v>27.000000000000092</v>
      </c>
      <c r="L43" s="7">
        <f t="shared" si="20"/>
        <v>6.041666666666673E-2</v>
      </c>
      <c r="M43" s="22">
        <f t="shared" si="21"/>
        <v>6.041666666666673E-2</v>
      </c>
      <c r="N43" s="14">
        <v>5675.4</v>
      </c>
      <c r="O43" s="30">
        <v>1726.3</v>
      </c>
      <c r="Q43" s="263">
        <f t="shared" si="17"/>
        <v>6.3888888888888953E-2</v>
      </c>
    </row>
    <row r="44" spans="1:19" x14ac:dyDescent="0.35">
      <c r="A44" s="34">
        <v>42714</v>
      </c>
      <c r="C44" s="40">
        <v>2</v>
      </c>
      <c r="D44" s="7">
        <v>0.55208333333333337</v>
      </c>
      <c r="E44" s="7">
        <v>0.63680555555555551</v>
      </c>
      <c r="G44" s="2">
        <v>0</v>
      </c>
      <c r="H44" s="3" t="s">
        <v>144</v>
      </c>
      <c r="I44" s="74">
        <v>1</v>
      </c>
      <c r="J44" s="74">
        <f t="shared" si="18"/>
        <v>2</v>
      </c>
      <c r="K44" s="75">
        <f t="shared" si="19"/>
        <v>1.9999999999998863</v>
      </c>
      <c r="L44" s="7">
        <f t="shared" si="20"/>
        <v>8.4722222222222143E-2</v>
      </c>
      <c r="M44" s="22">
        <f t="shared" si="21"/>
        <v>8.4722222222222143E-2</v>
      </c>
      <c r="N44" s="14">
        <v>5677.4</v>
      </c>
      <c r="O44" s="30">
        <v>1728.4</v>
      </c>
      <c r="Q44" s="263">
        <f t="shared" si="17"/>
        <v>8.8194444444444367E-2</v>
      </c>
      <c r="R44" s="2"/>
    </row>
    <row r="45" spans="1:19" ht="13.15" thickBot="1" x14ac:dyDescent="0.4">
      <c r="A45" s="38">
        <v>42714</v>
      </c>
      <c r="B45" s="24"/>
      <c r="C45" s="41">
        <v>2</v>
      </c>
      <c r="D45" s="9">
        <v>0.70486111111111116</v>
      </c>
      <c r="E45" s="9">
        <v>0.75138888888888899</v>
      </c>
      <c r="F45" s="25"/>
      <c r="G45" s="269">
        <v>1</v>
      </c>
      <c r="H45" s="28"/>
      <c r="I45" s="76">
        <v>1</v>
      </c>
      <c r="J45" s="76">
        <f t="shared" si="18"/>
        <v>1</v>
      </c>
      <c r="K45" s="77">
        <f t="shared" si="19"/>
        <v>7.0000000000000817</v>
      </c>
      <c r="L45" s="9">
        <f t="shared" si="20"/>
        <v>4.6527777777777835E-2</v>
      </c>
      <c r="M45" s="26">
        <f t="shared" si="21"/>
        <v>4.6527777777777835E-2</v>
      </c>
      <c r="N45" s="27">
        <v>5678.5</v>
      </c>
      <c r="O45" s="31">
        <v>1729.6</v>
      </c>
      <c r="P45" s="24"/>
      <c r="Q45" s="263">
        <f t="shared" si="17"/>
        <v>5.0000000000000058E-2</v>
      </c>
      <c r="R45" s="260"/>
    </row>
    <row r="46" spans="1:19" ht="13.5" hidden="1" thickBot="1" x14ac:dyDescent="0.45">
      <c r="A46" s="6"/>
      <c r="B46" s="6"/>
      <c r="C46" s="42"/>
      <c r="D46" s="6"/>
      <c r="E46" s="6"/>
      <c r="F46" s="6"/>
      <c r="G46" s="266"/>
      <c r="H46" s="12"/>
      <c r="I46" s="78"/>
      <c r="J46" s="79">
        <f>SUM(J38:J45)</f>
        <v>14682.4</v>
      </c>
      <c r="K46" s="80">
        <f>SUM(K38:K45)</f>
        <v>256.99999999999989</v>
      </c>
      <c r="L46" s="10">
        <f>SUM(L39:L45)</f>
        <v>0.4104166666666666</v>
      </c>
      <c r="M46" s="10"/>
      <c r="N46" s="13">
        <f>MAX(N39:N45)</f>
        <v>5678.5</v>
      </c>
      <c r="O46" s="13">
        <f>MAX(O39:O45)</f>
        <v>1729.6</v>
      </c>
      <c r="P46" s="6"/>
      <c r="Q46" s="162">
        <f t="shared" si="17"/>
        <v>0.41388888888888881</v>
      </c>
    </row>
    <row r="47" spans="1:19" ht="13.5" thickBot="1" x14ac:dyDescent="0.45">
      <c r="A47" s="87" t="s">
        <v>16</v>
      </c>
      <c r="B47" s="89"/>
      <c r="C47" s="90"/>
      <c r="D47" s="89"/>
      <c r="E47" s="89"/>
      <c r="F47" s="91"/>
      <c r="G47" s="81"/>
      <c r="H47" s="92"/>
      <c r="I47" s="81">
        <f>I38+I39+I40+I41+I42+I43+I44+I45</f>
        <v>20093</v>
      </c>
      <c r="J47" s="81">
        <f>ROUNDDOWN(K46/60,0)+J46</f>
        <v>14686.4</v>
      </c>
      <c r="K47" s="82">
        <f>ROUND(K46-(ROUNDDOWN(K46/60,0)*60),0)</f>
        <v>17</v>
      </c>
      <c r="L47" s="271">
        <f>L46</f>
        <v>0.4104166666666666</v>
      </c>
      <c r="M47" s="93"/>
      <c r="N47" s="94">
        <f>N46-N37</f>
        <v>9.8000000000001819</v>
      </c>
      <c r="O47" s="94">
        <f>IF(OR(O38="N/A",O38="N / A", O38="N/ A",O38="N /A"),"N / A", O46-O37)</f>
        <v>11</v>
      </c>
      <c r="P47" s="371"/>
      <c r="Q47" s="162">
        <f>SUM(Q39:Q45)</f>
        <v>0.43472222222222212</v>
      </c>
    </row>
    <row r="48" spans="1:19" x14ac:dyDescent="0.35">
      <c r="A48" s="34">
        <v>42715</v>
      </c>
      <c r="C48" s="40">
        <v>1</v>
      </c>
      <c r="D48" s="7">
        <v>0.53402777777777777</v>
      </c>
      <c r="E48" s="7">
        <v>0.5493055555555556</v>
      </c>
      <c r="G48" s="2">
        <v>1</v>
      </c>
      <c r="I48" s="74">
        <v>1</v>
      </c>
      <c r="J48" s="74">
        <f t="shared" ref="J48:J54" si="22">ROUNDDOWN(M48*24,0)</f>
        <v>0</v>
      </c>
      <c r="K48" s="75">
        <f>(M48*24-J48)*60</f>
        <v>22.000000000000082</v>
      </c>
      <c r="L48" s="7">
        <f>E48-D48</f>
        <v>1.5277777777777835E-2</v>
      </c>
      <c r="M48" s="22">
        <f>L48</f>
        <v>1.5277777777777835E-2</v>
      </c>
      <c r="N48" s="14">
        <v>5679</v>
      </c>
      <c r="O48" s="30">
        <v>1729.9</v>
      </c>
      <c r="Q48" s="263">
        <f t="shared" si="17"/>
        <v>1.8750000000000058E-2</v>
      </c>
      <c r="R48" s="2">
        <f>J47</f>
        <v>14686.4</v>
      </c>
      <c r="S48" s="475">
        <f>K47</f>
        <v>17</v>
      </c>
    </row>
    <row r="49" spans="1:19" x14ac:dyDescent="0.35">
      <c r="A49" s="34">
        <v>42738</v>
      </c>
      <c r="C49" s="40">
        <v>9</v>
      </c>
      <c r="D49" s="7">
        <v>0.54583333333333328</v>
      </c>
      <c r="E49" s="7">
        <v>0.62291666666666667</v>
      </c>
      <c r="G49" s="2">
        <v>1</v>
      </c>
      <c r="I49" s="74">
        <v>1</v>
      </c>
      <c r="J49" s="74">
        <f t="shared" si="22"/>
        <v>1</v>
      </c>
      <c r="K49" s="75">
        <f t="shared" ref="K49:K54" si="23">(M49*24-J49)*60</f>
        <v>51.000000000000085</v>
      </c>
      <c r="L49" s="7">
        <f t="shared" ref="L49:L54" si="24">E49-D49</f>
        <v>7.7083333333333393E-2</v>
      </c>
      <c r="M49" s="22">
        <f t="shared" ref="M49:M54" si="25">L49</f>
        <v>7.7083333333333393E-2</v>
      </c>
      <c r="N49" s="14">
        <v>5680.8</v>
      </c>
      <c r="O49" s="30">
        <v>1732</v>
      </c>
      <c r="Q49" s="263">
        <f t="shared" si="17"/>
        <v>8.0555555555555616E-2</v>
      </c>
      <c r="R49" s="2">
        <f>J48</f>
        <v>0</v>
      </c>
      <c r="S49" s="475">
        <f>K48</f>
        <v>22.000000000000082</v>
      </c>
    </row>
    <row r="50" spans="1:19" ht="13.15" x14ac:dyDescent="0.4">
      <c r="A50" s="34">
        <v>42755</v>
      </c>
      <c r="C50" s="40">
        <v>0</v>
      </c>
      <c r="D50" s="7">
        <v>0.7402777777777777</v>
      </c>
      <c r="E50" s="7">
        <v>0.75416666666666676</v>
      </c>
      <c r="G50" s="2">
        <v>3</v>
      </c>
      <c r="I50" s="74">
        <v>3</v>
      </c>
      <c r="J50" s="74">
        <f t="shared" si="22"/>
        <v>0</v>
      </c>
      <c r="K50" s="75">
        <f t="shared" si="23"/>
        <v>20.000000000000249</v>
      </c>
      <c r="L50" s="7">
        <f t="shared" si="24"/>
        <v>1.3888888888889062E-2</v>
      </c>
      <c r="M50" s="22">
        <f t="shared" si="25"/>
        <v>1.3888888888889062E-2</v>
      </c>
      <c r="N50" s="14">
        <v>5681.2</v>
      </c>
      <c r="O50" s="30">
        <v>1732.1</v>
      </c>
      <c r="Q50" s="263">
        <f t="shared" si="17"/>
        <v>1.7361111111111285E-2</v>
      </c>
      <c r="R50" s="476">
        <f>R48+R49</f>
        <v>14686.4</v>
      </c>
      <c r="S50" s="477">
        <f>S48+S49</f>
        <v>39.000000000000085</v>
      </c>
    </row>
    <row r="51" spans="1:19" ht="13.15" x14ac:dyDescent="0.4">
      <c r="A51" s="34">
        <v>42762</v>
      </c>
      <c r="C51" s="40">
        <v>9</v>
      </c>
      <c r="D51" s="7">
        <v>0.72569444444444453</v>
      </c>
      <c r="E51" s="7">
        <v>0.75763888888888886</v>
      </c>
      <c r="G51" s="2">
        <v>7</v>
      </c>
      <c r="I51" s="74">
        <v>7</v>
      </c>
      <c r="J51" s="74">
        <f t="shared" si="22"/>
        <v>0</v>
      </c>
      <c r="K51" s="75">
        <f t="shared" si="23"/>
        <v>45.999999999999837</v>
      </c>
      <c r="L51" s="7">
        <f t="shared" si="24"/>
        <v>3.1944444444444331E-2</v>
      </c>
      <c r="M51" s="22">
        <f t="shared" si="25"/>
        <v>3.1944444444444331E-2</v>
      </c>
      <c r="N51" s="14">
        <v>5681.9</v>
      </c>
      <c r="O51" s="30">
        <v>1732.1</v>
      </c>
      <c r="Q51" s="263">
        <f t="shared" si="17"/>
        <v>3.5416666666666555E-2</v>
      </c>
      <c r="R51" s="659" t="s">
        <v>224</v>
      </c>
      <c r="S51" s="660"/>
    </row>
    <row r="52" spans="1:19" x14ac:dyDescent="0.35">
      <c r="A52" s="34">
        <v>42763</v>
      </c>
      <c r="C52" s="40">
        <v>5</v>
      </c>
      <c r="D52" s="7">
        <v>0.55347222222222225</v>
      </c>
      <c r="E52" s="7">
        <v>0.59375</v>
      </c>
      <c r="G52" s="2">
        <v>2</v>
      </c>
      <c r="I52" s="74">
        <v>2</v>
      </c>
      <c r="J52" s="74">
        <f t="shared" si="22"/>
        <v>0</v>
      </c>
      <c r="K52" s="75">
        <f t="shared" si="23"/>
        <v>57.999999999999957</v>
      </c>
      <c r="L52" s="7">
        <f t="shared" si="24"/>
        <v>4.0277777777777746E-2</v>
      </c>
      <c r="M52" s="22">
        <f t="shared" si="25"/>
        <v>4.0277777777777746E-2</v>
      </c>
      <c r="N52" s="14">
        <v>5682.8</v>
      </c>
      <c r="O52" s="30">
        <v>1733</v>
      </c>
      <c r="Q52" s="263">
        <f t="shared" si="17"/>
        <v>4.3749999999999969E-2</v>
      </c>
    </row>
    <row r="53" spans="1:19" x14ac:dyDescent="0.35">
      <c r="A53" s="34">
        <v>42769</v>
      </c>
      <c r="C53" s="40">
        <v>15</v>
      </c>
      <c r="D53" s="7">
        <v>0.51527777777777783</v>
      </c>
      <c r="E53" s="7">
        <v>0.54722222222222217</v>
      </c>
      <c r="G53" s="2">
        <v>4</v>
      </c>
      <c r="I53" s="74">
        <v>4</v>
      </c>
      <c r="J53" s="74">
        <f t="shared" si="22"/>
        <v>0</v>
      </c>
      <c r="K53" s="75">
        <f t="shared" si="23"/>
        <v>45.999999999999837</v>
      </c>
      <c r="L53" s="7">
        <f t="shared" si="24"/>
        <v>3.1944444444444331E-2</v>
      </c>
      <c r="M53" s="22">
        <f t="shared" si="25"/>
        <v>3.1944444444444331E-2</v>
      </c>
      <c r="N53" s="14">
        <v>5683.5</v>
      </c>
      <c r="O53" s="30">
        <v>1733.8</v>
      </c>
      <c r="Q53" s="263">
        <f t="shared" si="17"/>
        <v>3.5416666666666555E-2</v>
      </c>
    </row>
    <row r="54" spans="1:19" ht="13.15" thickBot="1" x14ac:dyDescent="0.4">
      <c r="A54" s="38">
        <v>42770</v>
      </c>
      <c r="B54" s="24"/>
      <c r="C54" s="41">
        <v>1</v>
      </c>
      <c r="D54" s="9">
        <v>0.53194444444444444</v>
      </c>
      <c r="E54" s="9">
        <v>0.61805555555555558</v>
      </c>
      <c r="F54" s="25"/>
      <c r="G54" s="269">
        <v>1</v>
      </c>
      <c r="H54" s="28"/>
      <c r="I54" s="76">
        <v>1</v>
      </c>
      <c r="J54" s="76">
        <f t="shared" si="22"/>
        <v>2</v>
      </c>
      <c r="K54" s="77">
        <f t="shared" si="23"/>
        <v>4.0000000000000391</v>
      </c>
      <c r="L54" s="9">
        <f t="shared" si="24"/>
        <v>8.6111111111111138E-2</v>
      </c>
      <c r="M54" s="26">
        <f t="shared" si="25"/>
        <v>8.6111111111111138E-2</v>
      </c>
      <c r="N54" s="27">
        <v>5685.5</v>
      </c>
      <c r="O54" s="31">
        <v>1736.4</v>
      </c>
      <c r="P54" s="24"/>
      <c r="Q54" s="263">
        <f t="shared" si="17"/>
        <v>8.9583333333333362E-2</v>
      </c>
    </row>
    <row r="55" spans="1:19" ht="13.5" hidden="1" thickBot="1" x14ac:dyDescent="0.45">
      <c r="A55" s="6"/>
      <c r="B55" s="6"/>
      <c r="C55" s="42"/>
      <c r="D55" s="6"/>
      <c r="E55" s="6"/>
      <c r="F55" s="6"/>
      <c r="G55" s="266"/>
      <c r="H55" s="12"/>
      <c r="I55" s="78"/>
      <c r="J55" s="79">
        <f>SUM(J47:J54)</f>
        <v>14689.4</v>
      </c>
      <c r="K55" s="80">
        <f>SUM(K47:K54)</f>
        <v>264.00000000000011</v>
      </c>
      <c r="L55" s="10">
        <f>SUM(L48:L54)</f>
        <v>0.29652777777777783</v>
      </c>
      <c r="M55" s="10"/>
      <c r="N55" s="13">
        <f>MAX(N48:N54)</f>
        <v>5685.5</v>
      </c>
      <c r="O55" s="13">
        <f>MAX(O48:O54)</f>
        <v>1736.4</v>
      </c>
      <c r="P55" s="6"/>
      <c r="Q55" s="162">
        <f t="shared" si="17"/>
        <v>0.30000000000000004</v>
      </c>
    </row>
    <row r="56" spans="1:19" ht="13.5" thickBot="1" x14ac:dyDescent="0.45">
      <c r="A56" s="87" t="s">
        <v>16</v>
      </c>
      <c r="B56" s="89"/>
      <c r="C56" s="90"/>
      <c r="D56" s="89"/>
      <c r="E56" s="89"/>
      <c r="F56" s="91"/>
      <c r="G56" s="81"/>
      <c r="H56" s="92"/>
      <c r="I56" s="81">
        <f>I47+I48+I49+I50+I51+I52+I53+I54</f>
        <v>20112</v>
      </c>
      <c r="J56" s="81">
        <f>ROUNDDOWN(K55/60,0)+J55</f>
        <v>14693.4</v>
      </c>
      <c r="K56" s="82">
        <f>ROUND(K55-(ROUNDDOWN(K55/60,0)*60),0)</f>
        <v>24</v>
      </c>
      <c r="L56" s="271">
        <f>L55</f>
        <v>0.29652777777777783</v>
      </c>
      <c r="M56" s="93"/>
      <c r="N56" s="94">
        <f>N55-N46</f>
        <v>7</v>
      </c>
      <c r="O56" s="94">
        <f>IF(OR(O47="N/A",O47="N / A", O47="N/ A",O47="N /A"),"N / A", O55-O46)</f>
        <v>6.8000000000001819</v>
      </c>
      <c r="P56" s="371"/>
      <c r="Q56" s="162">
        <f>SUM(Q48:Q54)</f>
        <v>0.32083333333333336</v>
      </c>
    </row>
    <row r="57" spans="1:19" x14ac:dyDescent="0.35">
      <c r="A57" s="34">
        <v>42774</v>
      </c>
      <c r="C57" s="40">
        <v>1</v>
      </c>
      <c r="D57" s="7">
        <v>0.72013888888888899</v>
      </c>
      <c r="E57" s="7">
        <v>0.75694444444444453</v>
      </c>
      <c r="G57" s="2">
        <v>0</v>
      </c>
      <c r="H57" s="3" t="s">
        <v>154</v>
      </c>
      <c r="I57" s="74">
        <v>1</v>
      </c>
      <c r="J57" s="74">
        <f>ROUNDDOWN(M57*24,0)</f>
        <v>0</v>
      </c>
      <c r="K57" s="75">
        <f>(M57*24-J57)*60</f>
        <v>52.999999999999972</v>
      </c>
      <c r="L57" s="7">
        <f>E57-D57</f>
        <v>3.6805555555555536E-2</v>
      </c>
      <c r="M57" s="22">
        <f>L57</f>
        <v>3.6805555555555536E-2</v>
      </c>
      <c r="N57" s="14">
        <v>5686.4</v>
      </c>
      <c r="O57" s="273">
        <v>1736.4</v>
      </c>
      <c r="P57" s="267"/>
      <c r="Q57" s="263">
        <f t="shared" si="17"/>
        <v>4.027777777777776E-2</v>
      </c>
    </row>
    <row r="58" spans="1:19" x14ac:dyDescent="0.35">
      <c r="A58" s="34">
        <v>42774</v>
      </c>
      <c r="C58" s="40">
        <v>9</v>
      </c>
      <c r="D58" s="7">
        <v>0.7631944444444444</v>
      </c>
      <c r="E58" s="7">
        <v>0.80972222222222223</v>
      </c>
      <c r="G58" s="2">
        <v>1</v>
      </c>
      <c r="I58" s="74">
        <v>1</v>
      </c>
      <c r="J58" s="74">
        <f t="shared" ref="J58:J63" si="26">ROUNDDOWN(M58*24,0)</f>
        <v>1</v>
      </c>
      <c r="K58" s="75">
        <f t="shared" ref="K58:K63" si="27">(M58*24-J58)*60</f>
        <v>7.0000000000000817</v>
      </c>
      <c r="L58" s="7">
        <f t="shared" ref="L58:L63" si="28">E58-D58</f>
        <v>4.6527777777777835E-2</v>
      </c>
      <c r="M58" s="22">
        <f t="shared" ref="M58:M63" si="29">L58</f>
        <v>4.6527777777777835E-2</v>
      </c>
      <c r="N58" s="14">
        <v>5687.4</v>
      </c>
      <c r="O58" s="273">
        <v>1736.5</v>
      </c>
      <c r="P58" s="267"/>
      <c r="Q58" s="263">
        <f t="shared" si="17"/>
        <v>5.0000000000000058E-2</v>
      </c>
    </row>
    <row r="59" spans="1:19" x14ac:dyDescent="0.35">
      <c r="A59" s="34">
        <v>42776</v>
      </c>
      <c r="C59" s="40">
        <v>0</v>
      </c>
      <c r="D59" s="7">
        <v>0.61041666666666672</v>
      </c>
      <c r="E59" s="7">
        <v>0.61597222222222225</v>
      </c>
      <c r="G59" s="2">
        <v>1</v>
      </c>
      <c r="I59" s="74">
        <v>1</v>
      </c>
      <c r="J59" s="74">
        <f t="shared" si="26"/>
        <v>0</v>
      </c>
      <c r="K59" s="75">
        <f t="shared" si="27"/>
        <v>7.9999999999999716</v>
      </c>
      <c r="L59" s="7">
        <f t="shared" si="28"/>
        <v>5.5555555555555358E-3</v>
      </c>
      <c r="M59" s="22">
        <f t="shared" si="29"/>
        <v>5.5555555555555358E-3</v>
      </c>
      <c r="N59" s="14">
        <v>5687.7</v>
      </c>
      <c r="O59" s="273">
        <v>1737</v>
      </c>
      <c r="P59" s="267"/>
      <c r="Q59" s="263">
        <f t="shared" si="17"/>
        <v>9.0277777777777578E-3</v>
      </c>
    </row>
    <row r="60" spans="1:19" x14ac:dyDescent="0.35">
      <c r="A60" s="34">
        <v>42785</v>
      </c>
      <c r="C60" s="40">
        <v>1</v>
      </c>
      <c r="D60" s="7">
        <v>0.66041666666666665</v>
      </c>
      <c r="E60" s="7">
        <v>0.74652777777777779</v>
      </c>
      <c r="G60" s="2">
        <v>1</v>
      </c>
      <c r="I60" s="74">
        <v>1</v>
      </c>
      <c r="J60" s="74">
        <f t="shared" si="26"/>
        <v>2</v>
      </c>
      <c r="K60" s="75">
        <f t="shared" si="27"/>
        <v>4.0000000000000391</v>
      </c>
      <c r="L60" s="7">
        <f>E60-D60</f>
        <v>8.6111111111111138E-2</v>
      </c>
      <c r="M60" s="22">
        <f>L60</f>
        <v>8.6111111111111138E-2</v>
      </c>
      <c r="N60" s="14">
        <v>5689.7</v>
      </c>
      <c r="O60" s="273">
        <v>1737.9</v>
      </c>
      <c r="P60" s="267"/>
      <c r="Q60" s="263">
        <f t="shared" si="17"/>
        <v>8.9583333333333362E-2</v>
      </c>
    </row>
    <row r="61" spans="1:19" x14ac:dyDescent="0.35">
      <c r="A61" s="34">
        <v>42791</v>
      </c>
      <c r="C61" s="40">
        <v>9</v>
      </c>
      <c r="D61" s="7">
        <v>0.46666666666666662</v>
      </c>
      <c r="E61" s="7">
        <v>0.52777777777777779</v>
      </c>
      <c r="G61" s="2">
        <v>0</v>
      </c>
      <c r="H61" s="3" t="s">
        <v>157</v>
      </c>
      <c r="I61" s="74">
        <v>1</v>
      </c>
      <c r="J61" s="74">
        <f t="shared" si="26"/>
        <v>1</v>
      </c>
      <c r="K61" s="75">
        <f t="shared" si="27"/>
        <v>28.000000000000085</v>
      </c>
      <c r="L61" s="7">
        <f t="shared" si="28"/>
        <v>6.1111111111111172E-2</v>
      </c>
      <c r="M61" s="22">
        <f t="shared" si="29"/>
        <v>6.1111111111111172E-2</v>
      </c>
      <c r="N61" s="14">
        <v>5691.2</v>
      </c>
      <c r="O61" s="273">
        <v>1738.5</v>
      </c>
      <c r="P61" s="267"/>
      <c r="Q61" s="263">
        <f t="shared" si="17"/>
        <v>6.4583333333333395E-2</v>
      </c>
    </row>
    <row r="62" spans="1:19" x14ac:dyDescent="0.35">
      <c r="A62" s="34">
        <v>42791</v>
      </c>
      <c r="C62" s="40">
        <v>9</v>
      </c>
      <c r="D62" s="7">
        <v>0.57916666666666672</v>
      </c>
      <c r="E62" s="7">
        <v>0.61249999999999993</v>
      </c>
      <c r="G62" s="2">
        <v>1</v>
      </c>
      <c r="I62" s="74">
        <v>1</v>
      </c>
      <c r="J62" s="74">
        <f t="shared" si="26"/>
        <v>0</v>
      </c>
      <c r="K62" s="75">
        <f t="shared" si="27"/>
        <v>47.999999999999829</v>
      </c>
      <c r="L62" s="7">
        <f t="shared" si="28"/>
        <v>3.3333333333333215E-2</v>
      </c>
      <c r="M62" s="22">
        <f t="shared" si="29"/>
        <v>3.3333333333333215E-2</v>
      </c>
      <c r="N62" s="14">
        <v>5622</v>
      </c>
      <c r="O62" s="273">
        <v>1740.6</v>
      </c>
      <c r="P62" s="267"/>
      <c r="Q62" s="263">
        <f t="shared" si="17"/>
        <v>3.6805555555555439E-2</v>
      </c>
    </row>
    <row r="63" spans="1:19" ht="13.15" thickBot="1" x14ac:dyDescent="0.4">
      <c r="A63" s="38">
        <v>42792</v>
      </c>
      <c r="B63" s="24"/>
      <c r="C63" s="41">
        <v>4</v>
      </c>
      <c r="D63" s="9">
        <v>0.3659722222222222</v>
      </c>
      <c r="E63" s="9">
        <v>0.4604166666666667</v>
      </c>
      <c r="F63" s="25"/>
      <c r="G63" s="269">
        <v>4</v>
      </c>
      <c r="H63" s="28"/>
      <c r="I63" s="76">
        <v>4</v>
      </c>
      <c r="J63" s="76">
        <f t="shared" si="26"/>
        <v>2</v>
      </c>
      <c r="K63" s="77">
        <f t="shared" si="27"/>
        <v>16.000000000000078</v>
      </c>
      <c r="L63" s="9">
        <f t="shared" si="28"/>
        <v>9.4444444444444497E-2</v>
      </c>
      <c r="M63" s="26">
        <f t="shared" si="29"/>
        <v>9.4444444444444497E-2</v>
      </c>
      <c r="N63" s="27">
        <v>5694.1</v>
      </c>
      <c r="O63" s="274">
        <v>1743</v>
      </c>
      <c r="P63" s="270"/>
      <c r="Q63" s="263">
        <f t="shared" si="17"/>
        <v>9.7916666666666721E-2</v>
      </c>
    </row>
    <row r="64" spans="1:19" ht="13.5" hidden="1" thickBot="1" x14ac:dyDescent="0.45">
      <c r="A64" s="6"/>
      <c r="B64" s="6"/>
      <c r="C64" s="42"/>
      <c r="D64" s="6"/>
      <c r="E64" s="6"/>
      <c r="F64" s="6"/>
      <c r="G64" s="266"/>
      <c r="H64" s="12"/>
      <c r="I64" s="78"/>
      <c r="J64" s="79">
        <f>SUM(J56:J63)</f>
        <v>14699.4</v>
      </c>
      <c r="K64" s="80">
        <f>SUM(K56:K63)</f>
        <v>188.00000000000009</v>
      </c>
      <c r="L64" s="10">
        <f>SUM(L57:L63)</f>
        <v>0.36388888888888893</v>
      </c>
      <c r="M64" s="10"/>
      <c r="N64" s="13">
        <f>MAX(N57:N63)</f>
        <v>5694.1</v>
      </c>
      <c r="O64" s="13">
        <f>MAX(O57:O63)</f>
        <v>1743</v>
      </c>
      <c r="P64" s="6"/>
      <c r="Q64" s="162">
        <f>IF(L64=0,0,L64+$Q$2)</f>
        <v>0.36736111111111114</v>
      </c>
    </row>
    <row r="65" spans="1:17" ht="13.5" thickBot="1" x14ac:dyDescent="0.45">
      <c r="A65" s="87" t="s">
        <v>16</v>
      </c>
      <c r="B65" s="89"/>
      <c r="C65" s="90"/>
      <c r="D65" s="89"/>
      <c r="E65" s="89"/>
      <c r="F65" s="91"/>
      <c r="G65" s="81"/>
      <c r="H65" s="92"/>
      <c r="I65" s="81">
        <f>I56+I57+I58+I59+I60+I61+I62+I63</f>
        <v>20122</v>
      </c>
      <c r="J65" s="81">
        <f>ROUNDDOWN(K64/60,0)+J64</f>
        <v>14702.4</v>
      </c>
      <c r="K65" s="82">
        <f>ROUND(K64-(ROUNDDOWN(K64/60,0)*60),0)</f>
        <v>8</v>
      </c>
      <c r="L65" s="271">
        <f>L64</f>
        <v>0.36388888888888893</v>
      </c>
      <c r="M65" s="93"/>
      <c r="N65" s="94">
        <f>N64-N55</f>
        <v>8.6000000000003638</v>
      </c>
      <c r="O65" s="94">
        <f>IF(OR(O56="N/A",O56="N / A", O56="N/ A",O56="N /A"),"N / A", O64-O55)</f>
        <v>6.5999999999999091</v>
      </c>
      <c r="P65" s="371"/>
      <c r="Q65" s="162">
        <f>SUM(Q57:Q63)</f>
        <v>0.38819444444444445</v>
      </c>
    </row>
    <row r="66" spans="1:17" x14ac:dyDescent="0.35">
      <c r="A66" s="34">
        <v>42798</v>
      </c>
      <c r="C66" s="40">
        <v>1</v>
      </c>
      <c r="D66" s="7">
        <v>0.67847222222222225</v>
      </c>
      <c r="E66" s="7">
        <v>0.72222222222222221</v>
      </c>
      <c r="G66" s="2">
        <v>1</v>
      </c>
      <c r="I66" s="74">
        <v>1</v>
      </c>
      <c r="J66" s="74">
        <f t="shared" ref="J66:J72" si="30">ROUNDDOWN(M66*24,0)</f>
        <v>1</v>
      </c>
      <c r="K66" s="75">
        <f t="shared" ref="K66:K72" si="31">(M66*24-J66)*60</f>
        <v>2.9999999999999361</v>
      </c>
      <c r="L66" s="7">
        <f t="shared" ref="L66:L72" si="32">E66-D66</f>
        <v>4.3749999999999956E-2</v>
      </c>
      <c r="M66" s="22">
        <f t="shared" ref="M66:M72" si="33">L66</f>
        <v>4.3749999999999956E-2</v>
      </c>
      <c r="N66" s="14">
        <v>5695.1</v>
      </c>
      <c r="O66" s="30">
        <v>1744.1</v>
      </c>
      <c r="Q66" s="263">
        <f t="shared" si="17"/>
        <v>4.7222222222222179E-2</v>
      </c>
    </row>
    <row r="67" spans="1:17" x14ac:dyDescent="0.35">
      <c r="A67" s="34">
        <v>42804</v>
      </c>
      <c r="C67" s="40">
        <v>0</v>
      </c>
      <c r="D67" s="7">
        <v>0.59444444444444444</v>
      </c>
      <c r="E67" s="7">
        <v>0.60833333333333328</v>
      </c>
      <c r="G67" s="2">
        <v>0</v>
      </c>
      <c r="H67" s="3" t="s">
        <v>163</v>
      </c>
      <c r="I67" s="74">
        <v>1</v>
      </c>
      <c r="J67" s="74">
        <f t="shared" si="30"/>
        <v>0</v>
      </c>
      <c r="K67" s="75">
        <f t="shared" si="31"/>
        <v>19.999999999999929</v>
      </c>
      <c r="L67" s="7">
        <f t="shared" si="32"/>
        <v>1.388888888888884E-2</v>
      </c>
      <c r="M67" s="22">
        <f t="shared" si="33"/>
        <v>1.388888888888884E-2</v>
      </c>
      <c r="N67" s="14">
        <v>5695.5</v>
      </c>
      <c r="O67" s="30">
        <v>1744.6</v>
      </c>
      <c r="Q67" s="263">
        <f t="shared" si="17"/>
        <v>1.7361111111111063E-2</v>
      </c>
    </row>
    <row r="68" spans="1:17" x14ac:dyDescent="0.35">
      <c r="A68" s="34">
        <v>42811</v>
      </c>
      <c r="C68" s="40">
        <v>0</v>
      </c>
      <c r="D68" s="7">
        <v>0.47083333333333338</v>
      </c>
      <c r="E68" s="7">
        <v>0.48472222222222222</v>
      </c>
      <c r="G68" s="2">
        <v>1</v>
      </c>
      <c r="I68" s="74">
        <v>1</v>
      </c>
      <c r="J68" s="74">
        <f t="shared" si="30"/>
        <v>0</v>
      </c>
      <c r="K68" s="75">
        <f t="shared" si="31"/>
        <v>19.999999999999929</v>
      </c>
      <c r="L68" s="7">
        <f t="shared" si="32"/>
        <v>1.388888888888884E-2</v>
      </c>
      <c r="M68" s="22">
        <f t="shared" si="33"/>
        <v>1.388888888888884E-2</v>
      </c>
      <c r="N68" s="14">
        <v>5696.3</v>
      </c>
      <c r="O68" s="30">
        <v>1745.8</v>
      </c>
      <c r="Q68" s="263">
        <f t="shared" ref="Q68:Q73" si="34">IF(L68=0,0,L68+$Q$2)</f>
        <v>1.7361111111111063E-2</v>
      </c>
    </row>
    <row r="69" spans="1:17" x14ac:dyDescent="0.35">
      <c r="A69" s="34">
        <v>42813</v>
      </c>
      <c r="C69" s="40">
        <v>0</v>
      </c>
      <c r="D69" s="7">
        <v>0.51041666666666663</v>
      </c>
      <c r="E69" s="7">
        <v>0.53194444444444444</v>
      </c>
      <c r="G69" s="2">
        <v>1</v>
      </c>
      <c r="I69" s="74">
        <v>1</v>
      </c>
      <c r="J69" s="74">
        <f t="shared" si="30"/>
        <v>0</v>
      </c>
      <c r="K69" s="75">
        <f t="shared" si="31"/>
        <v>31.00000000000005</v>
      </c>
      <c r="L69" s="7">
        <f t="shared" si="32"/>
        <v>2.1527777777777812E-2</v>
      </c>
      <c r="M69" s="22">
        <f t="shared" si="33"/>
        <v>2.1527777777777812E-2</v>
      </c>
      <c r="N69" s="14">
        <v>5696.9</v>
      </c>
      <c r="O69" s="30">
        <v>1746.6</v>
      </c>
      <c r="Q69" s="263">
        <f t="shared" si="34"/>
        <v>2.5000000000000036E-2</v>
      </c>
    </row>
    <row r="70" spans="1:17" x14ac:dyDescent="0.35">
      <c r="A70" s="34">
        <v>42821</v>
      </c>
      <c r="C70" s="40">
        <v>13</v>
      </c>
      <c r="D70" s="7">
        <v>0.43402777777777773</v>
      </c>
      <c r="E70" s="7">
        <v>0.46319444444444446</v>
      </c>
      <c r="G70" s="2">
        <v>0</v>
      </c>
      <c r="H70" s="3" t="s">
        <v>165</v>
      </c>
      <c r="I70" s="74">
        <v>1</v>
      </c>
      <c r="J70" s="74">
        <f t="shared" si="30"/>
        <v>0</v>
      </c>
      <c r="K70" s="75">
        <f t="shared" si="31"/>
        <v>42.000000000000092</v>
      </c>
      <c r="L70" s="7">
        <f t="shared" si="32"/>
        <v>2.916666666666673E-2</v>
      </c>
      <c r="M70" s="22">
        <f t="shared" si="33"/>
        <v>2.916666666666673E-2</v>
      </c>
      <c r="N70" s="14">
        <v>5697.7</v>
      </c>
      <c r="O70" s="30">
        <v>1747.6</v>
      </c>
      <c r="Q70" s="263">
        <f t="shared" si="34"/>
        <v>3.2638888888888953E-2</v>
      </c>
    </row>
    <row r="71" spans="1:17" x14ac:dyDescent="0.35">
      <c r="A71" s="34">
        <v>42821</v>
      </c>
      <c r="C71" s="40">
        <v>13</v>
      </c>
      <c r="D71" s="7">
        <v>0.55208333333333337</v>
      </c>
      <c r="E71" s="7">
        <v>0.57777777777777783</v>
      </c>
      <c r="G71" s="2">
        <v>1</v>
      </c>
      <c r="I71" s="74">
        <v>1</v>
      </c>
      <c r="J71" s="74">
        <f t="shared" si="30"/>
        <v>0</v>
      </c>
      <c r="K71" s="75">
        <f t="shared" si="31"/>
        <v>37.000000000000028</v>
      </c>
      <c r="L71" s="7">
        <f t="shared" si="32"/>
        <v>2.5694444444444464E-2</v>
      </c>
      <c r="M71" s="22">
        <f t="shared" si="33"/>
        <v>2.5694444444444464E-2</v>
      </c>
      <c r="N71" s="14">
        <v>5698.3</v>
      </c>
      <c r="O71" s="30">
        <v>1748.3</v>
      </c>
      <c r="Q71" s="263">
        <f t="shared" si="34"/>
        <v>2.9166666666666688E-2</v>
      </c>
    </row>
    <row r="72" spans="1:17" ht="13.15" thickBot="1" x14ac:dyDescent="0.4">
      <c r="A72" s="38">
        <v>42826</v>
      </c>
      <c r="B72" s="24"/>
      <c r="C72" s="41">
        <v>9</v>
      </c>
      <c r="D72" s="9">
        <v>0.46875</v>
      </c>
      <c r="E72" s="292">
        <v>0.51388888888888895</v>
      </c>
      <c r="F72" s="293" t="s">
        <v>170</v>
      </c>
      <c r="G72" s="269">
        <v>1</v>
      </c>
      <c r="H72" s="28"/>
      <c r="I72" s="76">
        <v>1</v>
      </c>
      <c r="J72" s="76">
        <f t="shared" si="30"/>
        <v>1</v>
      </c>
      <c r="K72" s="77">
        <f t="shared" si="31"/>
        <v>5.0000000000000888</v>
      </c>
      <c r="L72" s="9">
        <f t="shared" si="32"/>
        <v>4.5138888888888951E-2</v>
      </c>
      <c r="M72" s="26">
        <f t="shared" si="33"/>
        <v>4.5138888888888951E-2</v>
      </c>
      <c r="N72" s="27">
        <v>5699.7</v>
      </c>
      <c r="O72" s="31">
        <v>1749.9</v>
      </c>
      <c r="P72" s="24"/>
      <c r="Q72" s="263">
        <f t="shared" si="34"/>
        <v>4.8611111111111174E-2</v>
      </c>
    </row>
    <row r="73" spans="1:17" ht="13.5" hidden="1" thickBot="1" x14ac:dyDescent="0.45">
      <c r="A73" s="6"/>
      <c r="B73" s="6"/>
      <c r="C73" s="42"/>
      <c r="D73" s="6"/>
      <c r="E73" s="6"/>
      <c r="F73" s="6"/>
      <c r="G73" s="266"/>
      <c r="H73" s="12"/>
      <c r="I73" s="78"/>
      <c r="J73" s="79">
        <f>SUM(J65:J72)</f>
        <v>14704.4</v>
      </c>
      <c r="K73" s="80">
        <f>SUM(K65:K72)</f>
        <v>166.00000000000006</v>
      </c>
      <c r="L73" s="10">
        <f>SUM(L66:L72)</f>
        <v>0.19305555555555559</v>
      </c>
      <c r="M73" s="10"/>
      <c r="N73" s="13">
        <f>MAX(N66:N72)</f>
        <v>5699.7</v>
      </c>
      <c r="O73" s="13">
        <f>MAX(O66:O72)</f>
        <v>1749.9</v>
      </c>
      <c r="P73" s="6"/>
      <c r="Q73" s="162">
        <f t="shared" si="34"/>
        <v>0.1965277777777778</v>
      </c>
    </row>
    <row r="74" spans="1:17" ht="13.5" thickBot="1" x14ac:dyDescent="0.45">
      <c r="A74" s="87" t="s">
        <v>16</v>
      </c>
      <c r="B74" s="89"/>
      <c r="C74" s="90"/>
      <c r="D74" s="89"/>
      <c r="E74" s="89"/>
      <c r="F74" s="91"/>
      <c r="G74" s="81"/>
      <c r="H74" s="92"/>
      <c r="I74" s="81">
        <f>I65+I66+I67+I68+I69+I70+I71+I72</f>
        <v>20129</v>
      </c>
      <c r="J74" s="81">
        <f>ROUNDDOWN(K73/60,0)+J73</f>
        <v>14706.4</v>
      </c>
      <c r="K74" s="82">
        <f>ROUND(K73-(ROUNDDOWN(K73/60,0)*60),0)</f>
        <v>46</v>
      </c>
      <c r="L74" s="271">
        <f>L73</f>
        <v>0.19305555555555559</v>
      </c>
      <c r="M74" s="93"/>
      <c r="N74" s="94">
        <f>N73-N64</f>
        <v>5.5999999999994543</v>
      </c>
      <c r="O74" s="94">
        <f>IF(OR(O65="N/A",O65="N / A", O65="N/ A",O65="N /A"),"N / A", O73-O64)</f>
        <v>6.9000000000000909</v>
      </c>
      <c r="P74" s="371"/>
      <c r="Q74" s="162">
        <f>SUM(Q66:Q72)</f>
        <v>0.21736111111111112</v>
      </c>
    </row>
    <row r="75" spans="1:17" x14ac:dyDescent="0.35">
      <c r="A75" s="34">
        <v>42826</v>
      </c>
      <c r="C75" s="40">
        <v>1</v>
      </c>
      <c r="D75" s="7">
        <v>0.70416666666666661</v>
      </c>
      <c r="E75" s="7">
        <v>0.75902777777777775</v>
      </c>
      <c r="G75" s="2">
        <v>0</v>
      </c>
      <c r="H75" s="3" t="s">
        <v>144</v>
      </c>
      <c r="I75" s="74">
        <v>1</v>
      </c>
      <c r="J75" s="74">
        <f t="shared" ref="J75:J81" si="35">ROUNDDOWN(M75*24,0)</f>
        <v>1</v>
      </c>
      <c r="K75" s="75">
        <f t="shared" ref="K75:K81" si="36">(M75*24-J75)*60</f>
        <v>19.000000000000039</v>
      </c>
      <c r="L75" s="7">
        <f t="shared" ref="L75:L81" si="37">E75-D75</f>
        <v>5.4861111111111138E-2</v>
      </c>
      <c r="M75" s="22">
        <f t="shared" ref="M75:M81" si="38">L75</f>
        <v>5.4861111111111138E-2</v>
      </c>
      <c r="N75" s="14">
        <v>5701</v>
      </c>
      <c r="O75" s="273">
        <v>1750.7</v>
      </c>
      <c r="P75" s="267"/>
      <c r="Q75" s="263">
        <f t="shared" ref="Q75:Q82" si="39">IF(L75=0,0,L75+$Q$2)</f>
        <v>5.8333333333333362E-2</v>
      </c>
    </row>
    <row r="76" spans="1:17" x14ac:dyDescent="0.35">
      <c r="A76" s="34">
        <v>42827</v>
      </c>
      <c r="C76" s="40">
        <v>1</v>
      </c>
      <c r="D76" s="7">
        <v>0.71944444444444444</v>
      </c>
      <c r="E76" s="7">
        <v>0.77986111111111101</v>
      </c>
      <c r="G76" s="2">
        <v>1</v>
      </c>
      <c r="I76" s="74">
        <v>1</v>
      </c>
      <c r="J76" s="74">
        <f t="shared" si="35"/>
        <v>1</v>
      </c>
      <c r="K76" s="75">
        <f t="shared" si="36"/>
        <v>26.999999999999851</v>
      </c>
      <c r="L76" s="7">
        <f t="shared" si="37"/>
        <v>6.0416666666666563E-2</v>
      </c>
      <c r="M76" s="22">
        <f t="shared" si="38"/>
        <v>6.0416666666666563E-2</v>
      </c>
      <c r="N76" s="14">
        <v>5702.4</v>
      </c>
      <c r="O76" s="273">
        <v>1750.8</v>
      </c>
      <c r="P76" s="267"/>
      <c r="Q76" s="263">
        <f t="shared" si="39"/>
        <v>6.3888888888888787E-2</v>
      </c>
    </row>
    <row r="77" spans="1:17" x14ac:dyDescent="0.35">
      <c r="A77" s="34">
        <v>42837</v>
      </c>
      <c r="C77" s="40">
        <v>4</v>
      </c>
      <c r="D77" s="7">
        <v>0.32430555555555557</v>
      </c>
      <c r="E77" s="7">
        <v>0.38194444444444442</v>
      </c>
      <c r="G77" s="2">
        <v>0</v>
      </c>
      <c r="H77" s="3" t="s">
        <v>96</v>
      </c>
      <c r="I77" s="74">
        <v>1</v>
      </c>
      <c r="J77" s="74">
        <f t="shared" si="35"/>
        <v>1</v>
      </c>
      <c r="K77" s="75">
        <f t="shared" si="36"/>
        <v>22.999999999999943</v>
      </c>
      <c r="L77" s="7">
        <f t="shared" si="37"/>
        <v>5.7638888888888851E-2</v>
      </c>
      <c r="M77" s="22">
        <f t="shared" si="38"/>
        <v>5.7638888888888851E-2</v>
      </c>
      <c r="N77" s="14">
        <v>5703.9</v>
      </c>
      <c r="O77" s="273">
        <v>1751.3</v>
      </c>
      <c r="P77" s="267"/>
      <c r="Q77" s="263">
        <f t="shared" si="39"/>
        <v>6.1111111111111074E-2</v>
      </c>
    </row>
    <row r="78" spans="1:17" x14ac:dyDescent="0.35">
      <c r="A78" s="34">
        <v>42837</v>
      </c>
      <c r="C78" s="40">
        <v>4</v>
      </c>
      <c r="D78" s="7">
        <v>0.49791666666666662</v>
      </c>
      <c r="E78" s="7">
        <v>0.54166666666666663</v>
      </c>
      <c r="G78" s="2">
        <v>1</v>
      </c>
      <c r="I78" s="74">
        <v>1</v>
      </c>
      <c r="J78" s="74">
        <f t="shared" si="35"/>
        <v>1</v>
      </c>
      <c r="K78" s="75">
        <f t="shared" si="36"/>
        <v>3.000000000000016</v>
      </c>
      <c r="L78" s="7">
        <f t="shared" si="37"/>
        <v>4.3750000000000011E-2</v>
      </c>
      <c r="M78" s="22">
        <f t="shared" si="38"/>
        <v>4.3750000000000011E-2</v>
      </c>
      <c r="N78" s="14">
        <v>5704.8</v>
      </c>
      <c r="O78" s="273">
        <v>1753.5</v>
      </c>
      <c r="P78" s="267"/>
      <c r="Q78" s="263">
        <f t="shared" si="39"/>
        <v>4.7222222222222235E-2</v>
      </c>
    </row>
    <row r="79" spans="1:17" x14ac:dyDescent="0.35">
      <c r="A79" s="34">
        <v>42845</v>
      </c>
      <c r="C79" s="40">
        <v>1</v>
      </c>
      <c r="D79" s="7">
        <v>0.73819444444444438</v>
      </c>
      <c r="E79" s="7">
        <v>0.76388888888888884</v>
      </c>
      <c r="G79" s="2">
        <v>1</v>
      </c>
      <c r="I79" s="74">
        <v>1</v>
      </c>
      <c r="J79" s="74">
        <f t="shared" si="35"/>
        <v>0</v>
      </c>
      <c r="K79" s="75">
        <f t="shared" si="36"/>
        <v>37.000000000000028</v>
      </c>
      <c r="L79" s="7">
        <f t="shared" si="37"/>
        <v>2.5694444444444464E-2</v>
      </c>
      <c r="M79" s="22">
        <f t="shared" si="38"/>
        <v>2.5694444444444464E-2</v>
      </c>
      <c r="N79" s="14">
        <v>5705.4</v>
      </c>
      <c r="O79" s="273">
        <v>1753.9</v>
      </c>
      <c r="P79" s="267"/>
      <c r="Q79" s="263">
        <f t="shared" si="39"/>
        <v>2.9166666666666688E-2</v>
      </c>
    </row>
    <row r="80" spans="1:17" x14ac:dyDescent="0.35">
      <c r="A80" s="272">
        <v>42846</v>
      </c>
      <c r="C80" s="40">
        <v>4</v>
      </c>
      <c r="D80" s="7">
        <v>0.47569444444444442</v>
      </c>
      <c r="E80" s="7">
        <v>0.53888888888888886</v>
      </c>
      <c r="G80" s="2">
        <v>0</v>
      </c>
      <c r="H80" s="3" t="s">
        <v>144</v>
      </c>
      <c r="I80" s="74">
        <v>1</v>
      </c>
      <c r="J80" s="74">
        <f t="shared" si="35"/>
        <v>1</v>
      </c>
      <c r="K80" s="75">
        <f t="shared" si="36"/>
        <v>30.999999999999996</v>
      </c>
      <c r="L80" s="7">
        <f t="shared" si="37"/>
        <v>6.3194444444444442E-2</v>
      </c>
      <c r="M80" s="22">
        <f t="shared" si="38"/>
        <v>6.3194444444444442E-2</v>
      </c>
      <c r="N80" s="14">
        <v>5706.9</v>
      </c>
      <c r="O80" s="273">
        <v>1755.7</v>
      </c>
      <c r="P80" s="267"/>
      <c r="Q80" s="263">
        <f t="shared" si="39"/>
        <v>6.6666666666666666E-2</v>
      </c>
    </row>
    <row r="81" spans="1:17" ht="13.15" thickBot="1" x14ac:dyDescent="0.4">
      <c r="A81" s="38">
        <v>42846</v>
      </c>
      <c r="B81" s="24"/>
      <c r="C81" s="41">
        <v>4</v>
      </c>
      <c r="D81" s="9">
        <v>0.57777777777777783</v>
      </c>
      <c r="E81" s="9">
        <v>0.65763888888888888</v>
      </c>
      <c r="F81" s="25"/>
      <c r="G81" s="269">
        <v>2</v>
      </c>
      <c r="H81" s="28"/>
      <c r="I81" s="76">
        <v>2</v>
      </c>
      <c r="J81" s="76">
        <f t="shared" si="35"/>
        <v>1</v>
      </c>
      <c r="K81" s="77">
        <f t="shared" si="36"/>
        <v>54.999999999999915</v>
      </c>
      <c r="L81" s="9">
        <f t="shared" si="37"/>
        <v>7.9861111111111049E-2</v>
      </c>
      <c r="M81" s="26">
        <f t="shared" si="38"/>
        <v>7.9861111111111049E-2</v>
      </c>
      <c r="N81" s="27">
        <v>5708.8</v>
      </c>
      <c r="O81" s="31">
        <v>1757.9</v>
      </c>
      <c r="P81" s="24"/>
      <c r="Q81" s="263">
        <f t="shared" si="39"/>
        <v>8.3333333333333273E-2</v>
      </c>
    </row>
    <row r="82" spans="1:17" ht="13.5" hidden="1" thickBot="1" x14ac:dyDescent="0.45">
      <c r="A82" s="6"/>
      <c r="B82" s="6"/>
      <c r="C82" s="42"/>
      <c r="D82" s="6"/>
      <c r="E82" s="6"/>
      <c r="F82" s="6"/>
      <c r="G82" s="266"/>
      <c r="H82" s="12"/>
      <c r="I82" s="78"/>
      <c r="J82" s="79">
        <f>SUM(J74:J81)</f>
        <v>14712.4</v>
      </c>
      <c r="K82" s="80">
        <f>SUM(K74:K81)</f>
        <v>240.9999999999998</v>
      </c>
      <c r="L82" s="10">
        <f>SUM(L75:L81)</f>
        <v>0.38541666666666652</v>
      </c>
      <c r="M82" s="10"/>
      <c r="N82" s="13">
        <f>MAX(N75:N81)</f>
        <v>5708.8</v>
      </c>
      <c r="O82" s="13">
        <f>MAX(O75:O81)</f>
        <v>1757.9</v>
      </c>
      <c r="P82" s="6"/>
      <c r="Q82" s="162">
        <f t="shared" si="39"/>
        <v>0.38888888888888873</v>
      </c>
    </row>
    <row r="83" spans="1:17" ht="13.5" thickBot="1" x14ac:dyDescent="0.45">
      <c r="A83" s="87" t="s">
        <v>16</v>
      </c>
      <c r="B83" s="89"/>
      <c r="C83" s="90"/>
      <c r="D83" s="89"/>
      <c r="E83" s="89"/>
      <c r="F83" s="91"/>
      <c r="G83" s="81"/>
      <c r="H83" s="92"/>
      <c r="I83" s="81">
        <f>I74+I75+I76+I77+I78+I79+I80+I81</f>
        <v>20137</v>
      </c>
      <c r="J83" s="81">
        <f>ROUNDDOWN(K82/60,0)+J82</f>
        <v>14716.4</v>
      </c>
      <c r="K83" s="82">
        <f>ROUND(K82-(ROUNDDOWN(K82/60,0)*60),0)</f>
        <v>1</v>
      </c>
      <c r="L83" s="271">
        <f>L82</f>
        <v>0.38541666666666652</v>
      </c>
      <c r="M83" s="93"/>
      <c r="N83" s="94">
        <f>N82-N73</f>
        <v>9.1000000000003638</v>
      </c>
      <c r="O83" s="94">
        <f>IF(OR(O74="N/A",O74="N / A", O74="N/ A",O74="N /A"),"N / A", O82-O73)</f>
        <v>8</v>
      </c>
      <c r="P83" s="371"/>
      <c r="Q83" s="162">
        <f>SUM(Q75:Q81)</f>
        <v>0.40972222222222204</v>
      </c>
    </row>
    <row r="84" spans="1:17" x14ac:dyDescent="0.35">
      <c r="A84" s="34">
        <v>42855</v>
      </c>
      <c r="C84" s="40">
        <v>9</v>
      </c>
      <c r="D84" s="7">
        <v>0.4770833333333333</v>
      </c>
      <c r="E84" s="7">
        <v>0.50555555555555554</v>
      </c>
      <c r="G84" s="2">
        <v>0</v>
      </c>
      <c r="H84" s="3" t="s">
        <v>167</v>
      </c>
      <c r="I84" s="74">
        <v>1</v>
      </c>
      <c r="J84" s="74">
        <f t="shared" ref="J84:J89" si="40">ROUNDDOWN(M84*24,0)</f>
        <v>0</v>
      </c>
      <c r="K84" s="75">
        <f>(M84*24-J84)*60</f>
        <v>41.000000000000014</v>
      </c>
      <c r="L84" s="7">
        <f>E84-D84</f>
        <v>2.8472222222222232E-2</v>
      </c>
      <c r="M84" s="22">
        <f t="shared" ref="M84:M90" si="41">L84</f>
        <v>2.8472222222222232E-2</v>
      </c>
      <c r="N84" s="14">
        <v>5709.5</v>
      </c>
      <c r="O84" s="273">
        <v>1758.8</v>
      </c>
      <c r="P84" s="267"/>
      <c r="Q84" s="263">
        <f t="shared" ref="Q84:Q91" si="42">IF(L84=0,0,L84+$Q$2)</f>
        <v>3.1944444444444456E-2</v>
      </c>
    </row>
    <row r="85" spans="1:17" x14ac:dyDescent="0.35">
      <c r="A85" s="34">
        <v>42855</v>
      </c>
      <c r="C85" s="40">
        <v>9</v>
      </c>
      <c r="D85" s="7">
        <v>0.55763888888888891</v>
      </c>
      <c r="E85" s="7">
        <v>0.61458333333333337</v>
      </c>
      <c r="G85" s="2">
        <v>1</v>
      </c>
      <c r="I85" s="74">
        <v>1</v>
      </c>
      <c r="J85" s="74">
        <f t="shared" si="40"/>
        <v>1</v>
      </c>
      <c r="K85" s="75">
        <f t="shared" ref="K85:K90" si="43">(M85*24-J85)*60</f>
        <v>22.000000000000028</v>
      </c>
      <c r="L85" s="7">
        <f t="shared" ref="L85:L90" si="44">E85-D85</f>
        <v>5.6944444444444464E-2</v>
      </c>
      <c r="M85" s="22">
        <f t="shared" si="41"/>
        <v>5.6944444444444464E-2</v>
      </c>
      <c r="N85" s="14">
        <v>5710.8</v>
      </c>
      <c r="O85" s="273">
        <v>1760.3</v>
      </c>
      <c r="P85" s="267"/>
      <c r="Q85" s="263">
        <f t="shared" si="42"/>
        <v>6.0416666666666688E-2</v>
      </c>
    </row>
    <row r="86" spans="1:17" x14ac:dyDescent="0.35">
      <c r="A86" s="34">
        <v>42856</v>
      </c>
      <c r="C86" s="40">
        <v>18</v>
      </c>
      <c r="D86" s="7">
        <v>0.44861111111111113</v>
      </c>
      <c r="E86" s="7">
        <v>0.47916666666666669</v>
      </c>
      <c r="G86" s="2">
        <v>0</v>
      </c>
      <c r="H86" s="3" t="s">
        <v>110</v>
      </c>
      <c r="I86" s="74">
        <v>3</v>
      </c>
      <c r="J86" s="74">
        <f t="shared" si="40"/>
        <v>0</v>
      </c>
      <c r="K86" s="75">
        <f t="shared" si="43"/>
        <v>44</v>
      </c>
      <c r="L86" s="7">
        <f t="shared" si="44"/>
        <v>3.0555555555555558E-2</v>
      </c>
      <c r="M86" s="22">
        <f t="shared" si="41"/>
        <v>3.0555555555555558E-2</v>
      </c>
      <c r="N86" s="14">
        <v>5711.5</v>
      </c>
      <c r="O86" s="273">
        <v>1761.2</v>
      </c>
      <c r="P86" s="267"/>
      <c r="Q86" s="263">
        <f t="shared" si="42"/>
        <v>3.4027777777777782E-2</v>
      </c>
    </row>
    <row r="87" spans="1:17" x14ac:dyDescent="0.35">
      <c r="A87" s="34">
        <v>42856</v>
      </c>
      <c r="C87" s="40">
        <v>18</v>
      </c>
      <c r="D87" s="7">
        <v>0.49722222222222223</v>
      </c>
      <c r="E87" s="7">
        <v>0.50902777777777775</v>
      </c>
      <c r="G87" s="2">
        <v>1</v>
      </c>
      <c r="I87" s="74">
        <v>1</v>
      </c>
      <c r="J87" s="74">
        <f t="shared" si="40"/>
        <v>0</v>
      </c>
      <c r="K87" s="75">
        <f t="shared" si="43"/>
        <v>16.99999999999994</v>
      </c>
      <c r="L87" s="7">
        <f t="shared" si="44"/>
        <v>1.1805555555555514E-2</v>
      </c>
      <c r="M87" s="22">
        <f t="shared" si="41"/>
        <v>1.1805555555555514E-2</v>
      </c>
      <c r="N87" s="14">
        <v>5711.8</v>
      </c>
      <c r="O87" s="273">
        <v>1761.7</v>
      </c>
      <c r="P87" s="267"/>
      <c r="Q87" s="263">
        <f t="shared" si="42"/>
        <v>1.5277777777777736E-2</v>
      </c>
    </row>
    <row r="88" spans="1:17" x14ac:dyDescent="0.35">
      <c r="A88" s="34">
        <v>42858</v>
      </c>
      <c r="C88" s="40">
        <v>0</v>
      </c>
      <c r="D88" s="7">
        <v>0.27499999999999997</v>
      </c>
      <c r="E88" s="7">
        <v>0.2951388888888889</v>
      </c>
      <c r="G88" s="2">
        <v>0</v>
      </c>
      <c r="H88" s="3" t="s">
        <v>163</v>
      </c>
      <c r="I88" s="74">
        <v>1</v>
      </c>
      <c r="J88" s="74">
        <f t="shared" si="40"/>
        <v>0</v>
      </c>
      <c r="K88" s="75">
        <f t="shared" si="43"/>
        <v>29.000000000000057</v>
      </c>
      <c r="L88" s="7">
        <f t="shared" si="44"/>
        <v>2.0138888888888928E-2</v>
      </c>
      <c r="M88" s="22">
        <f t="shared" si="41"/>
        <v>2.0138888888888928E-2</v>
      </c>
      <c r="N88" s="14">
        <v>5712.4</v>
      </c>
      <c r="O88" s="273">
        <v>1762.4</v>
      </c>
      <c r="P88" s="294" t="s">
        <v>178</v>
      </c>
      <c r="Q88" s="263">
        <f t="shared" si="42"/>
        <v>2.3611111111111152E-2</v>
      </c>
    </row>
    <row r="89" spans="1:17" x14ac:dyDescent="0.35">
      <c r="A89" s="272">
        <v>42858</v>
      </c>
      <c r="C89" s="40">
        <v>0</v>
      </c>
      <c r="D89" s="7">
        <v>0.58958333333333335</v>
      </c>
      <c r="E89" s="7">
        <v>0.61041666666666672</v>
      </c>
      <c r="G89" s="2">
        <v>1</v>
      </c>
      <c r="I89" s="74">
        <v>1</v>
      </c>
      <c r="J89" s="74">
        <f t="shared" si="40"/>
        <v>0</v>
      </c>
      <c r="K89" s="75">
        <f t="shared" si="43"/>
        <v>30.000000000000053</v>
      </c>
      <c r="L89" s="7">
        <f t="shared" si="44"/>
        <v>2.083333333333337E-2</v>
      </c>
      <c r="M89" s="22">
        <f t="shared" si="41"/>
        <v>2.083333333333337E-2</v>
      </c>
      <c r="N89" s="14">
        <v>5712.9</v>
      </c>
      <c r="O89" s="273">
        <v>1763.2</v>
      </c>
      <c r="P89" s="294" t="s">
        <v>178</v>
      </c>
      <c r="Q89" s="263">
        <f t="shared" si="42"/>
        <v>2.4305555555555594E-2</v>
      </c>
    </row>
    <row r="90" spans="1:17" ht="13.15" thickBot="1" x14ac:dyDescent="0.4">
      <c r="A90" s="38">
        <v>42865</v>
      </c>
      <c r="B90" s="24"/>
      <c r="C90" s="41">
        <v>1</v>
      </c>
      <c r="D90" s="9">
        <v>0.71250000000000002</v>
      </c>
      <c r="E90" s="9">
        <v>0.76388888888888884</v>
      </c>
      <c r="F90" s="25"/>
      <c r="G90" s="269">
        <v>1</v>
      </c>
      <c r="H90" s="28"/>
      <c r="I90" s="76">
        <v>1</v>
      </c>
      <c r="J90" s="76">
        <f>ROUNDDOWN(M90*24,0)</f>
        <v>1</v>
      </c>
      <c r="K90" s="77">
        <f t="shared" si="43"/>
        <v>13.999999999999897</v>
      </c>
      <c r="L90" s="9">
        <f t="shared" si="44"/>
        <v>5.1388888888888817E-2</v>
      </c>
      <c r="M90" s="26">
        <f t="shared" si="41"/>
        <v>5.1388888888888817E-2</v>
      </c>
      <c r="N90" s="27">
        <v>5714.1</v>
      </c>
      <c r="O90" s="31">
        <v>1764.7</v>
      </c>
      <c r="P90" s="24"/>
      <c r="Q90" s="263">
        <f t="shared" si="42"/>
        <v>5.4861111111111041E-2</v>
      </c>
    </row>
    <row r="91" spans="1:17" ht="13.5" hidden="1" thickBot="1" x14ac:dyDescent="0.45">
      <c r="A91" s="6"/>
      <c r="B91" s="6"/>
      <c r="C91" s="42"/>
      <c r="D91" s="6"/>
      <c r="E91" s="6"/>
      <c r="F91" s="6"/>
      <c r="G91" s="266"/>
      <c r="H91" s="12"/>
      <c r="I91" s="78"/>
      <c r="J91" s="79">
        <f>SUM(J83:J90)</f>
        <v>14718.4</v>
      </c>
      <c r="K91" s="80">
        <f>SUM(K83:K90)</f>
        <v>198</v>
      </c>
      <c r="L91" s="10">
        <f>SUM(L84:L90)</f>
        <v>0.22013888888888888</v>
      </c>
      <c r="M91" s="10"/>
      <c r="N91" s="13">
        <f>MAX(N84:N90)</f>
        <v>5714.1</v>
      </c>
      <c r="O91" s="13">
        <f>MAX(O84:O90)</f>
        <v>1764.7</v>
      </c>
      <c r="P91" s="6" t="s">
        <v>159</v>
      </c>
      <c r="Q91" s="162">
        <f t="shared" si="42"/>
        <v>0.22361111111111109</v>
      </c>
    </row>
    <row r="92" spans="1:17" ht="13.5" thickBot="1" x14ac:dyDescent="0.45">
      <c r="A92" s="87" t="s">
        <v>16</v>
      </c>
      <c r="B92" s="89"/>
      <c r="C92" s="90"/>
      <c r="D92" s="89"/>
      <c r="E92" s="89"/>
      <c r="F92" s="91"/>
      <c r="G92" s="81"/>
      <c r="H92" s="92"/>
      <c r="I92" s="81">
        <f>SUM(I83:I90)</f>
        <v>20146</v>
      </c>
      <c r="J92" s="81">
        <f>ROUNDDOWN(K91/60,0)+J91</f>
        <v>14721.4</v>
      </c>
      <c r="K92" s="82">
        <f>ROUND(K91-(ROUNDDOWN(K91/60,0)*60),0)</f>
        <v>18</v>
      </c>
      <c r="L92" s="271">
        <f>L91</f>
        <v>0.22013888888888888</v>
      </c>
      <c r="M92" s="93"/>
      <c r="N92" s="94">
        <f>N91-N82</f>
        <v>5.3000000000001819</v>
      </c>
      <c r="O92" s="94">
        <f>IF(OR(O83="N/A",O83="N / A", O83="N/ A",O83="N /A"),"N / A", O91-O82)</f>
        <v>6.7999999999999545</v>
      </c>
      <c r="P92" s="371"/>
      <c r="Q92" s="162">
        <f>SUM(Q84:Q90)</f>
        <v>0.24444444444444441</v>
      </c>
    </row>
    <row r="93" spans="1:17" x14ac:dyDescent="0.35">
      <c r="A93" s="34">
        <v>42868</v>
      </c>
      <c r="C93" s="40">
        <v>12</v>
      </c>
      <c r="D93" s="7">
        <v>0.68194444444444446</v>
      </c>
      <c r="E93" s="7">
        <v>0.73263888888888884</v>
      </c>
      <c r="G93" s="2">
        <v>1</v>
      </c>
      <c r="I93" s="74">
        <v>1</v>
      </c>
      <c r="J93" s="74">
        <f t="shared" ref="J93:J99" si="45">ROUNDDOWN(M93*24,0)</f>
        <v>1</v>
      </c>
      <c r="K93" s="75">
        <f t="shared" ref="K93:K99" si="46">(M93*24-J93)*60</f>
        <v>12.999999999999901</v>
      </c>
      <c r="L93" s="7">
        <f t="shared" ref="L93:L99" si="47">E93-D93</f>
        <v>5.0694444444444375E-2</v>
      </c>
      <c r="M93" s="22">
        <f t="shared" ref="M93:M99" si="48">L93</f>
        <v>5.0694444444444375E-2</v>
      </c>
      <c r="N93" s="14">
        <v>5715.4</v>
      </c>
      <c r="O93" s="273">
        <v>1766.2</v>
      </c>
      <c r="P93" s="267"/>
      <c r="Q93" s="263">
        <f t="shared" ref="Q93:Q100" si="49">IF(L93=0,0,L93+$Q$2)</f>
        <v>5.4166666666666599E-2</v>
      </c>
    </row>
    <row r="94" spans="1:17" x14ac:dyDescent="0.35">
      <c r="A94" s="34">
        <v>42876</v>
      </c>
      <c r="C94" s="40">
        <v>12</v>
      </c>
      <c r="D94" s="7">
        <v>0.53472222222222221</v>
      </c>
      <c r="E94" s="7">
        <v>0.58611111111111114</v>
      </c>
      <c r="G94" s="2">
        <v>0</v>
      </c>
      <c r="H94" s="3" t="s">
        <v>171</v>
      </c>
      <c r="I94" s="74">
        <v>1</v>
      </c>
      <c r="J94" s="74">
        <f t="shared" si="45"/>
        <v>1</v>
      </c>
      <c r="K94" s="75">
        <f t="shared" si="46"/>
        <v>14.000000000000057</v>
      </c>
      <c r="L94" s="7">
        <f t="shared" si="47"/>
        <v>5.1388888888888928E-2</v>
      </c>
      <c r="M94" s="22">
        <f t="shared" si="48"/>
        <v>5.1388888888888928E-2</v>
      </c>
      <c r="N94" s="14">
        <v>5716.6</v>
      </c>
      <c r="O94" s="273">
        <v>1767.6</v>
      </c>
      <c r="P94" s="267"/>
      <c r="Q94" s="263">
        <f t="shared" si="49"/>
        <v>5.4861111111111152E-2</v>
      </c>
    </row>
    <row r="95" spans="1:17" x14ac:dyDescent="0.35">
      <c r="A95" s="34">
        <v>42876</v>
      </c>
      <c r="C95" s="40">
        <v>9</v>
      </c>
      <c r="D95" s="7">
        <v>0.6791666666666667</v>
      </c>
      <c r="E95" s="7">
        <v>0.73819444444444438</v>
      </c>
      <c r="G95" s="2">
        <v>1</v>
      </c>
      <c r="I95" s="74">
        <v>1</v>
      </c>
      <c r="J95" s="74">
        <f t="shared" si="45"/>
        <v>1</v>
      </c>
      <c r="K95" s="75">
        <f t="shared" si="46"/>
        <v>24.999999999999858</v>
      </c>
      <c r="L95" s="7">
        <f t="shared" si="47"/>
        <v>5.9027777777777679E-2</v>
      </c>
      <c r="M95" s="22">
        <f t="shared" si="48"/>
        <v>5.9027777777777679E-2</v>
      </c>
      <c r="N95" s="14">
        <v>5718</v>
      </c>
      <c r="O95" s="273">
        <v>1769.2</v>
      </c>
      <c r="P95" s="267"/>
      <c r="Q95" s="263">
        <f t="shared" si="49"/>
        <v>6.2499999999999903E-2</v>
      </c>
    </row>
    <row r="96" spans="1:17" x14ac:dyDescent="0.35">
      <c r="A96" s="34">
        <v>42882</v>
      </c>
      <c r="C96" s="40">
        <v>13</v>
      </c>
      <c r="D96" s="7">
        <v>0.3347222222222222</v>
      </c>
      <c r="E96" s="7">
        <v>0.41180555555555554</v>
      </c>
      <c r="G96" s="2">
        <v>0</v>
      </c>
      <c r="H96" s="3" t="s">
        <v>175</v>
      </c>
      <c r="I96" s="74">
        <v>1</v>
      </c>
      <c r="J96" s="74">
        <f t="shared" si="45"/>
        <v>1</v>
      </c>
      <c r="K96" s="75">
        <f t="shared" si="46"/>
        <v>51.000000000000007</v>
      </c>
      <c r="L96" s="7">
        <f t="shared" si="47"/>
        <v>7.7083333333333337E-2</v>
      </c>
      <c r="M96" s="22">
        <f t="shared" si="48"/>
        <v>7.7083333333333337E-2</v>
      </c>
      <c r="N96" s="14">
        <v>5719.9</v>
      </c>
      <c r="O96" s="273">
        <v>1771.2</v>
      </c>
      <c r="P96" s="267"/>
      <c r="Q96" s="263">
        <f t="shared" si="49"/>
        <v>8.0555555555555561E-2</v>
      </c>
    </row>
    <row r="97" spans="1:17" x14ac:dyDescent="0.35">
      <c r="A97" s="34">
        <v>42883</v>
      </c>
      <c r="C97" s="40">
        <v>13</v>
      </c>
      <c r="D97" s="7">
        <v>0.45694444444444443</v>
      </c>
      <c r="E97" s="7">
        <v>0.54305555555555551</v>
      </c>
      <c r="G97" s="2">
        <v>1</v>
      </c>
      <c r="I97" s="74">
        <v>1</v>
      </c>
      <c r="J97" s="74">
        <f t="shared" si="45"/>
        <v>2</v>
      </c>
      <c r="K97" s="75">
        <f t="shared" si="46"/>
        <v>3.9999999999999591</v>
      </c>
      <c r="L97" s="7">
        <f t="shared" si="47"/>
        <v>8.6111111111111083E-2</v>
      </c>
      <c r="M97" s="22">
        <f t="shared" si="48"/>
        <v>8.6111111111111083E-2</v>
      </c>
      <c r="N97" s="14">
        <v>5722</v>
      </c>
      <c r="O97" s="273">
        <v>1773.4</v>
      </c>
      <c r="P97" s="267"/>
      <c r="Q97" s="263">
        <f t="shared" si="49"/>
        <v>8.9583333333333307E-2</v>
      </c>
    </row>
    <row r="98" spans="1:17" x14ac:dyDescent="0.35">
      <c r="A98" s="272">
        <v>42886</v>
      </c>
      <c r="C98" s="40">
        <v>9</v>
      </c>
      <c r="D98" s="7">
        <v>0.67013888888888884</v>
      </c>
      <c r="E98" s="7">
        <v>0.67708333333333337</v>
      </c>
      <c r="G98" s="2">
        <v>1</v>
      </c>
      <c r="I98" s="74">
        <v>1</v>
      </c>
      <c r="J98" s="74">
        <f t="shared" si="45"/>
        <v>0</v>
      </c>
      <c r="K98" s="75">
        <f t="shared" si="46"/>
        <v>10.000000000000124</v>
      </c>
      <c r="L98" s="7">
        <f t="shared" si="47"/>
        <v>6.9444444444445308E-3</v>
      </c>
      <c r="M98" s="22">
        <f t="shared" si="48"/>
        <v>6.9444444444445308E-3</v>
      </c>
      <c r="N98" s="14">
        <v>5722.3</v>
      </c>
      <c r="O98" s="273">
        <v>1773.8</v>
      </c>
      <c r="P98" s="267"/>
      <c r="Q98" s="263">
        <f t="shared" si="49"/>
        <v>1.0416666666666753E-2</v>
      </c>
    </row>
    <row r="99" spans="1:17" ht="13.15" thickBot="1" x14ac:dyDescent="0.4">
      <c r="A99" s="38">
        <v>42890</v>
      </c>
      <c r="B99" s="24"/>
      <c r="C99" s="41">
        <v>21</v>
      </c>
      <c r="D99" s="9">
        <v>0.57708333333333328</v>
      </c>
      <c r="E99" s="9">
        <v>0.66041666666666665</v>
      </c>
      <c r="F99" s="25"/>
      <c r="G99" s="269">
        <v>3</v>
      </c>
      <c r="H99" s="28"/>
      <c r="I99" s="76">
        <v>3</v>
      </c>
      <c r="J99" s="76">
        <f t="shared" si="45"/>
        <v>2</v>
      </c>
      <c r="K99" s="77">
        <f t="shared" si="46"/>
        <v>5.3290705182007514E-14</v>
      </c>
      <c r="L99" s="9">
        <f t="shared" si="47"/>
        <v>8.333333333333337E-2</v>
      </c>
      <c r="M99" s="26">
        <f t="shared" si="48"/>
        <v>8.333333333333337E-2</v>
      </c>
      <c r="N99" s="27">
        <v>5724.2</v>
      </c>
      <c r="O99" s="31">
        <v>1775.6</v>
      </c>
      <c r="P99" s="24"/>
      <c r="Q99" s="263">
        <f t="shared" si="49"/>
        <v>8.6805555555555594E-2</v>
      </c>
    </row>
    <row r="100" spans="1:17" ht="13.5" hidden="1" thickBot="1" x14ac:dyDescent="0.45">
      <c r="A100" s="6"/>
      <c r="B100" s="6"/>
      <c r="C100" s="42"/>
      <c r="D100" s="6"/>
      <c r="E100" s="6"/>
      <c r="F100" s="6"/>
      <c r="G100" s="266"/>
      <c r="H100" s="12"/>
      <c r="I100" s="78"/>
      <c r="J100" s="79">
        <f>SUM(J92:J99)</f>
        <v>14729.4</v>
      </c>
      <c r="K100" s="80">
        <f>SUM(K92:K99)</f>
        <v>134.99999999999997</v>
      </c>
      <c r="L100" s="10">
        <f>SUM(L93:L99)</f>
        <v>0.4145833333333333</v>
      </c>
      <c r="M100" s="10"/>
      <c r="N100" s="13">
        <f>MAX(N93:N99)</f>
        <v>5724.2</v>
      </c>
      <c r="O100" s="13">
        <f>MAX(O93:O99)</f>
        <v>1775.6</v>
      </c>
      <c r="P100" s="6" t="s">
        <v>159</v>
      </c>
      <c r="Q100" s="162">
        <f t="shared" si="49"/>
        <v>0.41805555555555551</v>
      </c>
    </row>
    <row r="101" spans="1:17" ht="13.5" thickBot="1" x14ac:dyDescent="0.45">
      <c r="A101" s="87" t="s">
        <v>16</v>
      </c>
      <c r="B101" s="89"/>
      <c r="C101" s="90"/>
      <c r="D101" s="89"/>
      <c r="E101" s="89"/>
      <c r="F101" s="91"/>
      <c r="G101" s="81"/>
      <c r="H101" s="92"/>
      <c r="I101" s="81">
        <f>SUM(I92:I99)</f>
        <v>20155</v>
      </c>
      <c r="J101" s="81">
        <f>ROUNDDOWN(K100/60,0)+J100</f>
        <v>14731.4</v>
      </c>
      <c r="K101" s="82">
        <f>ROUND(K100-(ROUNDDOWN(K100/60,0)*60),0)</f>
        <v>15</v>
      </c>
      <c r="L101" s="271">
        <f>L100</f>
        <v>0.4145833333333333</v>
      </c>
      <c r="M101" s="93"/>
      <c r="N101" s="94">
        <f>N100-N73</f>
        <v>24.5</v>
      </c>
      <c r="O101" s="94">
        <f>IF(OR(O92="N/A",O92="N / A", O92="N/ A",O92="N /A"),"N / A", O100-O91)</f>
        <v>10.899999999999864</v>
      </c>
      <c r="P101" s="371"/>
      <c r="Q101" s="162">
        <f>SUM(Q93:Q99)</f>
        <v>0.43888888888888883</v>
      </c>
    </row>
    <row r="102" spans="1:17" x14ac:dyDescent="0.35">
      <c r="A102" s="34">
        <v>42896</v>
      </c>
      <c r="C102" s="40">
        <v>9</v>
      </c>
      <c r="D102" s="7">
        <v>0.34236111111111112</v>
      </c>
      <c r="E102" s="7">
        <v>0.39374999999999999</v>
      </c>
      <c r="G102" s="2">
        <v>0</v>
      </c>
      <c r="H102" s="3" t="s">
        <v>171</v>
      </c>
      <c r="I102" s="74">
        <v>1</v>
      </c>
      <c r="J102" s="74">
        <f t="shared" ref="J102:J108" si="50">ROUNDDOWN(M102*24,0)</f>
        <v>1</v>
      </c>
      <c r="K102" s="75">
        <f t="shared" ref="K102:K108" si="51">(M102*24-J102)*60</f>
        <v>13.999999999999977</v>
      </c>
      <c r="L102" s="7">
        <f t="shared" ref="L102:L108" si="52">E102-D102</f>
        <v>5.1388888888888873E-2</v>
      </c>
      <c r="M102" s="22">
        <f t="shared" ref="M102:M108" si="53">L102</f>
        <v>5.1388888888888873E-2</v>
      </c>
      <c r="N102" s="14">
        <v>5725.5</v>
      </c>
      <c r="O102" s="273">
        <v>1777.1</v>
      </c>
      <c r="P102" s="267"/>
      <c r="Q102" s="263">
        <f t="shared" ref="Q102:Q109" si="54">IF(L102=0,0,L102+$Q$2)</f>
        <v>5.4861111111111097E-2</v>
      </c>
    </row>
    <row r="103" spans="1:17" x14ac:dyDescent="0.35">
      <c r="A103" s="34">
        <v>42896</v>
      </c>
      <c r="C103" s="40">
        <v>12</v>
      </c>
      <c r="D103" s="7">
        <v>0.62152777777777779</v>
      </c>
      <c r="E103" s="7">
        <v>0.66319444444444442</v>
      </c>
      <c r="G103" s="2">
        <v>1</v>
      </c>
      <c r="I103" s="74">
        <v>1</v>
      </c>
      <c r="J103" s="74">
        <f t="shared" si="50"/>
        <v>0</v>
      </c>
      <c r="K103" s="75">
        <f t="shared" si="51"/>
        <v>59.999999999999943</v>
      </c>
      <c r="L103" s="7">
        <f t="shared" si="52"/>
        <v>4.166666666666663E-2</v>
      </c>
      <c r="M103" s="22">
        <f t="shared" si="53"/>
        <v>4.166666666666663E-2</v>
      </c>
      <c r="N103" s="14">
        <v>5726.5</v>
      </c>
      <c r="O103" s="273">
        <v>1778.3</v>
      </c>
      <c r="P103" s="267"/>
      <c r="Q103" s="263">
        <f t="shared" si="54"/>
        <v>4.5138888888888853E-2</v>
      </c>
    </row>
    <row r="104" spans="1:17" x14ac:dyDescent="0.35">
      <c r="A104" s="34">
        <v>42902</v>
      </c>
      <c r="C104" s="40">
        <v>22</v>
      </c>
      <c r="D104" s="7">
        <v>0.27291666666666664</v>
      </c>
      <c r="E104" s="7">
        <v>0.31527777777777777</v>
      </c>
      <c r="G104" s="2">
        <v>3</v>
      </c>
      <c r="I104" s="74">
        <v>3</v>
      </c>
      <c r="J104" s="74">
        <f t="shared" si="50"/>
        <v>1</v>
      </c>
      <c r="K104" s="75">
        <f t="shared" si="51"/>
        <v>1.0000000000000231</v>
      </c>
      <c r="L104" s="7">
        <f t="shared" si="52"/>
        <v>4.2361111111111127E-2</v>
      </c>
      <c r="M104" s="22">
        <f t="shared" si="53"/>
        <v>4.2361111111111127E-2</v>
      </c>
      <c r="N104" s="14">
        <v>5727.5</v>
      </c>
      <c r="O104" s="273">
        <v>1779.3</v>
      </c>
      <c r="P104" s="267"/>
      <c r="Q104" s="263">
        <f t="shared" si="54"/>
        <v>4.5833333333333351E-2</v>
      </c>
    </row>
    <row r="105" spans="1:17" x14ac:dyDescent="0.35">
      <c r="A105" s="34">
        <v>42902</v>
      </c>
      <c r="C105" s="40">
        <v>22</v>
      </c>
      <c r="D105" s="7">
        <v>0.3520833333333333</v>
      </c>
      <c r="E105" s="7">
        <v>0.4861111111111111</v>
      </c>
      <c r="G105" s="2">
        <v>0</v>
      </c>
      <c r="H105" s="3" t="s">
        <v>179</v>
      </c>
      <c r="I105" s="74">
        <v>1</v>
      </c>
      <c r="J105" s="74">
        <f t="shared" si="50"/>
        <v>3</v>
      </c>
      <c r="K105" s="75">
        <f t="shared" si="51"/>
        <v>13.000000000000034</v>
      </c>
      <c r="L105" s="7">
        <f t="shared" si="52"/>
        <v>0.1340277777777778</v>
      </c>
      <c r="M105" s="22">
        <f t="shared" si="53"/>
        <v>0.1340277777777778</v>
      </c>
      <c r="N105" s="14">
        <v>5730.3</v>
      </c>
      <c r="O105" s="273">
        <v>1782.6</v>
      </c>
      <c r="P105" s="267"/>
      <c r="Q105" s="263">
        <f t="shared" si="54"/>
        <v>0.13750000000000001</v>
      </c>
    </row>
    <row r="106" spans="1:17" x14ac:dyDescent="0.35">
      <c r="A106" s="34">
        <v>42904</v>
      </c>
      <c r="C106" s="40">
        <v>22</v>
      </c>
      <c r="D106" s="7">
        <v>0.5493055555555556</v>
      </c>
      <c r="E106" s="7">
        <v>0.67361111111111116</v>
      </c>
      <c r="G106" s="2">
        <v>1</v>
      </c>
      <c r="I106" s="74">
        <v>1</v>
      </c>
      <c r="J106" s="74">
        <f t="shared" si="50"/>
        <v>2</v>
      </c>
      <c r="K106" s="75">
        <f t="shared" si="51"/>
        <v>59</v>
      </c>
      <c r="L106" s="7">
        <f t="shared" si="52"/>
        <v>0.12430555555555556</v>
      </c>
      <c r="M106" s="22">
        <f t="shared" si="53"/>
        <v>0.12430555555555556</v>
      </c>
      <c r="N106" s="14">
        <v>5733.1</v>
      </c>
      <c r="O106" s="273">
        <v>1785.7</v>
      </c>
      <c r="P106" s="267"/>
      <c r="Q106" s="263">
        <f t="shared" si="54"/>
        <v>0.12777777777777777</v>
      </c>
    </row>
    <row r="107" spans="1:17" x14ac:dyDescent="0.35">
      <c r="A107" s="272">
        <v>42912</v>
      </c>
      <c r="C107" s="40">
        <v>9</v>
      </c>
      <c r="D107" s="7">
        <v>0.35902777777777778</v>
      </c>
      <c r="E107" s="7">
        <v>0.47569444444444442</v>
      </c>
      <c r="G107" s="2">
        <v>1</v>
      </c>
      <c r="I107" s="74">
        <v>1</v>
      </c>
      <c r="J107" s="74">
        <f t="shared" si="50"/>
        <v>2</v>
      </c>
      <c r="K107" s="75">
        <f t="shared" si="51"/>
        <v>47.999999999999964</v>
      </c>
      <c r="L107" s="7">
        <f t="shared" si="52"/>
        <v>0.11666666666666664</v>
      </c>
      <c r="M107" s="22">
        <f t="shared" si="53"/>
        <v>0.11666666666666664</v>
      </c>
      <c r="N107" s="14">
        <v>5735.9</v>
      </c>
      <c r="O107" s="273">
        <v>1789.7</v>
      </c>
      <c r="P107" s="267"/>
      <c r="Q107" s="263">
        <f t="shared" si="54"/>
        <v>0.12013888888888886</v>
      </c>
    </row>
    <row r="108" spans="1:17" ht="13.15" thickBot="1" x14ac:dyDescent="0.4">
      <c r="A108" s="38">
        <v>42922</v>
      </c>
      <c r="B108" s="24"/>
      <c r="C108" s="41">
        <v>12</v>
      </c>
      <c r="D108" s="9">
        <v>0.68194444444444446</v>
      </c>
      <c r="E108" s="9">
        <v>0.69652777777777775</v>
      </c>
      <c r="F108" s="25"/>
      <c r="G108" s="269">
        <v>0</v>
      </c>
      <c r="H108" s="28" t="s">
        <v>181</v>
      </c>
      <c r="I108" s="76">
        <v>2</v>
      </c>
      <c r="J108" s="76">
        <f t="shared" si="50"/>
        <v>0</v>
      </c>
      <c r="K108" s="77">
        <f t="shared" si="51"/>
        <v>20.999999999999925</v>
      </c>
      <c r="L108" s="9">
        <f t="shared" si="52"/>
        <v>1.4583333333333282E-2</v>
      </c>
      <c r="M108" s="26">
        <f t="shared" si="53"/>
        <v>1.4583333333333282E-2</v>
      </c>
      <c r="N108" s="27">
        <v>5736.7</v>
      </c>
      <c r="O108" s="31">
        <v>1789.8</v>
      </c>
      <c r="P108" s="24"/>
      <c r="Q108" s="263">
        <f t="shared" si="54"/>
        <v>1.8055555555555505E-2</v>
      </c>
    </row>
    <row r="109" spans="1:17" ht="13.5" hidden="1" thickBot="1" x14ac:dyDescent="0.45">
      <c r="A109" s="6"/>
      <c r="B109" s="6"/>
      <c r="C109" s="42"/>
      <c r="D109" s="6"/>
      <c r="E109" s="6"/>
      <c r="F109" s="6"/>
      <c r="G109" s="266"/>
      <c r="H109" s="12"/>
      <c r="I109" s="78"/>
      <c r="J109" s="79">
        <f>SUM(J101:J108)</f>
        <v>14740.4</v>
      </c>
      <c r="K109" s="80">
        <f>SUM(K101:K108)</f>
        <v>230.99999999999986</v>
      </c>
      <c r="L109" s="10">
        <f>SUM(L102:L108)</f>
        <v>0.52499999999999991</v>
      </c>
      <c r="M109" s="10"/>
      <c r="N109" s="13">
        <f>MAX(N102:N108)</f>
        <v>5736.7</v>
      </c>
      <c r="O109" s="13">
        <f>MAX(O102:O108)</f>
        <v>1789.8</v>
      </c>
      <c r="P109" s="6" t="s">
        <v>159</v>
      </c>
      <c r="Q109" s="162">
        <f t="shared" si="54"/>
        <v>0.52847222222222212</v>
      </c>
    </row>
    <row r="110" spans="1:17" ht="13.5" thickBot="1" x14ac:dyDescent="0.45">
      <c r="A110" s="87" t="s">
        <v>16</v>
      </c>
      <c r="B110" s="89"/>
      <c r="C110" s="90"/>
      <c r="D110" s="89"/>
      <c r="E110" s="89"/>
      <c r="F110" s="91"/>
      <c r="G110" s="81"/>
      <c r="H110" s="92"/>
      <c r="I110" s="81">
        <f>SUM(I101:I108)</f>
        <v>20165</v>
      </c>
      <c r="J110" s="81">
        <f>ROUNDDOWN(K109/60,0)+J109</f>
        <v>14743.4</v>
      </c>
      <c r="K110" s="82">
        <f>ROUND(K109-(ROUNDDOWN(K109/60,0)*60),0)</f>
        <v>51</v>
      </c>
      <c r="L110" s="271">
        <f>L109</f>
        <v>0.52499999999999991</v>
      </c>
      <c r="M110" s="93"/>
      <c r="N110" s="94">
        <f>N109-N100</f>
        <v>12.5</v>
      </c>
      <c r="O110" s="94">
        <f>IF(OR(O101="N/A",O101="N / A", O101="N/ A",O101="N /A"),"N / A", O109-O100)</f>
        <v>14.200000000000045</v>
      </c>
      <c r="P110" s="371"/>
      <c r="Q110" s="162">
        <f>SUM(Q102:Q108)</f>
        <v>0.54930555555555549</v>
      </c>
    </row>
    <row r="111" spans="1:17" x14ac:dyDescent="0.35">
      <c r="A111" s="34">
        <v>42922</v>
      </c>
      <c r="C111" s="40">
        <v>12</v>
      </c>
      <c r="D111" s="7">
        <v>0.74236111111111114</v>
      </c>
      <c r="E111" s="7">
        <v>0.75763888888888886</v>
      </c>
      <c r="G111" s="2">
        <v>1</v>
      </c>
      <c r="I111" s="74">
        <v>1</v>
      </c>
      <c r="J111" s="74">
        <f t="shared" ref="J111:J117" si="55">ROUNDDOWN(M111*24,0)</f>
        <v>0</v>
      </c>
      <c r="K111" s="75">
        <f t="shared" ref="K111:K117" si="56">(M111*24-J111)*60</f>
        <v>21.999999999999922</v>
      </c>
      <c r="L111" s="7">
        <f t="shared" ref="L111:L117" si="57">E111-D111</f>
        <v>1.5277777777777724E-2</v>
      </c>
      <c r="M111" s="22">
        <f t="shared" ref="M111:M117" si="58">L111</f>
        <v>1.5277777777777724E-2</v>
      </c>
      <c r="N111" s="14">
        <v>5737</v>
      </c>
      <c r="O111" s="273">
        <v>1790.1</v>
      </c>
      <c r="P111" s="267"/>
      <c r="Q111" s="263">
        <f t="shared" ref="Q111:Q117" si="59">IF(L111=0,0,L111+$Q$2)</f>
        <v>1.8749999999999947E-2</v>
      </c>
    </row>
    <row r="112" spans="1:17" x14ac:dyDescent="0.35">
      <c r="A112" s="34">
        <v>42924</v>
      </c>
      <c r="C112" s="40">
        <v>13</v>
      </c>
      <c r="D112" s="7">
        <v>0.3520833333333333</v>
      </c>
      <c r="E112" s="7">
        <v>0.38541666666666669</v>
      </c>
      <c r="G112" s="2">
        <v>0</v>
      </c>
      <c r="H112" s="3" t="s">
        <v>110</v>
      </c>
      <c r="I112" s="74">
        <v>1</v>
      </c>
      <c r="J112" s="74">
        <f t="shared" si="55"/>
        <v>0</v>
      </c>
      <c r="K112" s="75">
        <f t="shared" si="56"/>
        <v>48.000000000000071</v>
      </c>
      <c r="L112" s="7">
        <f t="shared" si="57"/>
        <v>3.3333333333333381E-2</v>
      </c>
      <c r="M112" s="22">
        <f t="shared" si="58"/>
        <v>3.3333333333333381E-2</v>
      </c>
      <c r="N112" s="14">
        <v>5737.6</v>
      </c>
      <c r="O112" s="273">
        <v>1791</v>
      </c>
      <c r="P112" s="267"/>
      <c r="Q112" s="263">
        <f t="shared" si="59"/>
        <v>3.6805555555555605E-2</v>
      </c>
    </row>
    <row r="113" spans="1:17" x14ac:dyDescent="0.35">
      <c r="A113" s="34">
        <v>42924</v>
      </c>
      <c r="C113" s="40">
        <v>13</v>
      </c>
      <c r="D113" s="7">
        <v>0.39583333333333331</v>
      </c>
      <c r="E113" s="7">
        <v>0.40833333333333338</v>
      </c>
      <c r="G113" s="2">
        <v>1</v>
      </c>
      <c r="I113" s="74">
        <v>1</v>
      </c>
      <c r="J113" s="74">
        <f t="shared" si="55"/>
        <v>0</v>
      </c>
      <c r="K113" s="75">
        <f t="shared" si="56"/>
        <v>18.000000000000096</v>
      </c>
      <c r="L113" s="7">
        <f t="shared" si="57"/>
        <v>1.2500000000000067E-2</v>
      </c>
      <c r="M113" s="22">
        <f t="shared" si="58"/>
        <v>1.2500000000000067E-2</v>
      </c>
      <c r="N113" s="14">
        <v>5737.8</v>
      </c>
      <c r="O113" s="273">
        <v>1791</v>
      </c>
      <c r="P113" s="267"/>
      <c r="Q113" s="263">
        <f t="shared" si="59"/>
        <v>1.597222222222229E-2</v>
      </c>
    </row>
    <row r="114" spans="1:17" x14ac:dyDescent="0.35">
      <c r="A114" s="34">
        <v>42925</v>
      </c>
      <c r="C114" s="40">
        <v>4</v>
      </c>
      <c r="D114" s="7">
        <v>0.32500000000000001</v>
      </c>
      <c r="E114" s="7">
        <v>0.38750000000000001</v>
      </c>
      <c r="G114" s="2">
        <v>3</v>
      </c>
      <c r="I114" s="74">
        <v>3</v>
      </c>
      <c r="J114" s="74">
        <f t="shared" si="55"/>
        <v>1</v>
      </c>
      <c r="K114" s="75">
        <f t="shared" si="56"/>
        <v>30</v>
      </c>
      <c r="L114" s="7">
        <f t="shared" si="57"/>
        <v>6.25E-2</v>
      </c>
      <c r="M114" s="22">
        <f t="shared" si="58"/>
        <v>6.25E-2</v>
      </c>
      <c r="N114" s="14">
        <v>5739.2</v>
      </c>
      <c r="O114" s="273">
        <v>1792.6</v>
      </c>
      <c r="P114" s="267"/>
      <c r="Q114" s="263">
        <f t="shared" si="59"/>
        <v>6.5972222222222224E-2</v>
      </c>
    </row>
    <row r="115" spans="1:17" x14ac:dyDescent="0.35">
      <c r="A115" s="34">
        <v>42925</v>
      </c>
      <c r="C115" s="40">
        <v>9</v>
      </c>
      <c r="D115" s="7">
        <v>0.44305555555555554</v>
      </c>
      <c r="E115" s="7">
        <v>0.49027777777777781</v>
      </c>
      <c r="G115" s="2">
        <v>0</v>
      </c>
      <c r="H115" s="3" t="s">
        <v>181</v>
      </c>
      <c r="I115" s="74">
        <v>1</v>
      </c>
      <c r="J115" s="74">
        <f t="shared" si="55"/>
        <v>1</v>
      </c>
      <c r="K115" s="75">
        <f t="shared" si="56"/>
        <v>8.0000000000000782</v>
      </c>
      <c r="L115" s="7">
        <f t="shared" si="57"/>
        <v>4.7222222222222276E-2</v>
      </c>
      <c r="M115" s="22">
        <f t="shared" si="58"/>
        <v>4.7222222222222276E-2</v>
      </c>
      <c r="N115" s="14">
        <v>5740.3</v>
      </c>
      <c r="O115" s="273">
        <v>1793.9</v>
      </c>
      <c r="P115" s="267"/>
      <c r="Q115" s="263">
        <f t="shared" si="59"/>
        <v>5.06944444444445E-2</v>
      </c>
    </row>
    <row r="116" spans="1:17" x14ac:dyDescent="0.35">
      <c r="A116" s="272">
        <v>42925</v>
      </c>
      <c r="C116" s="40">
        <v>9</v>
      </c>
      <c r="D116" s="7">
        <v>0.5444444444444444</v>
      </c>
      <c r="E116" s="7">
        <v>0.55902777777777779</v>
      </c>
      <c r="G116" s="2">
        <v>1</v>
      </c>
      <c r="I116" s="74">
        <v>1</v>
      </c>
      <c r="J116" s="74">
        <f t="shared" si="55"/>
        <v>0</v>
      </c>
      <c r="K116" s="75">
        <f t="shared" si="56"/>
        <v>21.000000000000085</v>
      </c>
      <c r="L116" s="7">
        <f t="shared" si="57"/>
        <v>1.4583333333333393E-2</v>
      </c>
      <c r="M116" s="22">
        <f t="shared" si="58"/>
        <v>1.4583333333333393E-2</v>
      </c>
      <c r="N116" s="14">
        <v>5740.7</v>
      </c>
      <c r="O116" s="273">
        <v>1794.4</v>
      </c>
      <c r="P116" s="267"/>
      <c r="Q116" s="263">
        <f t="shared" si="59"/>
        <v>1.8055555555555616E-2</v>
      </c>
    </row>
    <row r="117" spans="1:17" ht="13.15" thickBot="1" x14ac:dyDescent="0.4">
      <c r="A117" s="38">
        <v>42944</v>
      </c>
      <c r="B117" s="24"/>
      <c r="C117" s="41">
        <v>2</v>
      </c>
      <c r="D117" s="9">
        <v>0.31944444444444448</v>
      </c>
      <c r="E117" s="9">
        <v>0.38958333333333334</v>
      </c>
      <c r="F117" s="25"/>
      <c r="G117" s="269">
        <v>0</v>
      </c>
      <c r="H117" s="28" t="s">
        <v>144</v>
      </c>
      <c r="I117" s="76">
        <v>1</v>
      </c>
      <c r="J117" s="76">
        <f t="shared" si="55"/>
        <v>1</v>
      </c>
      <c r="K117" s="77">
        <f t="shared" si="56"/>
        <v>40.999999999999957</v>
      </c>
      <c r="L117" s="9">
        <f t="shared" si="57"/>
        <v>7.0138888888888862E-2</v>
      </c>
      <c r="M117" s="26">
        <f t="shared" si="58"/>
        <v>7.0138888888888862E-2</v>
      </c>
      <c r="N117" s="27">
        <v>5742.4</v>
      </c>
      <c r="O117" s="31">
        <v>1796.2</v>
      </c>
      <c r="P117" s="24"/>
      <c r="Q117" s="263">
        <f t="shared" si="59"/>
        <v>7.3611111111111086E-2</v>
      </c>
    </row>
    <row r="118" spans="1:17" ht="13.5" hidden="1" thickBot="1" x14ac:dyDescent="0.45">
      <c r="A118" s="6"/>
      <c r="B118" s="6"/>
      <c r="C118" s="42"/>
      <c r="D118" s="6"/>
      <c r="E118" s="6"/>
      <c r="F118" s="6"/>
      <c r="G118" s="266"/>
      <c r="H118" s="12"/>
      <c r="I118" s="78"/>
      <c r="J118" s="79">
        <f>SUM(J110:J117)</f>
        <v>14746.4</v>
      </c>
      <c r="K118" s="80">
        <f>SUM(K110:K117)</f>
        <v>239.00000000000023</v>
      </c>
      <c r="L118" s="10">
        <f>SUM(L111:L117)</f>
        <v>0.2555555555555557</v>
      </c>
      <c r="M118" s="10"/>
      <c r="N118" s="13">
        <f>MAX(N111:N117)</f>
        <v>5742.4</v>
      </c>
      <c r="O118" s="13">
        <f>MAX(O111:O117)</f>
        <v>1796.2</v>
      </c>
      <c r="P118" s="6" t="s">
        <v>159</v>
      </c>
      <c r="Q118" s="162">
        <f>IF(L118=0,0,L118+$Q$2)</f>
        <v>0.25902777777777791</v>
      </c>
    </row>
    <row r="119" spans="1:17" ht="13.5" thickBot="1" x14ac:dyDescent="0.45">
      <c r="A119" s="87" t="s">
        <v>16</v>
      </c>
      <c r="B119" s="89"/>
      <c r="C119" s="90"/>
      <c r="D119" s="89"/>
      <c r="E119" s="89"/>
      <c r="F119" s="91"/>
      <c r="G119" s="81"/>
      <c r="H119" s="92"/>
      <c r="I119" s="81">
        <f>SUM(I110:I117)</f>
        <v>20174</v>
      </c>
      <c r="J119" s="81">
        <f>ROUNDDOWN(K118/60,0)+J118</f>
        <v>14749.4</v>
      </c>
      <c r="K119" s="82">
        <f>ROUND(K118-(ROUNDDOWN(K118/60,0)*60),0)</f>
        <v>59</v>
      </c>
      <c r="L119" s="271">
        <f>L118</f>
        <v>0.2555555555555557</v>
      </c>
      <c r="M119" s="93"/>
      <c r="N119" s="94">
        <f>N118-N109</f>
        <v>5.6999999999998181</v>
      </c>
      <c r="O119" s="94">
        <f>IF(OR(O110="N/A",O110="N / A", O110="N/ A",O110="N /A"),"N / A", O118-O109)</f>
        <v>6.4000000000000909</v>
      </c>
      <c r="P119" s="371"/>
      <c r="Q119" s="162">
        <f>SUM(Q111:Q117)</f>
        <v>0.27986111111111123</v>
      </c>
    </row>
    <row r="120" spans="1:17" x14ac:dyDescent="0.35">
      <c r="A120" s="34">
        <v>42946</v>
      </c>
      <c r="C120" s="40">
        <v>2</v>
      </c>
      <c r="D120" s="7">
        <v>0.53333333333333333</v>
      </c>
      <c r="E120" s="7">
        <v>0.58750000000000002</v>
      </c>
      <c r="G120" s="2">
        <v>1</v>
      </c>
      <c r="I120" s="74">
        <v>1</v>
      </c>
      <c r="J120" s="74">
        <f t="shared" ref="J120:J126" si="60">ROUNDDOWN(M120*24,0)</f>
        <v>1</v>
      </c>
      <c r="K120" s="75">
        <f t="shared" ref="K120:K126" si="61">(M120*24-J120)*60</f>
        <v>18.000000000000043</v>
      </c>
      <c r="L120" s="7">
        <f t="shared" ref="L120:L126" si="62">E120-D120</f>
        <v>5.4166666666666696E-2</v>
      </c>
      <c r="M120" s="22">
        <f t="shared" ref="M120:M126" si="63">L120</f>
        <v>5.4166666666666696E-2</v>
      </c>
      <c r="N120" s="14">
        <v>5743.7</v>
      </c>
      <c r="O120" s="273">
        <v>1797.7</v>
      </c>
      <c r="P120" s="267"/>
      <c r="Q120" s="263">
        <f t="shared" ref="Q120:Q126" si="64">IF(L120=0,0,L120+$Q$2)</f>
        <v>5.763888888888892E-2</v>
      </c>
    </row>
    <row r="121" spans="1:17" x14ac:dyDescent="0.35">
      <c r="A121" s="34">
        <v>42947</v>
      </c>
      <c r="C121" s="40">
        <v>1</v>
      </c>
      <c r="D121" s="7">
        <v>0.74930555555555556</v>
      </c>
      <c r="E121" s="7">
        <v>0.77847222222222223</v>
      </c>
      <c r="G121" s="2">
        <v>1</v>
      </c>
      <c r="I121" s="74">
        <v>1</v>
      </c>
      <c r="J121" s="74">
        <f t="shared" si="60"/>
        <v>0</v>
      </c>
      <c r="K121" s="75">
        <f t="shared" si="61"/>
        <v>42.000000000000014</v>
      </c>
      <c r="L121" s="7">
        <f t="shared" si="62"/>
        <v>2.9166666666666674E-2</v>
      </c>
      <c r="M121" s="22">
        <f t="shared" si="63"/>
        <v>2.9166666666666674E-2</v>
      </c>
      <c r="N121" s="14">
        <v>5744.4</v>
      </c>
      <c r="O121" s="273">
        <v>1798.6</v>
      </c>
      <c r="P121" s="267"/>
      <c r="Q121" s="263">
        <f t="shared" si="64"/>
        <v>3.2638888888888898E-2</v>
      </c>
    </row>
    <row r="122" spans="1:17" x14ac:dyDescent="0.35">
      <c r="A122" s="34">
        <v>42948</v>
      </c>
      <c r="C122" s="40">
        <v>20</v>
      </c>
      <c r="D122" s="7">
        <v>0.53472222222222221</v>
      </c>
      <c r="E122" s="7">
        <v>0.57638888888888895</v>
      </c>
      <c r="G122" s="2">
        <v>1</v>
      </c>
      <c r="I122" s="74">
        <v>1</v>
      </c>
      <c r="J122" s="74">
        <f>ROUNDDOWN(M122*24,0)</f>
        <v>1</v>
      </c>
      <c r="K122" s="75">
        <f t="shared" si="61"/>
        <v>1.0658141036401503E-13</v>
      </c>
      <c r="L122" s="7">
        <f t="shared" si="62"/>
        <v>4.1666666666666741E-2</v>
      </c>
      <c r="M122" s="22">
        <f t="shared" si="63"/>
        <v>4.1666666666666741E-2</v>
      </c>
      <c r="N122" s="14">
        <v>5745.4</v>
      </c>
      <c r="O122" s="273">
        <v>1799.7</v>
      </c>
      <c r="P122" s="267"/>
      <c r="Q122" s="263">
        <f t="shared" si="64"/>
        <v>4.5138888888888964E-2</v>
      </c>
    </row>
    <row r="123" spans="1:17" x14ac:dyDescent="0.35">
      <c r="A123" s="34">
        <v>42950</v>
      </c>
      <c r="C123" s="40">
        <v>20</v>
      </c>
      <c r="D123" s="7">
        <v>0.70138888888888884</v>
      </c>
      <c r="E123" s="7">
        <v>0.75</v>
      </c>
      <c r="G123" s="2">
        <v>1</v>
      </c>
      <c r="I123" s="74">
        <v>1</v>
      </c>
      <c r="J123" s="74">
        <f t="shared" si="60"/>
        <v>1</v>
      </c>
      <c r="K123" s="75">
        <f t="shared" si="61"/>
        <v>10.000000000000071</v>
      </c>
      <c r="L123" s="7">
        <f t="shared" si="62"/>
        <v>4.861111111111116E-2</v>
      </c>
      <c r="M123" s="22">
        <f t="shared" si="63"/>
        <v>4.861111111111116E-2</v>
      </c>
      <c r="N123" s="14">
        <v>5746.5</v>
      </c>
      <c r="O123" s="273">
        <v>1801.1</v>
      </c>
      <c r="P123" s="267"/>
      <c r="Q123" s="263">
        <f t="shared" si="64"/>
        <v>5.2083333333333384E-2</v>
      </c>
    </row>
    <row r="124" spans="1:17" x14ac:dyDescent="0.35">
      <c r="A124" s="34">
        <v>42951</v>
      </c>
      <c r="C124" s="40">
        <v>2</v>
      </c>
      <c r="D124" s="7">
        <v>0.37083333333333335</v>
      </c>
      <c r="E124" s="7">
        <v>0.4465277777777778</v>
      </c>
      <c r="G124" s="2">
        <v>0</v>
      </c>
      <c r="H124" s="3" t="s">
        <v>22</v>
      </c>
      <c r="I124" s="74">
        <v>1</v>
      </c>
      <c r="J124" s="74">
        <f t="shared" si="60"/>
        <v>1</v>
      </c>
      <c r="K124" s="75">
        <f t="shared" si="61"/>
        <v>49.000000000000014</v>
      </c>
      <c r="L124" s="7">
        <f t="shared" si="62"/>
        <v>7.5694444444444453E-2</v>
      </c>
      <c r="M124" s="22">
        <f t="shared" si="63"/>
        <v>7.5694444444444453E-2</v>
      </c>
      <c r="N124" s="14">
        <v>5748.4</v>
      </c>
      <c r="O124" s="273">
        <v>1803.1</v>
      </c>
      <c r="P124" s="267"/>
      <c r="Q124" s="263">
        <f t="shared" si="64"/>
        <v>7.9166666666666677E-2</v>
      </c>
    </row>
    <row r="125" spans="1:17" x14ac:dyDescent="0.35">
      <c r="A125" s="272">
        <v>42951</v>
      </c>
      <c r="C125" s="40">
        <v>2</v>
      </c>
      <c r="D125" s="7">
        <v>0.47569444444444442</v>
      </c>
      <c r="E125" s="7">
        <v>0.57638888888888895</v>
      </c>
      <c r="G125" s="2">
        <v>0</v>
      </c>
      <c r="H125" s="3" t="s">
        <v>108</v>
      </c>
      <c r="I125" s="74">
        <v>1</v>
      </c>
      <c r="J125" s="74">
        <f t="shared" si="60"/>
        <v>2</v>
      </c>
      <c r="K125" s="75">
        <f t="shared" si="61"/>
        <v>25.000000000000124</v>
      </c>
      <c r="L125" s="7">
        <f t="shared" si="62"/>
        <v>0.10069444444444453</v>
      </c>
      <c r="M125" s="22">
        <f t="shared" si="63"/>
        <v>0.10069444444444453</v>
      </c>
      <c r="N125" s="14">
        <v>5752.7</v>
      </c>
      <c r="O125" s="273">
        <v>1805.7</v>
      </c>
      <c r="P125" s="267"/>
      <c r="Q125" s="263">
        <f t="shared" si="64"/>
        <v>0.10416666666666675</v>
      </c>
    </row>
    <row r="126" spans="1:17" ht="13.15" thickBot="1" x14ac:dyDescent="0.4">
      <c r="A126" s="38">
        <v>42953</v>
      </c>
      <c r="B126" s="24"/>
      <c r="C126" s="41">
        <v>2</v>
      </c>
      <c r="D126" s="9">
        <v>0.31319444444444444</v>
      </c>
      <c r="E126" s="9">
        <v>0.4513888888888889</v>
      </c>
      <c r="F126" s="25"/>
      <c r="G126" s="269">
        <v>0</v>
      </c>
      <c r="H126" s="28" t="s">
        <v>22</v>
      </c>
      <c r="I126" s="76">
        <v>1</v>
      </c>
      <c r="J126" s="76">
        <f t="shared" si="60"/>
        <v>3</v>
      </c>
      <c r="K126" s="77">
        <f t="shared" si="61"/>
        <v>19.000000000000014</v>
      </c>
      <c r="L126" s="9">
        <f t="shared" si="62"/>
        <v>0.13819444444444445</v>
      </c>
      <c r="M126" s="26">
        <f t="shared" si="63"/>
        <v>0.13819444444444445</v>
      </c>
      <c r="N126" s="27">
        <v>5754.1</v>
      </c>
      <c r="O126" s="31">
        <v>1809.3</v>
      </c>
      <c r="P126" s="24"/>
      <c r="Q126" s="263">
        <f t="shared" si="64"/>
        <v>0.14166666666666666</v>
      </c>
    </row>
    <row r="127" spans="1:17" ht="13.5" hidden="1" thickBot="1" x14ac:dyDescent="0.45">
      <c r="A127" s="6"/>
      <c r="B127" s="6"/>
      <c r="C127" s="42"/>
      <c r="D127" s="6"/>
      <c r="E127" s="6"/>
      <c r="F127" s="6"/>
      <c r="G127" s="266"/>
      <c r="H127" s="12"/>
      <c r="I127" s="78"/>
      <c r="J127" s="79">
        <f>SUM(J119:J126)</f>
        <v>14758.4</v>
      </c>
      <c r="K127" s="80">
        <f>SUM(K119:K126)</f>
        <v>222.00000000000034</v>
      </c>
      <c r="L127" s="10">
        <f>SUM(L120:L126)</f>
        <v>0.48819444444444471</v>
      </c>
      <c r="M127" s="10"/>
      <c r="N127" s="13">
        <f>MAX(N120:N126)</f>
        <v>5754.1</v>
      </c>
      <c r="O127" s="312">
        <f>MAX(O120:O126)</f>
        <v>1809.3</v>
      </c>
      <c r="P127" s="6" t="s">
        <v>159</v>
      </c>
      <c r="Q127" s="162">
        <f>IF(L127=0,0,L127+$Q$2)</f>
        <v>0.49166666666666692</v>
      </c>
    </row>
    <row r="128" spans="1:17" ht="13.5" thickBot="1" x14ac:dyDescent="0.45">
      <c r="A128" s="87" t="s">
        <v>16</v>
      </c>
      <c r="B128" s="89"/>
      <c r="C128" s="90"/>
      <c r="D128" s="89"/>
      <c r="E128" s="89"/>
      <c r="F128" s="91"/>
      <c r="G128" s="81"/>
      <c r="H128" s="92"/>
      <c r="I128" s="81">
        <f>SUM(I119:I126)</f>
        <v>20181</v>
      </c>
      <c r="J128" s="81">
        <f>ROUNDDOWN(K127/60,0)+J127</f>
        <v>14761.4</v>
      </c>
      <c r="K128" s="82">
        <f>ROUND(K127-(ROUNDDOWN(K127/60,0)*60),0)</f>
        <v>42</v>
      </c>
      <c r="L128" s="271">
        <f>L127</f>
        <v>0.48819444444444471</v>
      </c>
      <c r="M128" s="93"/>
      <c r="N128" s="94">
        <f>N127-N118</f>
        <v>11.700000000000728</v>
      </c>
      <c r="O128" s="94">
        <f>IF(OR(O101="N/A",O101="N / A", O101="N/ A",O101="N /A"),"N / A", O127-O118)</f>
        <v>13.099999999999909</v>
      </c>
      <c r="P128" s="371"/>
      <c r="Q128" s="162">
        <f>SUM(Q120:Q126)</f>
        <v>0.51250000000000018</v>
      </c>
    </row>
    <row r="129" spans="1:19" x14ac:dyDescent="0.35">
      <c r="A129" s="34">
        <v>42953</v>
      </c>
      <c r="C129" s="40">
        <v>2</v>
      </c>
      <c r="D129" s="7">
        <v>0.48125000000000001</v>
      </c>
      <c r="E129" s="7">
        <v>0.57222222222222219</v>
      </c>
      <c r="G129" s="2">
        <v>1</v>
      </c>
      <c r="I129" s="74">
        <v>1</v>
      </c>
      <c r="J129" s="74">
        <f t="shared" ref="J129:J135" si="65">ROUNDDOWN(M129*24,0)</f>
        <v>2</v>
      </c>
      <c r="K129" s="75">
        <f t="shared" ref="K129:K135" si="66">(M129*24-J129)*60</f>
        <v>10.999999999999934</v>
      </c>
      <c r="L129" s="7">
        <f t="shared" ref="L129:L135" si="67">E129-D129</f>
        <v>9.0972222222222177E-2</v>
      </c>
      <c r="M129" s="22">
        <f t="shared" ref="M129:M135" si="68">L129</f>
        <v>9.0972222222222177E-2</v>
      </c>
      <c r="N129" s="14">
        <v>5756.3</v>
      </c>
      <c r="O129" s="273">
        <v>1811.5</v>
      </c>
      <c r="P129" s="267"/>
      <c r="Q129" s="263">
        <f t="shared" ref="Q129:Q135" si="69">IF(L129=0,0,L129+$Q$2)</f>
        <v>9.44444444444444E-2</v>
      </c>
    </row>
    <row r="130" spans="1:19" x14ac:dyDescent="0.35">
      <c r="A130" s="34">
        <v>42964</v>
      </c>
      <c r="C130" s="40">
        <v>4</v>
      </c>
      <c r="D130" s="7">
        <v>0.53888888888888886</v>
      </c>
      <c r="E130" s="7">
        <v>0.5805555555555556</v>
      </c>
      <c r="G130" s="2">
        <v>0</v>
      </c>
      <c r="H130" s="3" t="s">
        <v>103</v>
      </c>
      <c r="I130" s="74">
        <v>1</v>
      </c>
      <c r="J130" s="74">
        <f t="shared" si="65"/>
        <v>1</v>
      </c>
      <c r="K130" s="75">
        <f t="shared" si="66"/>
        <v>1.0658141036401503E-13</v>
      </c>
      <c r="L130" s="7">
        <f t="shared" si="67"/>
        <v>4.1666666666666741E-2</v>
      </c>
      <c r="M130" s="22">
        <f t="shared" si="68"/>
        <v>4.1666666666666741E-2</v>
      </c>
      <c r="N130" s="14">
        <v>5757.3</v>
      </c>
      <c r="O130" s="310">
        <v>1812.8</v>
      </c>
      <c r="P130" s="313" t="s">
        <v>117</v>
      </c>
      <c r="Q130" s="263">
        <f t="shared" si="69"/>
        <v>4.5138888888888964E-2</v>
      </c>
    </row>
    <row r="131" spans="1:19" x14ac:dyDescent="0.35">
      <c r="A131" s="34">
        <v>42980</v>
      </c>
      <c r="C131" s="40">
        <v>0</v>
      </c>
      <c r="D131" s="7">
        <v>0.5756944444444444</v>
      </c>
      <c r="E131" s="7">
        <v>0.6166666666666667</v>
      </c>
      <c r="G131" s="2">
        <v>1</v>
      </c>
      <c r="I131" s="74">
        <v>1</v>
      </c>
      <c r="J131" s="74">
        <f t="shared" si="65"/>
        <v>0</v>
      </c>
      <c r="K131" s="75">
        <f t="shared" si="66"/>
        <v>59.000000000000114</v>
      </c>
      <c r="L131" s="7">
        <f t="shared" si="67"/>
        <v>4.0972222222222299E-2</v>
      </c>
      <c r="M131" s="22">
        <f t="shared" si="68"/>
        <v>4.0972222222222299E-2</v>
      </c>
      <c r="N131" s="14">
        <v>5758.6</v>
      </c>
      <c r="O131" s="310">
        <v>1.3</v>
      </c>
      <c r="P131" s="313" t="s">
        <v>117</v>
      </c>
      <c r="Q131" s="263">
        <f t="shared" si="69"/>
        <v>4.4444444444444522E-2</v>
      </c>
      <c r="S131" s="375"/>
    </row>
    <row r="132" spans="1:19" x14ac:dyDescent="0.35">
      <c r="A132" s="34">
        <v>42982</v>
      </c>
      <c r="C132" s="40">
        <v>24</v>
      </c>
      <c r="D132" s="7">
        <v>0.51736111111111105</v>
      </c>
      <c r="E132" s="7">
        <v>0.54861111111111105</v>
      </c>
      <c r="G132" s="2">
        <v>3</v>
      </c>
      <c r="I132" s="74">
        <v>3</v>
      </c>
      <c r="J132" s="74">
        <f t="shared" si="65"/>
        <v>0</v>
      </c>
      <c r="K132" s="75">
        <f t="shared" si="66"/>
        <v>45</v>
      </c>
      <c r="L132" s="7">
        <f t="shared" si="67"/>
        <v>3.125E-2</v>
      </c>
      <c r="M132" s="22">
        <f t="shared" si="68"/>
        <v>3.125E-2</v>
      </c>
      <c r="N132" s="14">
        <v>5759.4</v>
      </c>
      <c r="O132" s="310">
        <v>2.4</v>
      </c>
      <c r="P132" s="267"/>
      <c r="Q132" s="263">
        <v>3.888888888888889E-2</v>
      </c>
      <c r="S132" s="375"/>
    </row>
    <row r="133" spans="1:19" x14ac:dyDescent="0.35">
      <c r="A133" s="34">
        <v>42986</v>
      </c>
      <c r="C133" s="40">
        <v>9</v>
      </c>
      <c r="D133" s="7">
        <v>0.59513888888888888</v>
      </c>
      <c r="E133" s="7">
        <v>0.64930555555555558</v>
      </c>
      <c r="G133" s="2">
        <v>3</v>
      </c>
      <c r="I133" s="74">
        <v>3</v>
      </c>
      <c r="J133" s="74">
        <f t="shared" si="65"/>
        <v>1</v>
      </c>
      <c r="K133" s="75">
        <f t="shared" si="66"/>
        <v>18.000000000000043</v>
      </c>
      <c r="L133" s="7">
        <f t="shared" si="67"/>
        <v>5.4166666666666696E-2</v>
      </c>
      <c r="M133" s="22">
        <f t="shared" si="68"/>
        <v>5.4166666666666696E-2</v>
      </c>
      <c r="N133" s="14">
        <v>5760.6</v>
      </c>
      <c r="O133" s="310">
        <v>4</v>
      </c>
      <c r="P133" s="267"/>
      <c r="Q133" s="263">
        <f t="shared" si="69"/>
        <v>5.763888888888892E-2</v>
      </c>
      <c r="S133" s="22"/>
    </row>
    <row r="134" spans="1:19" x14ac:dyDescent="0.35">
      <c r="A134" s="272">
        <v>42993</v>
      </c>
      <c r="C134" s="40">
        <v>18</v>
      </c>
      <c r="D134" s="7">
        <v>0.61597222222222225</v>
      </c>
      <c r="E134" s="7">
        <v>0.66388888888888886</v>
      </c>
      <c r="G134" s="2">
        <v>1</v>
      </c>
      <c r="I134" s="74">
        <v>1</v>
      </c>
      <c r="J134" s="74">
        <f t="shared" si="65"/>
        <v>1</v>
      </c>
      <c r="K134" s="75">
        <f t="shared" si="66"/>
        <v>8.9999999999999147</v>
      </c>
      <c r="L134" s="7">
        <f t="shared" si="67"/>
        <v>4.7916666666666607E-2</v>
      </c>
      <c r="M134" s="22">
        <f t="shared" si="68"/>
        <v>4.7916666666666607E-2</v>
      </c>
      <c r="N134" s="14">
        <v>5761.8</v>
      </c>
      <c r="O134" s="310">
        <v>5.4</v>
      </c>
      <c r="P134" s="267"/>
      <c r="Q134" s="263">
        <f t="shared" si="69"/>
        <v>5.1388888888888831E-2</v>
      </c>
    </row>
    <row r="135" spans="1:19" ht="13.15" thickBot="1" x14ac:dyDescent="0.4">
      <c r="A135" s="38">
        <v>42997</v>
      </c>
      <c r="B135" s="24"/>
      <c r="C135" s="41">
        <v>24</v>
      </c>
      <c r="D135" s="9">
        <v>0.49791666666666662</v>
      </c>
      <c r="E135" s="9">
        <v>0.56666666666666665</v>
      </c>
      <c r="F135" s="25"/>
      <c r="G135" s="269">
        <v>1</v>
      </c>
      <c r="H135" s="28"/>
      <c r="I135" s="76">
        <v>1</v>
      </c>
      <c r="J135" s="76">
        <f t="shared" si="65"/>
        <v>1</v>
      </c>
      <c r="K135" s="77">
        <f t="shared" si="66"/>
        <v>39.00000000000005</v>
      </c>
      <c r="L135" s="9">
        <f t="shared" si="67"/>
        <v>6.8750000000000033E-2</v>
      </c>
      <c r="M135" s="26">
        <f t="shared" si="68"/>
        <v>6.8750000000000033E-2</v>
      </c>
      <c r="N135" s="27">
        <v>5763.4</v>
      </c>
      <c r="O135" s="311">
        <v>7.4</v>
      </c>
      <c r="P135" s="24"/>
      <c r="Q135" s="263">
        <f t="shared" si="69"/>
        <v>7.2222222222222257E-2</v>
      </c>
    </row>
    <row r="136" spans="1:19" ht="13.5" hidden="1" thickBot="1" x14ac:dyDescent="0.45">
      <c r="A136" s="6"/>
      <c r="B136" s="6"/>
      <c r="C136" s="42"/>
      <c r="D136" s="6"/>
      <c r="E136" s="6"/>
      <c r="F136" s="6"/>
      <c r="G136" s="266"/>
      <c r="H136" s="12"/>
      <c r="I136" s="78"/>
      <c r="J136" s="79">
        <f>SUM(J128:J135)</f>
        <v>14767.4</v>
      </c>
      <c r="K136" s="80">
        <f>SUM(K128:K135)</f>
        <v>223.0000000000002</v>
      </c>
      <c r="L136" s="10">
        <f>SUM(L129:L135)</f>
        <v>0.37569444444444455</v>
      </c>
      <c r="M136" s="10"/>
      <c r="N136" s="13">
        <f>MAX(N129:N135)</f>
        <v>5763.4</v>
      </c>
      <c r="O136" s="312">
        <f>MAX(O131:O135)</f>
        <v>7.4</v>
      </c>
      <c r="P136" s="6" t="s">
        <v>159</v>
      </c>
      <c r="Q136" s="162">
        <f>IF(L136=0,0,L136+$Q$2)</f>
        <v>0.37916666666666676</v>
      </c>
    </row>
    <row r="137" spans="1:19" ht="13.5" thickBot="1" x14ac:dyDescent="0.45">
      <c r="A137" s="87" t="s">
        <v>16</v>
      </c>
      <c r="B137" s="89"/>
      <c r="C137" s="90"/>
      <c r="D137" s="89"/>
      <c r="E137" s="89"/>
      <c r="F137" s="91"/>
      <c r="G137" s="81"/>
      <c r="H137" s="92"/>
      <c r="I137" s="81">
        <f>SUM(I128:I135)</f>
        <v>20192</v>
      </c>
      <c r="J137" s="81">
        <f>ROUNDDOWN(K136/60,0)+J136</f>
        <v>14770.4</v>
      </c>
      <c r="K137" s="82">
        <f>ROUND(K136-(ROUNDDOWN(K136/60,0)*60),0)</f>
        <v>43</v>
      </c>
      <c r="L137" s="271">
        <f>L136</f>
        <v>0.37569444444444455</v>
      </c>
      <c r="M137" s="93"/>
      <c r="N137" s="94">
        <f>N136-N127</f>
        <v>9.2999999999992724</v>
      </c>
      <c r="O137" s="94">
        <f>O136-0+O130-O126</f>
        <v>10.900000000000091</v>
      </c>
      <c r="P137" s="371"/>
      <c r="Q137" s="162">
        <f>SUM(Q129:Q135)</f>
        <v>0.40416666666666679</v>
      </c>
    </row>
    <row r="138" spans="1:19" x14ac:dyDescent="0.35">
      <c r="A138" s="34">
        <v>42999</v>
      </c>
      <c r="C138" s="40">
        <v>1</v>
      </c>
      <c r="D138" s="7">
        <v>0.73749999999999993</v>
      </c>
      <c r="E138" s="7">
        <v>0.75069444444444444</v>
      </c>
      <c r="G138" s="2">
        <v>3</v>
      </c>
      <c r="I138" s="74">
        <v>3</v>
      </c>
      <c r="J138" s="74">
        <f t="shared" ref="J138:J144" si="70">ROUNDDOWN(M138*24,0)</f>
        <v>0</v>
      </c>
      <c r="K138" s="75">
        <f t="shared" ref="K138:K144" si="71">(M138*24-J138)*60</f>
        <v>19.000000000000092</v>
      </c>
      <c r="L138" s="7">
        <f t="shared" ref="L138:L144" si="72">E138-D138</f>
        <v>1.3194444444444509E-2</v>
      </c>
      <c r="M138" s="22">
        <f t="shared" ref="M138:M144" si="73">L138</f>
        <v>1.3194444444444509E-2</v>
      </c>
      <c r="N138" s="14">
        <v>5763.7</v>
      </c>
      <c r="O138" s="310">
        <v>7.4</v>
      </c>
      <c r="P138" s="267"/>
      <c r="Q138" s="263">
        <f t="shared" ref="Q138:Q144" si="74">IF(L138=0,0,L138+$Q$2)</f>
        <v>1.6666666666666732E-2</v>
      </c>
    </row>
    <row r="139" spans="1:19" x14ac:dyDescent="0.35">
      <c r="A139" s="34">
        <v>43000</v>
      </c>
      <c r="B139" s="333"/>
      <c r="C139" s="40">
        <v>21</v>
      </c>
      <c r="D139" s="7">
        <v>0.56597222222222221</v>
      </c>
      <c r="E139" s="7">
        <v>0.61458333333333337</v>
      </c>
      <c r="G139" s="2">
        <v>3</v>
      </c>
      <c r="I139" s="74">
        <v>3</v>
      </c>
      <c r="J139" s="74">
        <f t="shared" si="70"/>
        <v>1</v>
      </c>
      <c r="K139" s="75">
        <f t="shared" si="71"/>
        <v>10.000000000000071</v>
      </c>
      <c r="L139" s="7">
        <f t="shared" si="72"/>
        <v>4.861111111111116E-2</v>
      </c>
      <c r="M139" s="22">
        <f t="shared" si="73"/>
        <v>4.861111111111116E-2</v>
      </c>
      <c r="N139" s="14">
        <v>5764.7</v>
      </c>
      <c r="O139" s="310">
        <v>8.3000000000000007</v>
      </c>
      <c r="P139" s="267"/>
      <c r="Q139" s="263">
        <f t="shared" si="74"/>
        <v>5.2083333333333384E-2</v>
      </c>
    </row>
    <row r="140" spans="1:19" x14ac:dyDescent="0.35">
      <c r="A140" s="34">
        <v>43001</v>
      </c>
      <c r="C140" s="40">
        <v>1</v>
      </c>
      <c r="D140" s="7">
        <v>0.54652777777777783</v>
      </c>
      <c r="E140" s="7">
        <v>0.61875000000000002</v>
      </c>
      <c r="G140" s="2">
        <v>1</v>
      </c>
      <c r="I140" s="74">
        <v>1</v>
      </c>
      <c r="J140" s="74">
        <f t="shared" si="70"/>
        <v>1</v>
      </c>
      <c r="K140" s="75">
        <f t="shared" si="71"/>
        <v>43.99999999999995</v>
      </c>
      <c r="L140" s="7">
        <f t="shared" si="72"/>
        <v>7.2222222222222188E-2</v>
      </c>
      <c r="M140" s="22">
        <f t="shared" si="73"/>
        <v>7.2222222222222188E-2</v>
      </c>
      <c r="N140" s="14">
        <v>5766.4</v>
      </c>
      <c r="O140" s="310">
        <v>10.3</v>
      </c>
      <c r="P140" s="267"/>
      <c r="Q140" s="263">
        <f t="shared" si="74"/>
        <v>7.5694444444444411E-2</v>
      </c>
    </row>
    <row r="141" spans="1:19" x14ac:dyDescent="0.35">
      <c r="A141" s="34">
        <v>43001</v>
      </c>
      <c r="C141" s="40">
        <v>9</v>
      </c>
      <c r="D141" s="7">
        <v>0.66111111111111109</v>
      </c>
      <c r="E141" s="7">
        <v>0.7090277777777777</v>
      </c>
      <c r="G141" s="2">
        <v>1</v>
      </c>
      <c r="I141" s="74">
        <v>1</v>
      </c>
      <c r="J141" s="74">
        <f t="shared" si="70"/>
        <v>1</v>
      </c>
      <c r="K141" s="75">
        <f t="shared" si="71"/>
        <v>8.9999999999999147</v>
      </c>
      <c r="L141" s="7">
        <f t="shared" si="72"/>
        <v>4.7916666666666607E-2</v>
      </c>
      <c r="M141" s="22">
        <f t="shared" si="73"/>
        <v>4.7916666666666607E-2</v>
      </c>
      <c r="N141" s="14">
        <v>5767.5</v>
      </c>
      <c r="O141" s="350">
        <v>11.5</v>
      </c>
      <c r="P141" s="267"/>
      <c r="Q141" s="263">
        <f t="shared" si="74"/>
        <v>5.1388888888888831E-2</v>
      </c>
    </row>
    <row r="142" spans="1:19" x14ac:dyDescent="0.35">
      <c r="A142" s="34">
        <v>43002</v>
      </c>
      <c r="C142" s="40">
        <v>6</v>
      </c>
      <c r="D142" s="7">
        <v>0.44513888888888892</v>
      </c>
      <c r="E142" s="7">
        <v>0.48333333333333334</v>
      </c>
      <c r="G142" s="2">
        <v>0</v>
      </c>
      <c r="H142" s="3" t="s">
        <v>188</v>
      </c>
      <c r="I142" s="74">
        <v>1</v>
      </c>
      <c r="J142" s="74">
        <f t="shared" si="70"/>
        <v>0</v>
      </c>
      <c r="K142" s="75">
        <f t="shared" si="71"/>
        <v>54.999999999999964</v>
      </c>
      <c r="L142" s="7">
        <f t="shared" si="72"/>
        <v>3.819444444444442E-2</v>
      </c>
      <c r="M142" s="22">
        <f t="shared" si="73"/>
        <v>3.819444444444442E-2</v>
      </c>
      <c r="N142" s="14">
        <v>5768.5</v>
      </c>
      <c r="O142" s="350">
        <v>12.6</v>
      </c>
      <c r="P142" s="267"/>
      <c r="Q142" s="263">
        <f t="shared" si="74"/>
        <v>4.1666666666666644E-2</v>
      </c>
    </row>
    <row r="143" spans="1:19" x14ac:dyDescent="0.35">
      <c r="A143" s="272">
        <v>43002</v>
      </c>
      <c r="C143" s="40">
        <v>13</v>
      </c>
      <c r="D143" s="7">
        <v>0.56319444444444444</v>
      </c>
      <c r="E143" s="7">
        <v>0.60277777777777775</v>
      </c>
      <c r="G143" s="2">
        <v>1</v>
      </c>
      <c r="I143" s="74">
        <v>1</v>
      </c>
      <c r="J143" s="74">
        <f t="shared" si="70"/>
        <v>0</v>
      </c>
      <c r="K143" s="75">
        <f t="shared" si="71"/>
        <v>56.999999999999957</v>
      </c>
      <c r="L143" s="7">
        <f t="shared" si="72"/>
        <v>3.9583333333333304E-2</v>
      </c>
      <c r="M143" s="22">
        <f t="shared" si="73"/>
        <v>3.9583333333333304E-2</v>
      </c>
      <c r="N143" s="14">
        <v>5769.4</v>
      </c>
      <c r="O143" s="350">
        <v>13.7</v>
      </c>
      <c r="P143" s="267"/>
      <c r="Q143" s="263">
        <f t="shared" si="74"/>
        <v>4.3055555555555527E-2</v>
      </c>
    </row>
    <row r="144" spans="1:19" ht="13.15" thickBot="1" x14ac:dyDescent="0.4">
      <c r="A144" s="38">
        <v>43003</v>
      </c>
      <c r="B144" s="24"/>
      <c r="C144" s="41">
        <v>20</v>
      </c>
      <c r="D144" s="9">
        <v>0.69791666666666663</v>
      </c>
      <c r="E144" s="9">
        <v>0.72986111111111107</v>
      </c>
      <c r="F144" s="25"/>
      <c r="G144" s="269">
        <v>1</v>
      </c>
      <c r="H144" s="28"/>
      <c r="I144" s="76">
        <v>1</v>
      </c>
      <c r="J144" s="76">
        <f t="shared" si="70"/>
        <v>0</v>
      </c>
      <c r="K144" s="77">
        <f t="shared" si="71"/>
        <v>46</v>
      </c>
      <c r="L144" s="9">
        <f t="shared" si="72"/>
        <v>3.1944444444444442E-2</v>
      </c>
      <c r="M144" s="26">
        <f t="shared" si="73"/>
        <v>3.1944444444444442E-2</v>
      </c>
      <c r="N144" s="27">
        <v>5770.2</v>
      </c>
      <c r="O144" s="311">
        <v>14.6</v>
      </c>
      <c r="P144" s="24"/>
      <c r="Q144" s="263">
        <f t="shared" si="74"/>
        <v>3.5416666666666666E-2</v>
      </c>
    </row>
    <row r="145" spans="1:17" ht="13.5" hidden="1" thickBot="1" x14ac:dyDescent="0.45">
      <c r="A145" s="6"/>
      <c r="B145" s="6"/>
      <c r="C145" s="42"/>
      <c r="D145" s="6"/>
      <c r="E145" s="6"/>
      <c r="F145" s="6"/>
      <c r="G145" s="266"/>
      <c r="H145" s="12"/>
      <c r="I145" s="78"/>
      <c r="J145" s="79">
        <f>SUM(J137:J144)</f>
        <v>14773.4</v>
      </c>
      <c r="K145" s="80">
        <f>SUM(K137:K144)</f>
        <v>282.99999999999994</v>
      </c>
      <c r="L145" s="10">
        <f>SUM(L138:L144)</f>
        <v>0.29166666666666663</v>
      </c>
      <c r="M145" s="10"/>
      <c r="N145" s="13">
        <f>MAX(N138:N144)</f>
        <v>5770.2</v>
      </c>
      <c r="O145" s="312">
        <f>MAX(O138:O144)</f>
        <v>14.6</v>
      </c>
      <c r="P145" s="6" t="s">
        <v>159</v>
      </c>
      <c r="Q145" s="162">
        <f>IF(L145=0,0,L145+$Q$2)</f>
        <v>0.29513888888888884</v>
      </c>
    </row>
    <row r="146" spans="1:17" ht="13.5" thickBot="1" x14ac:dyDescent="0.45">
      <c r="A146" s="87" t="s">
        <v>16</v>
      </c>
      <c r="B146" s="89"/>
      <c r="C146" s="90"/>
      <c r="D146" s="89"/>
      <c r="E146" s="89"/>
      <c r="F146" s="91"/>
      <c r="G146" s="81"/>
      <c r="H146" s="92"/>
      <c r="I146" s="81">
        <f>SUM(I137:I144)</f>
        <v>20203</v>
      </c>
      <c r="J146" s="81">
        <f>ROUNDDOWN(K145/60,0)+J145</f>
        <v>14777.4</v>
      </c>
      <c r="K146" s="82">
        <f>ROUND(K145-(ROUNDDOWN(K145/60,0)*60),0)</f>
        <v>43</v>
      </c>
      <c r="L146" s="271">
        <f>L145</f>
        <v>0.29166666666666663</v>
      </c>
      <c r="M146" s="93"/>
      <c r="N146" s="94">
        <f>N145-N136</f>
        <v>6.8000000000001819</v>
      </c>
      <c r="O146" s="94">
        <f>IF(OR(O137="N/A",O137="N / A", O137="N/ A",O137="N /A"),"N / A", O145-O136)</f>
        <v>7.1999999999999993</v>
      </c>
      <c r="P146" s="371"/>
      <c r="Q146" s="162">
        <f>SUM(Q138:Q144)</f>
        <v>0.31597222222222215</v>
      </c>
    </row>
    <row r="147" spans="1:17" x14ac:dyDescent="0.35">
      <c r="A147" s="34">
        <v>43008</v>
      </c>
      <c r="C147" s="40">
        <v>21</v>
      </c>
      <c r="D147" s="7">
        <v>0.53055555555555556</v>
      </c>
      <c r="E147" s="7">
        <v>0.62013888888888891</v>
      </c>
      <c r="G147" s="2">
        <v>1</v>
      </c>
      <c r="I147" s="74">
        <v>1</v>
      </c>
      <c r="J147" s="74">
        <f t="shared" ref="J147:J153" si="75">ROUNDDOWN(M147*24,0)</f>
        <v>2</v>
      </c>
      <c r="K147" s="75">
        <f t="shared" ref="K147:K153" si="76">(M147*24-J147)*60</f>
        <v>9.0000000000000213</v>
      </c>
      <c r="L147" s="7">
        <f t="shared" ref="L147:L153" si="77">E147-D147</f>
        <v>8.9583333333333348E-2</v>
      </c>
      <c r="M147" s="22">
        <f t="shared" ref="M147:M153" si="78">L147</f>
        <v>8.9583333333333348E-2</v>
      </c>
      <c r="N147" s="14">
        <v>5772.2</v>
      </c>
      <c r="O147" s="310">
        <v>14.8</v>
      </c>
      <c r="P147" s="267"/>
      <c r="Q147" s="263">
        <f t="shared" ref="Q147:Q153" si="79">IF(L147=0,0,L147+$Q$2)</f>
        <v>9.3055555555555572E-2</v>
      </c>
    </row>
    <row r="148" spans="1:17" x14ac:dyDescent="0.35">
      <c r="A148" s="34">
        <v>43010</v>
      </c>
      <c r="C148" s="40">
        <v>1</v>
      </c>
      <c r="D148" s="7">
        <v>0.4993055555555555</v>
      </c>
      <c r="E148" s="7">
        <v>0.58263888888888882</v>
      </c>
      <c r="G148" s="2">
        <v>1</v>
      </c>
      <c r="I148" s="74">
        <v>1</v>
      </c>
      <c r="J148" s="74">
        <f t="shared" si="75"/>
        <v>2</v>
      </c>
      <c r="K148" s="75">
        <f t="shared" si="76"/>
        <v>-2.6645352591003757E-14</v>
      </c>
      <c r="L148" s="7">
        <f t="shared" si="77"/>
        <v>8.3333333333333315E-2</v>
      </c>
      <c r="M148" s="22">
        <f t="shared" si="78"/>
        <v>8.3333333333333315E-2</v>
      </c>
      <c r="N148" s="14">
        <v>5774.2</v>
      </c>
      <c r="O148" s="310">
        <v>17</v>
      </c>
      <c r="P148" s="267"/>
      <c r="Q148" s="263">
        <f t="shared" si="79"/>
        <v>8.6805555555555539E-2</v>
      </c>
    </row>
    <row r="149" spans="1:17" x14ac:dyDescent="0.35">
      <c r="A149" s="34">
        <v>43015</v>
      </c>
      <c r="C149" s="40">
        <v>12</v>
      </c>
      <c r="D149" s="7">
        <v>0.40138888888888885</v>
      </c>
      <c r="E149" s="7">
        <v>0.43055555555555558</v>
      </c>
      <c r="G149" s="2">
        <v>0</v>
      </c>
      <c r="H149" s="3" t="s">
        <v>190</v>
      </c>
      <c r="I149" s="74">
        <v>1</v>
      </c>
      <c r="J149" s="74">
        <f t="shared" si="75"/>
        <v>0</v>
      </c>
      <c r="K149" s="75">
        <f t="shared" si="76"/>
        <v>42.000000000000092</v>
      </c>
      <c r="L149" s="7">
        <f t="shared" si="77"/>
        <v>2.916666666666673E-2</v>
      </c>
      <c r="M149" s="22">
        <f t="shared" si="78"/>
        <v>2.916666666666673E-2</v>
      </c>
      <c r="N149" s="14">
        <v>5775</v>
      </c>
      <c r="O149" s="310">
        <v>17.7</v>
      </c>
      <c r="P149" s="267"/>
      <c r="Q149" s="263">
        <f t="shared" si="79"/>
        <v>3.2638888888888953E-2</v>
      </c>
    </row>
    <row r="150" spans="1:17" x14ac:dyDescent="0.35">
      <c r="A150" s="34">
        <v>43015</v>
      </c>
      <c r="C150" s="40">
        <v>12</v>
      </c>
      <c r="D150" s="7">
        <v>0.4458333333333333</v>
      </c>
      <c r="E150" s="7">
        <v>0.45833333333333331</v>
      </c>
      <c r="G150" s="2">
        <v>0</v>
      </c>
      <c r="H150" s="3" t="s">
        <v>167</v>
      </c>
      <c r="I150" s="74">
        <v>1</v>
      </c>
      <c r="J150" s="74">
        <f t="shared" si="75"/>
        <v>0</v>
      </c>
      <c r="K150" s="75">
        <f t="shared" si="76"/>
        <v>18.000000000000014</v>
      </c>
      <c r="L150" s="7">
        <f t="shared" si="77"/>
        <v>1.2500000000000011E-2</v>
      </c>
      <c r="M150" s="22">
        <f t="shared" si="78"/>
        <v>1.2500000000000011E-2</v>
      </c>
      <c r="N150" s="14">
        <v>5775.3</v>
      </c>
      <c r="O150" s="310">
        <v>17.899999999999999</v>
      </c>
      <c r="P150" s="267"/>
      <c r="Q150" s="263">
        <f t="shared" si="79"/>
        <v>1.5972222222222235E-2</v>
      </c>
    </row>
    <row r="151" spans="1:17" x14ac:dyDescent="0.35">
      <c r="A151" s="34">
        <v>43015</v>
      </c>
      <c r="C151" s="40">
        <v>9</v>
      </c>
      <c r="D151" s="7">
        <v>0.51111111111111118</v>
      </c>
      <c r="E151" s="7">
        <v>0.55763888888888891</v>
      </c>
      <c r="G151" s="2">
        <v>1</v>
      </c>
      <c r="I151" s="74">
        <v>1</v>
      </c>
      <c r="J151" s="74">
        <f t="shared" si="75"/>
        <v>1</v>
      </c>
      <c r="K151" s="75">
        <f t="shared" si="76"/>
        <v>6.9999999999999218</v>
      </c>
      <c r="L151" s="7">
        <f t="shared" si="77"/>
        <v>4.6527777777777724E-2</v>
      </c>
      <c r="M151" s="22">
        <f t="shared" si="78"/>
        <v>4.6527777777777724E-2</v>
      </c>
      <c r="N151" s="14">
        <v>5776.5</v>
      </c>
      <c r="O151" s="310">
        <v>18.8</v>
      </c>
      <c r="P151" s="267"/>
      <c r="Q151" s="263">
        <f t="shared" si="79"/>
        <v>4.9999999999999947E-2</v>
      </c>
    </row>
    <row r="152" spans="1:17" x14ac:dyDescent="0.35">
      <c r="A152" s="272">
        <v>43016</v>
      </c>
      <c r="C152" s="40">
        <v>18</v>
      </c>
      <c r="D152" s="7">
        <v>0.4368055555555555</v>
      </c>
      <c r="E152" s="7">
        <v>0.45</v>
      </c>
      <c r="G152" s="2">
        <v>0</v>
      </c>
      <c r="H152" s="3" t="s">
        <v>110</v>
      </c>
      <c r="I152" s="74">
        <v>2</v>
      </c>
      <c r="J152" s="74">
        <f t="shared" si="75"/>
        <v>0</v>
      </c>
      <c r="K152" s="75">
        <f t="shared" si="76"/>
        <v>19.000000000000092</v>
      </c>
      <c r="L152" s="7">
        <f t="shared" si="77"/>
        <v>1.3194444444444509E-2</v>
      </c>
      <c r="M152" s="22">
        <f t="shared" si="78"/>
        <v>1.3194444444444509E-2</v>
      </c>
      <c r="N152" s="14">
        <v>5776.8</v>
      </c>
      <c r="O152" s="310">
        <v>19.399999999999999</v>
      </c>
      <c r="P152" s="267"/>
      <c r="Q152" s="263">
        <f t="shared" si="79"/>
        <v>1.6666666666666732E-2</v>
      </c>
    </row>
    <row r="153" spans="1:17" ht="13.15" thickBot="1" x14ac:dyDescent="0.4">
      <c r="A153" s="38">
        <v>43016</v>
      </c>
      <c r="B153" s="24"/>
      <c r="C153" s="41">
        <v>18</v>
      </c>
      <c r="D153" s="9">
        <v>0.4777777777777778</v>
      </c>
      <c r="E153" s="9">
        <v>0.49652777777777773</v>
      </c>
      <c r="F153" s="25"/>
      <c r="G153" s="269">
        <v>1</v>
      </c>
      <c r="H153" s="28"/>
      <c r="I153" s="76">
        <v>1</v>
      </c>
      <c r="J153" s="76">
        <f t="shared" si="75"/>
        <v>0</v>
      </c>
      <c r="K153" s="77">
        <f t="shared" si="76"/>
        <v>26.999999999999904</v>
      </c>
      <c r="L153" s="9">
        <f t="shared" si="77"/>
        <v>1.8749999999999933E-2</v>
      </c>
      <c r="M153" s="26">
        <f t="shared" si="78"/>
        <v>1.8749999999999933E-2</v>
      </c>
      <c r="N153" s="27">
        <v>5777.3</v>
      </c>
      <c r="O153" s="311">
        <v>19.899999999999999</v>
      </c>
      <c r="P153" s="24"/>
      <c r="Q153" s="263">
        <f t="shared" si="79"/>
        <v>2.2222222222222157E-2</v>
      </c>
    </row>
    <row r="154" spans="1:17" ht="13.5" hidden="1" thickBot="1" x14ac:dyDescent="0.45">
      <c r="A154" s="6"/>
      <c r="B154" s="6"/>
      <c r="C154" s="42"/>
      <c r="D154" s="6"/>
      <c r="E154" s="6"/>
      <c r="F154" s="6"/>
      <c r="G154" s="266"/>
      <c r="H154" s="12"/>
      <c r="I154" s="78"/>
      <c r="J154" s="79">
        <f>SUM(J146:J153)</f>
        <v>14782.4</v>
      </c>
      <c r="K154" s="80">
        <f>SUM(K146:K153)</f>
        <v>165.00000000000003</v>
      </c>
      <c r="L154" s="10">
        <f>SUM(L147:L153)</f>
        <v>0.29305555555555557</v>
      </c>
      <c r="M154" s="10"/>
      <c r="N154" s="13">
        <f>MAX(N147:N153)</f>
        <v>5777.3</v>
      </c>
      <c r="O154" s="312">
        <f>MAX(O147:O153)</f>
        <v>19.899999999999999</v>
      </c>
      <c r="P154" s="6"/>
      <c r="Q154" s="162">
        <f>IF(L154=0,0,L154+$Q$2)</f>
        <v>0.29652777777777778</v>
      </c>
    </row>
    <row r="155" spans="1:17" ht="13.5" thickBot="1" x14ac:dyDescent="0.45">
      <c r="A155" s="87" t="s">
        <v>16</v>
      </c>
      <c r="B155" s="89"/>
      <c r="C155" s="90"/>
      <c r="D155" s="89"/>
      <c r="E155" s="89"/>
      <c r="F155" s="91"/>
      <c r="G155" s="81"/>
      <c r="H155" s="92"/>
      <c r="I155" s="81">
        <f>SUM(I146:I153)</f>
        <v>20211</v>
      </c>
      <c r="J155" s="81">
        <f>ROUNDDOWN(K154/60,0)+J154</f>
        <v>14784.4</v>
      </c>
      <c r="K155" s="82">
        <f>ROUND(K154-(ROUNDDOWN(K154/60,0)*60),0)</f>
        <v>45</v>
      </c>
      <c r="L155" s="271">
        <f>L154</f>
        <v>0.29305555555555557</v>
      </c>
      <c r="M155" s="93"/>
      <c r="N155" s="94">
        <f>N154-N145</f>
        <v>7.1000000000003638</v>
      </c>
      <c r="O155" s="94">
        <f>IF(OR(O146="N/A",O146="N / A", O146="N/ A",O146="N /A"),"N / A", O154-O145)</f>
        <v>5.2999999999999989</v>
      </c>
      <c r="P155" s="371"/>
      <c r="Q155" s="162">
        <f>SUM(Q147:Q153)</f>
        <v>0.31736111111111109</v>
      </c>
    </row>
    <row r="156" spans="1:17" x14ac:dyDescent="0.35">
      <c r="A156" s="34">
        <v>43019</v>
      </c>
      <c r="C156" s="40">
        <v>1</v>
      </c>
      <c r="D156" s="7">
        <v>0.70138888888888884</v>
      </c>
      <c r="E156" s="7">
        <v>0.77430555555555547</v>
      </c>
      <c r="G156" s="2">
        <v>0</v>
      </c>
      <c r="H156" s="3" t="s">
        <v>191</v>
      </c>
      <c r="I156" s="74">
        <v>1</v>
      </c>
      <c r="J156" s="74">
        <f t="shared" ref="J156:J162" si="80">ROUNDDOWN(M156*24,0)</f>
        <v>1</v>
      </c>
      <c r="K156" s="75">
        <f t="shared" ref="K156:K162" si="81">(M156*24-J156)*60</f>
        <v>44.999999999999943</v>
      </c>
      <c r="L156" s="7">
        <f t="shared" ref="L156:L162" si="82">E156-D156</f>
        <v>7.291666666666663E-2</v>
      </c>
      <c r="M156" s="22">
        <f t="shared" ref="M156:M162" si="83">L156</f>
        <v>7.291666666666663E-2</v>
      </c>
      <c r="N156" s="14">
        <v>5779.1</v>
      </c>
      <c r="O156" s="310">
        <v>20</v>
      </c>
      <c r="P156" s="267"/>
      <c r="Q156" s="263">
        <f t="shared" ref="Q156:Q162" si="84">IF(L156=0,0,L156+$Q$2)</f>
        <v>7.6388888888888853E-2</v>
      </c>
    </row>
    <row r="157" spans="1:17" x14ac:dyDescent="0.35">
      <c r="A157" s="34">
        <v>43021</v>
      </c>
      <c r="C157" s="40">
        <v>1</v>
      </c>
      <c r="D157" s="7">
        <v>0.70000000000000007</v>
      </c>
      <c r="E157" s="7">
        <v>0.76111111111111107</v>
      </c>
      <c r="G157" s="2">
        <v>1</v>
      </c>
      <c r="I157" s="74">
        <v>1</v>
      </c>
      <c r="J157" s="74">
        <f t="shared" si="80"/>
        <v>1</v>
      </c>
      <c r="K157" s="75">
        <f t="shared" si="81"/>
        <v>27.999999999999847</v>
      </c>
      <c r="L157" s="7">
        <f t="shared" si="82"/>
        <v>6.1111111111111005E-2</v>
      </c>
      <c r="M157" s="22">
        <f t="shared" si="83"/>
        <v>6.1111111111111005E-2</v>
      </c>
      <c r="N157" s="14">
        <v>5780.5</v>
      </c>
      <c r="O157" s="310">
        <v>20</v>
      </c>
      <c r="P157" s="267"/>
      <c r="Q157" s="263">
        <f t="shared" si="84"/>
        <v>6.4583333333333229E-2</v>
      </c>
    </row>
    <row r="158" spans="1:17" x14ac:dyDescent="0.35">
      <c r="A158" s="34">
        <v>43022</v>
      </c>
      <c r="C158" s="40">
        <v>9</v>
      </c>
      <c r="D158" s="7">
        <v>0.34236111111111112</v>
      </c>
      <c r="E158" s="7">
        <v>0.4069444444444445</v>
      </c>
      <c r="G158" s="2">
        <v>0</v>
      </c>
      <c r="H158" s="3" t="s">
        <v>193</v>
      </c>
      <c r="I158" s="74">
        <v>1</v>
      </c>
      <c r="J158" s="74">
        <f t="shared" si="80"/>
        <v>1</v>
      </c>
      <c r="K158" s="75">
        <f t="shared" si="81"/>
        <v>33.000000000000071</v>
      </c>
      <c r="L158" s="7">
        <f t="shared" si="82"/>
        <v>6.4583333333333381E-2</v>
      </c>
      <c r="M158" s="22">
        <f t="shared" si="83"/>
        <v>6.4583333333333381E-2</v>
      </c>
      <c r="N158" s="14">
        <v>5782.1</v>
      </c>
      <c r="O158" s="310">
        <v>21.8</v>
      </c>
      <c r="P158" s="267"/>
      <c r="Q158" s="263">
        <f t="shared" si="84"/>
        <v>6.8055555555555605E-2</v>
      </c>
    </row>
    <row r="159" spans="1:17" x14ac:dyDescent="0.35">
      <c r="A159" s="34">
        <v>43023</v>
      </c>
      <c r="C159" s="40">
        <v>9</v>
      </c>
      <c r="D159" s="7">
        <v>0.50069444444444444</v>
      </c>
      <c r="E159" s="7">
        <v>0.58680555555555558</v>
      </c>
      <c r="G159" s="2">
        <v>1</v>
      </c>
      <c r="I159" s="74">
        <v>1</v>
      </c>
      <c r="J159" s="74">
        <f t="shared" si="80"/>
        <v>2</v>
      </c>
      <c r="K159" s="75">
        <f t="shared" si="81"/>
        <v>4.0000000000000391</v>
      </c>
      <c r="L159" s="7">
        <f t="shared" si="82"/>
        <v>8.6111111111111138E-2</v>
      </c>
      <c r="M159" s="22">
        <f t="shared" si="83"/>
        <v>8.6111111111111138E-2</v>
      </c>
      <c r="N159" s="14">
        <v>5784.1</v>
      </c>
      <c r="O159" s="310">
        <v>24.1</v>
      </c>
      <c r="P159" s="267"/>
      <c r="Q159" s="263">
        <f t="shared" si="84"/>
        <v>8.9583333333333362E-2</v>
      </c>
    </row>
    <row r="160" spans="1:17" x14ac:dyDescent="0.35">
      <c r="A160" s="272">
        <v>43025</v>
      </c>
      <c r="C160" s="40">
        <v>21</v>
      </c>
      <c r="D160" s="7">
        <v>0.62847222222222221</v>
      </c>
      <c r="E160" s="7">
        <v>0.70347222222222217</v>
      </c>
      <c r="G160" s="2">
        <v>1</v>
      </c>
      <c r="I160" s="74">
        <v>1</v>
      </c>
      <c r="J160" s="74">
        <f t="shared" si="80"/>
        <v>1</v>
      </c>
      <c r="K160" s="75">
        <f t="shared" si="81"/>
        <v>47.999999999999936</v>
      </c>
      <c r="L160" s="7">
        <f t="shared" si="82"/>
        <v>7.4999999999999956E-2</v>
      </c>
      <c r="M160" s="22">
        <f t="shared" si="83"/>
        <v>7.4999999999999956E-2</v>
      </c>
      <c r="N160" s="14">
        <v>5785.9</v>
      </c>
      <c r="O160" s="310">
        <v>24.2</v>
      </c>
      <c r="P160" s="267"/>
      <c r="Q160" s="263">
        <f t="shared" si="84"/>
        <v>7.8472222222222179E-2</v>
      </c>
    </row>
    <row r="161" spans="1:19" x14ac:dyDescent="0.35">
      <c r="A161" s="272">
        <v>43028</v>
      </c>
      <c r="C161" s="40">
        <v>25</v>
      </c>
      <c r="D161" s="7">
        <v>0.60347222222222219</v>
      </c>
      <c r="E161" s="7">
        <v>0.6479166666666667</v>
      </c>
      <c r="F161" s="4">
        <v>1</v>
      </c>
      <c r="G161" s="2">
        <v>2</v>
      </c>
      <c r="I161" s="74">
        <v>2</v>
      </c>
      <c r="J161" s="74">
        <f t="shared" si="80"/>
        <v>1</v>
      </c>
      <c r="K161" s="75">
        <f t="shared" si="81"/>
        <v>4.0000000000000924</v>
      </c>
      <c r="L161" s="7">
        <f t="shared" si="82"/>
        <v>4.4444444444444509E-2</v>
      </c>
      <c r="M161" s="22">
        <f t="shared" si="83"/>
        <v>4.4444444444444509E-2</v>
      </c>
      <c r="N161" s="14">
        <v>5786.9</v>
      </c>
      <c r="O161" s="310">
        <v>25.4</v>
      </c>
      <c r="P161" s="267"/>
      <c r="Q161" s="263">
        <f t="shared" si="84"/>
        <v>4.7916666666666732E-2</v>
      </c>
    </row>
    <row r="162" spans="1:19" ht="13.15" thickBot="1" x14ac:dyDescent="0.4">
      <c r="A162" s="38">
        <v>43067</v>
      </c>
      <c r="B162" s="24"/>
      <c r="C162" s="41">
        <v>20</v>
      </c>
      <c r="D162" s="9">
        <v>0.4909722222222222</v>
      </c>
      <c r="E162" s="9">
        <v>0.56944444444444442</v>
      </c>
      <c r="F162" s="25"/>
      <c r="G162" s="269">
        <v>1</v>
      </c>
      <c r="H162" s="28"/>
      <c r="I162" s="76">
        <v>1</v>
      </c>
      <c r="J162" s="76">
        <f t="shared" si="80"/>
        <v>1</v>
      </c>
      <c r="K162" s="77">
        <f t="shared" si="81"/>
        <v>53</v>
      </c>
      <c r="L162" s="9">
        <f t="shared" si="82"/>
        <v>7.8472222222222221E-2</v>
      </c>
      <c r="M162" s="26">
        <f t="shared" si="83"/>
        <v>7.8472222222222221E-2</v>
      </c>
      <c r="N162" s="27">
        <v>5788.8</v>
      </c>
      <c r="O162" s="311">
        <v>27.5</v>
      </c>
      <c r="P162" s="24"/>
      <c r="Q162" s="263">
        <f t="shared" si="84"/>
        <v>8.1944444444444445E-2</v>
      </c>
    </row>
    <row r="163" spans="1:19" ht="13.5" hidden="1" thickBot="1" x14ac:dyDescent="0.45">
      <c r="A163" s="6"/>
      <c r="B163" s="6"/>
      <c r="C163" s="42"/>
      <c r="D163" s="6"/>
      <c r="E163" s="6"/>
      <c r="F163" s="6"/>
      <c r="G163" s="266"/>
      <c r="H163" s="12"/>
      <c r="I163" s="78"/>
      <c r="J163" s="79">
        <f>SUM(J155:J162)</f>
        <v>14792.4</v>
      </c>
      <c r="K163" s="80">
        <f>SUM(K155:K162)</f>
        <v>259.99999999999989</v>
      </c>
      <c r="L163" s="10">
        <f>SUM(L156:L162)</f>
        <v>0.48263888888888884</v>
      </c>
      <c r="M163" s="10"/>
      <c r="N163" s="13">
        <f>MAX(N156:N162)</f>
        <v>5788.8</v>
      </c>
      <c r="O163" s="312">
        <f>MAX(O156:O162)</f>
        <v>27.5</v>
      </c>
      <c r="P163" s="6"/>
      <c r="Q163" s="162">
        <f>IF(L163=0,0,L163+$Q$2)</f>
        <v>0.48611111111111105</v>
      </c>
    </row>
    <row r="164" spans="1:19" ht="13.5" thickBot="1" x14ac:dyDescent="0.45">
      <c r="A164" s="87" t="s">
        <v>16</v>
      </c>
      <c r="B164" s="89"/>
      <c r="C164" s="90"/>
      <c r="D164" s="89"/>
      <c r="E164" s="89"/>
      <c r="F164" s="91"/>
      <c r="G164" s="81"/>
      <c r="H164" s="92"/>
      <c r="I164" s="81">
        <f>SUM(I155:I162)</f>
        <v>20219</v>
      </c>
      <c r="J164" s="81">
        <f>ROUNDDOWN(K163/60,0)+J163</f>
        <v>14796.4</v>
      </c>
      <c r="K164" s="82">
        <f>ROUND(K163-(ROUNDDOWN(K163/60,0)*60),0)</f>
        <v>20</v>
      </c>
      <c r="L164" s="271">
        <f>L163</f>
        <v>0.48263888888888884</v>
      </c>
      <c r="M164" s="93"/>
      <c r="N164" s="94">
        <f>N163-N154</f>
        <v>11.5</v>
      </c>
      <c r="O164" s="94">
        <f>IF(OR(O155="N/A",O155="N / A", O155="N/ A",O155="N /A"),"N / A", O163-O154)</f>
        <v>7.6000000000000014</v>
      </c>
      <c r="P164" s="371"/>
      <c r="Q164" s="162">
        <f>SUM(Q156:Q162)</f>
        <v>0.50694444444444442</v>
      </c>
    </row>
    <row r="165" spans="1:19" x14ac:dyDescent="0.35">
      <c r="A165" s="34">
        <v>43080</v>
      </c>
      <c r="C165" s="40">
        <v>20</v>
      </c>
      <c r="D165" s="7">
        <v>0.45</v>
      </c>
      <c r="E165" s="7">
        <v>0.48819444444444443</v>
      </c>
      <c r="G165" s="2">
        <v>2</v>
      </c>
      <c r="I165" s="74">
        <v>2</v>
      </c>
      <c r="J165" s="74">
        <f t="shared" ref="J165:J171" si="85">ROUNDDOWN(M165*24,0)</f>
        <v>0</v>
      </c>
      <c r="K165" s="75">
        <f t="shared" ref="K165:K171" si="86">(M165*24-J165)*60</f>
        <v>54.999999999999964</v>
      </c>
      <c r="L165" s="7">
        <f t="shared" ref="L165:L171" si="87">E165-D165</f>
        <v>3.819444444444442E-2</v>
      </c>
      <c r="M165" s="22">
        <f t="shared" ref="M165:M171" si="88">L165</f>
        <v>3.819444444444442E-2</v>
      </c>
      <c r="N165" s="14">
        <v>5789.7</v>
      </c>
      <c r="O165" s="310">
        <v>28.8</v>
      </c>
      <c r="P165" s="267"/>
      <c r="Q165" s="263">
        <f t="shared" ref="Q165:Q171" si="89">IF(L165=0,0,L165+$Q$2)</f>
        <v>4.1666666666666644E-2</v>
      </c>
      <c r="R165" s="2">
        <f>J173</f>
        <v>14800.4</v>
      </c>
      <c r="S165" s="475">
        <f>K173</f>
        <v>48</v>
      </c>
    </row>
    <row r="166" spans="1:19" x14ac:dyDescent="0.35">
      <c r="A166" s="34">
        <v>43098</v>
      </c>
      <c r="C166" s="40">
        <v>14</v>
      </c>
      <c r="D166" s="7">
        <v>0.5625</v>
      </c>
      <c r="E166" s="7">
        <v>0.60763888888888895</v>
      </c>
      <c r="G166" s="2">
        <v>0</v>
      </c>
      <c r="H166" s="3" t="s">
        <v>167</v>
      </c>
      <c r="I166" s="74">
        <v>1</v>
      </c>
      <c r="J166" s="74">
        <f t="shared" si="85"/>
        <v>1</v>
      </c>
      <c r="K166" s="75">
        <f t="shared" si="86"/>
        <v>5.0000000000000888</v>
      </c>
      <c r="L166" s="7">
        <f t="shared" si="87"/>
        <v>4.5138888888888951E-2</v>
      </c>
      <c r="M166" s="22">
        <f t="shared" si="88"/>
        <v>4.5138888888888951E-2</v>
      </c>
      <c r="N166" s="14">
        <v>5790.8</v>
      </c>
      <c r="O166" s="310">
        <v>29.2</v>
      </c>
      <c r="P166" s="267"/>
      <c r="Q166" s="263">
        <f t="shared" si="89"/>
        <v>4.8611111111111174E-2</v>
      </c>
      <c r="R166" s="2">
        <f>J170+J171</f>
        <v>0</v>
      </c>
      <c r="S166" s="475">
        <f>K170+K171</f>
        <v>58.000000000000028</v>
      </c>
    </row>
    <row r="167" spans="1:19" x14ac:dyDescent="0.35">
      <c r="A167" s="34">
        <v>43098</v>
      </c>
      <c r="C167" s="40">
        <v>13</v>
      </c>
      <c r="D167" s="7">
        <v>0.61111111111111105</v>
      </c>
      <c r="E167" s="7">
        <v>0.63680555555555551</v>
      </c>
      <c r="G167" s="2">
        <v>1</v>
      </c>
      <c r="I167" s="74">
        <v>1</v>
      </c>
      <c r="J167" s="74">
        <f t="shared" si="85"/>
        <v>0</v>
      </c>
      <c r="K167" s="75">
        <f t="shared" si="86"/>
        <v>37.000000000000028</v>
      </c>
      <c r="L167" s="7">
        <f t="shared" si="87"/>
        <v>2.5694444444444464E-2</v>
      </c>
      <c r="M167" s="22">
        <f t="shared" si="88"/>
        <v>2.5694444444444464E-2</v>
      </c>
      <c r="N167" s="14">
        <v>5791.5</v>
      </c>
      <c r="O167" s="310">
        <v>29.9</v>
      </c>
      <c r="P167" s="267"/>
      <c r="Q167" s="263">
        <f t="shared" si="89"/>
        <v>2.9166666666666688E-2</v>
      </c>
      <c r="R167" s="2">
        <f>R165-R166</f>
        <v>14800.4</v>
      </c>
      <c r="S167" s="475">
        <f>S165-S166</f>
        <v>-10.000000000000028</v>
      </c>
    </row>
    <row r="168" spans="1:19" ht="13.15" x14ac:dyDescent="0.4">
      <c r="A168" s="34">
        <v>43098</v>
      </c>
      <c r="C168" s="40">
        <v>13</v>
      </c>
      <c r="D168" s="7">
        <v>0.66805555555555562</v>
      </c>
      <c r="E168" s="7">
        <v>0.68680555555555556</v>
      </c>
      <c r="G168" s="2">
        <v>3</v>
      </c>
      <c r="I168" s="74">
        <v>3</v>
      </c>
      <c r="J168" s="74">
        <f t="shared" si="85"/>
        <v>0</v>
      </c>
      <c r="K168" s="75">
        <f t="shared" si="86"/>
        <v>26.999999999999904</v>
      </c>
      <c r="L168" s="7">
        <f t="shared" si="87"/>
        <v>1.8749999999999933E-2</v>
      </c>
      <c r="M168" s="22">
        <f t="shared" si="88"/>
        <v>1.8749999999999933E-2</v>
      </c>
      <c r="N168" s="14">
        <v>5791.9</v>
      </c>
      <c r="O168" s="310">
        <v>30.4</v>
      </c>
      <c r="P168" s="267"/>
      <c r="Q168" s="263">
        <f t="shared" si="89"/>
        <v>2.2222222222222157E-2</v>
      </c>
      <c r="R168" s="476">
        <f>R167-1</f>
        <v>14799.4</v>
      </c>
      <c r="S168" s="477">
        <v>50</v>
      </c>
    </row>
    <row r="169" spans="1:19" ht="13.5" thickBot="1" x14ac:dyDescent="0.45">
      <c r="A169" s="34">
        <v>43098</v>
      </c>
      <c r="C169" s="40">
        <v>1</v>
      </c>
      <c r="D169" s="7">
        <v>0.73263888888888884</v>
      </c>
      <c r="E169" s="7">
        <v>0.75069444444444444</v>
      </c>
      <c r="G169" s="2">
        <v>3</v>
      </c>
      <c r="I169" s="74">
        <v>3</v>
      </c>
      <c r="J169" s="74">
        <f t="shared" si="85"/>
        <v>0</v>
      </c>
      <c r="K169" s="75">
        <f t="shared" si="86"/>
        <v>26.000000000000068</v>
      </c>
      <c r="L169" s="7">
        <f t="shared" si="87"/>
        <v>1.8055555555555602E-2</v>
      </c>
      <c r="M169" s="22">
        <f t="shared" si="88"/>
        <v>1.8055555555555602E-2</v>
      </c>
      <c r="N169" s="14">
        <v>5792.3</v>
      </c>
      <c r="O169" s="310">
        <v>30.4</v>
      </c>
      <c r="P169" s="267"/>
      <c r="Q169" s="263">
        <f t="shared" si="89"/>
        <v>2.1527777777777826E-2</v>
      </c>
      <c r="R169" s="661" t="s">
        <v>225</v>
      </c>
      <c r="S169" s="662"/>
    </row>
    <row r="170" spans="1:19" ht="13.15" x14ac:dyDescent="0.4">
      <c r="A170" s="272">
        <v>43106</v>
      </c>
      <c r="C170" s="40">
        <v>5</v>
      </c>
      <c r="D170" s="7">
        <v>0.40763888888888888</v>
      </c>
      <c r="E170" s="7">
        <v>0.4284722222222222</v>
      </c>
      <c r="G170" s="2">
        <v>0</v>
      </c>
      <c r="H170" s="3" t="s">
        <v>110</v>
      </c>
      <c r="I170" s="74">
        <v>1</v>
      </c>
      <c r="J170" s="74">
        <f t="shared" si="85"/>
        <v>0</v>
      </c>
      <c r="K170" s="75">
        <f t="shared" si="86"/>
        <v>29.999999999999972</v>
      </c>
      <c r="L170" s="7">
        <f t="shared" si="87"/>
        <v>2.0833333333333315E-2</v>
      </c>
      <c r="M170" s="22">
        <f t="shared" si="88"/>
        <v>2.0833333333333315E-2</v>
      </c>
      <c r="N170" s="14">
        <v>5792.8</v>
      </c>
      <c r="O170" s="310">
        <v>31</v>
      </c>
      <c r="P170" s="267"/>
      <c r="Q170" s="263">
        <f t="shared" si="89"/>
        <v>2.4305555555555539E-2</v>
      </c>
      <c r="R170" s="479">
        <f>R168-R50</f>
        <v>113</v>
      </c>
      <c r="S170" s="480">
        <f>S168-S50</f>
        <v>10.999999999999915</v>
      </c>
    </row>
    <row r="171" spans="1:19" ht="13.5" thickBot="1" x14ac:dyDescent="0.45">
      <c r="A171" s="38">
        <v>43106</v>
      </c>
      <c r="B171" s="24"/>
      <c r="C171" s="41">
        <v>5</v>
      </c>
      <c r="D171" s="9">
        <v>0.4284722222222222</v>
      </c>
      <c r="E171" s="9">
        <v>0.44791666666666669</v>
      </c>
      <c r="F171" s="25"/>
      <c r="G171" s="269">
        <v>1</v>
      </c>
      <c r="H171" s="28"/>
      <c r="I171" s="76">
        <v>1</v>
      </c>
      <c r="J171" s="76">
        <f t="shared" si="85"/>
        <v>0</v>
      </c>
      <c r="K171" s="77">
        <f t="shared" si="86"/>
        <v>28.00000000000006</v>
      </c>
      <c r="L171" s="9">
        <f t="shared" si="87"/>
        <v>1.9444444444444486E-2</v>
      </c>
      <c r="M171" s="26">
        <f t="shared" si="88"/>
        <v>1.9444444444444486E-2</v>
      </c>
      <c r="N171" s="27">
        <v>5793.2</v>
      </c>
      <c r="O171" s="311">
        <v>31.5</v>
      </c>
      <c r="P171" s="24"/>
      <c r="Q171" s="263">
        <f t="shared" si="89"/>
        <v>2.291666666666671E-2</v>
      </c>
      <c r="R171" s="663" t="s">
        <v>226</v>
      </c>
      <c r="S171" s="664"/>
    </row>
    <row r="172" spans="1:19" ht="13.5" hidden="1" thickBot="1" x14ac:dyDescent="0.45">
      <c r="A172" s="6"/>
      <c r="B172" s="6"/>
      <c r="C172" s="42"/>
      <c r="D172" s="6"/>
      <c r="E172" s="6"/>
      <c r="F172" s="6"/>
      <c r="G172" s="266"/>
      <c r="H172" s="12"/>
      <c r="I172" s="78"/>
      <c r="J172" s="79">
        <f>SUM(J164:J171)</f>
        <v>14797.4</v>
      </c>
      <c r="K172" s="80">
        <f>SUM(K164:K171)</f>
        <v>228.00000000000009</v>
      </c>
      <c r="L172" s="10">
        <f>SUM(L165:L171)</f>
        <v>0.18611111111111117</v>
      </c>
      <c r="M172" s="10"/>
      <c r="N172" s="13">
        <f>MAX(N165:N171)</f>
        <v>5793.2</v>
      </c>
      <c r="O172" s="312">
        <f>MAX(O165:O171)</f>
        <v>31.5</v>
      </c>
      <c r="P172" s="6"/>
      <c r="Q172" s="162">
        <f>IF(L172=0,0,L172+$Q$2)</f>
        <v>0.18958333333333338</v>
      </c>
    </row>
    <row r="173" spans="1:19" ht="13.5" thickBot="1" x14ac:dyDescent="0.45">
      <c r="A173" s="87" t="s">
        <v>16</v>
      </c>
      <c r="B173" s="89"/>
      <c r="C173" s="90"/>
      <c r="D173" s="89"/>
      <c r="E173" s="89"/>
      <c r="F173" s="91"/>
      <c r="G173" s="81"/>
      <c r="H173" s="92"/>
      <c r="I173" s="81">
        <f>SUM(I164:I171)</f>
        <v>20231</v>
      </c>
      <c r="J173" s="81">
        <f>ROUNDDOWN(K172/60,0)+J172</f>
        <v>14800.4</v>
      </c>
      <c r="K173" s="82">
        <f>ROUND(K172-(ROUNDDOWN(K172/60,0)*60),0)</f>
        <v>48</v>
      </c>
      <c r="L173" s="271">
        <f>L172</f>
        <v>0.18611111111111117</v>
      </c>
      <c r="M173" s="93"/>
      <c r="N173" s="94">
        <f>N172-N163</f>
        <v>4.3999999999996362</v>
      </c>
      <c r="O173" s="94">
        <f>IF(OR(O164="N/A",O164="N / A", O164="N/ A",O164="N /A"),"N / A", O172-O163)</f>
        <v>4</v>
      </c>
      <c r="P173" s="371"/>
      <c r="Q173" s="162">
        <f>SUM(Q165:Q171)</f>
        <v>0.2104166666666667</v>
      </c>
      <c r="R173" s="481" t="s">
        <v>227</v>
      </c>
      <c r="S173" s="482">
        <f>SUM(Q164:Q169,Q155,Q146,Q137,Q128,Q119,Q110,Q101,Q92,Q83,Q74,Q65,Q49:Q54)</f>
        <v>5.05</v>
      </c>
    </row>
    <row r="174" spans="1:19" x14ac:dyDescent="0.35">
      <c r="A174" s="34">
        <v>43106</v>
      </c>
      <c r="C174" s="40">
        <v>9</v>
      </c>
      <c r="D174" s="7">
        <v>0.47083333333333338</v>
      </c>
      <c r="E174" s="7">
        <v>0.5083333333333333</v>
      </c>
      <c r="G174" s="370">
        <v>1</v>
      </c>
      <c r="H174" s="3" t="s">
        <v>174</v>
      </c>
      <c r="I174" s="74">
        <v>2</v>
      </c>
      <c r="J174" s="74">
        <f t="shared" ref="J174:J180" si="90">ROUNDDOWN(M174*24,0)</f>
        <v>0</v>
      </c>
      <c r="K174" s="75">
        <f t="shared" ref="K174:K180" si="91">(M174*24-J174)*60</f>
        <v>53.999999999999886</v>
      </c>
      <c r="L174" s="7">
        <f t="shared" ref="L174:L180" si="92">E174-D174</f>
        <v>3.7499999999999922E-2</v>
      </c>
      <c r="M174" s="22">
        <f t="shared" ref="M174:M180" si="93">L174</f>
        <v>3.7499999999999922E-2</v>
      </c>
      <c r="N174" s="14">
        <v>5794.1</v>
      </c>
      <c r="O174" s="310">
        <v>32.6</v>
      </c>
      <c r="P174" s="267"/>
      <c r="Q174" s="263">
        <f t="shared" ref="Q174:Q180" si="94">IF(L174=0,0,L174+$Q$2)</f>
        <v>4.0972222222222146E-2</v>
      </c>
    </row>
    <row r="175" spans="1:19" x14ac:dyDescent="0.35">
      <c r="A175" s="34">
        <v>43106</v>
      </c>
      <c r="C175" s="40">
        <v>9</v>
      </c>
      <c r="D175" s="7">
        <v>0.55555555555555558</v>
      </c>
      <c r="E175" s="7">
        <v>0.57291666666666663</v>
      </c>
      <c r="G175" s="2">
        <v>1</v>
      </c>
      <c r="I175" s="74">
        <v>1</v>
      </c>
      <c r="J175" s="74">
        <f t="shared" si="90"/>
        <v>0</v>
      </c>
      <c r="K175" s="75">
        <f t="shared" si="91"/>
        <v>24.999999999999911</v>
      </c>
      <c r="L175" s="7">
        <f t="shared" si="92"/>
        <v>1.7361111111111049E-2</v>
      </c>
      <c r="M175" s="22">
        <f t="shared" si="93"/>
        <v>1.7361111111111049E-2</v>
      </c>
      <c r="N175" s="14">
        <v>5794.6</v>
      </c>
      <c r="O175" s="310">
        <v>33.200000000000003</v>
      </c>
      <c r="P175" s="267"/>
      <c r="Q175" s="263">
        <f t="shared" si="94"/>
        <v>2.0833333333333273E-2</v>
      </c>
    </row>
    <row r="176" spans="1:19" x14ac:dyDescent="0.35">
      <c r="A176" s="34">
        <v>43110</v>
      </c>
      <c r="C176" s="40">
        <v>12</v>
      </c>
      <c r="D176" s="7">
        <v>0.57986111111111105</v>
      </c>
      <c r="E176" s="7">
        <v>0.63194444444444442</v>
      </c>
      <c r="G176" s="2">
        <v>1</v>
      </c>
      <c r="I176" s="74">
        <v>1</v>
      </c>
      <c r="J176" s="74">
        <f t="shared" si="90"/>
        <v>1</v>
      </c>
      <c r="K176" s="75">
        <f t="shared" si="91"/>
        <v>15.000000000000053</v>
      </c>
      <c r="L176" s="7">
        <f t="shared" si="92"/>
        <v>5.208333333333337E-2</v>
      </c>
      <c r="M176" s="22">
        <f t="shared" si="93"/>
        <v>5.208333333333337E-2</v>
      </c>
      <c r="N176" s="14">
        <v>5795.7</v>
      </c>
      <c r="O176" s="310">
        <v>34.6</v>
      </c>
      <c r="P176" s="267"/>
      <c r="Q176" s="263">
        <f t="shared" si="94"/>
        <v>5.5555555555555594E-2</v>
      </c>
    </row>
    <row r="177" spans="1:19" x14ac:dyDescent="0.35">
      <c r="A177" s="34">
        <v>43124</v>
      </c>
      <c r="C177" s="40">
        <v>5</v>
      </c>
      <c r="D177" s="7">
        <v>0.36874999999999997</v>
      </c>
      <c r="E177" s="7">
        <v>0.40625</v>
      </c>
      <c r="G177" s="2">
        <v>2</v>
      </c>
      <c r="I177" s="74">
        <v>2</v>
      </c>
      <c r="J177" s="74">
        <f t="shared" si="90"/>
        <v>0</v>
      </c>
      <c r="K177" s="75">
        <f t="shared" si="91"/>
        <v>54.00000000000005</v>
      </c>
      <c r="L177" s="7">
        <f t="shared" si="92"/>
        <v>3.7500000000000033E-2</v>
      </c>
      <c r="M177" s="22">
        <f t="shared" si="93"/>
        <v>3.7500000000000033E-2</v>
      </c>
      <c r="N177" s="14">
        <v>5796.5</v>
      </c>
      <c r="O177" s="310">
        <v>35.700000000000003</v>
      </c>
      <c r="P177" s="267"/>
      <c r="Q177" s="263">
        <f t="shared" si="94"/>
        <v>4.0972222222222257E-2</v>
      </c>
    </row>
    <row r="178" spans="1:19" x14ac:dyDescent="0.35">
      <c r="A178" s="34">
        <v>43125</v>
      </c>
      <c r="C178" s="40">
        <v>5</v>
      </c>
      <c r="D178" s="7">
        <v>0.35416666666666669</v>
      </c>
      <c r="E178" s="7">
        <v>0.39652777777777781</v>
      </c>
      <c r="G178" s="2">
        <v>2</v>
      </c>
      <c r="I178" s="74">
        <v>2</v>
      </c>
      <c r="J178" s="74">
        <f t="shared" si="90"/>
        <v>1</v>
      </c>
      <c r="K178" s="75">
        <f t="shared" si="91"/>
        <v>1.0000000000000231</v>
      </c>
      <c r="L178" s="7">
        <f t="shared" si="92"/>
        <v>4.2361111111111127E-2</v>
      </c>
      <c r="M178" s="22">
        <f t="shared" si="93"/>
        <v>4.2361111111111127E-2</v>
      </c>
      <c r="N178" s="14">
        <v>5797.5</v>
      </c>
      <c r="O178" s="310">
        <v>36.9</v>
      </c>
      <c r="P178" s="267"/>
      <c r="Q178" s="263">
        <f t="shared" si="94"/>
        <v>4.5833333333333351E-2</v>
      </c>
    </row>
    <row r="179" spans="1:19" x14ac:dyDescent="0.35">
      <c r="A179" s="272">
        <v>43126</v>
      </c>
      <c r="C179" s="40">
        <v>0</v>
      </c>
      <c r="D179" s="7">
        <v>0.49652777777777773</v>
      </c>
      <c r="E179" s="7">
        <v>0.51666666666666672</v>
      </c>
      <c r="G179" s="2">
        <v>0</v>
      </c>
      <c r="H179" s="3" t="s">
        <v>163</v>
      </c>
      <c r="I179" s="74">
        <v>1</v>
      </c>
      <c r="J179" s="74">
        <f t="shared" si="90"/>
        <v>0</v>
      </c>
      <c r="K179" s="75">
        <f t="shared" si="91"/>
        <v>29.000000000000135</v>
      </c>
      <c r="L179" s="7">
        <f t="shared" si="92"/>
        <v>2.0138888888888984E-2</v>
      </c>
      <c r="M179" s="22">
        <f t="shared" si="93"/>
        <v>2.0138888888888984E-2</v>
      </c>
      <c r="N179" s="14">
        <v>5798</v>
      </c>
      <c r="O179" s="310">
        <v>37.6</v>
      </c>
      <c r="P179" s="294" t="s">
        <v>178</v>
      </c>
      <c r="Q179" s="263">
        <f t="shared" si="94"/>
        <v>2.3611111111111208E-2</v>
      </c>
    </row>
    <row r="180" spans="1:19" ht="13.15" thickBot="1" x14ac:dyDescent="0.4">
      <c r="A180" s="38">
        <v>43140</v>
      </c>
      <c r="B180" s="24"/>
      <c r="C180" s="41">
        <v>0</v>
      </c>
      <c r="D180" s="9">
        <v>0.44791666666666669</v>
      </c>
      <c r="E180" s="9">
        <v>0.46180555555555558</v>
      </c>
      <c r="F180" s="25"/>
      <c r="G180" s="269">
        <v>0</v>
      </c>
      <c r="H180" s="28" t="s">
        <v>163</v>
      </c>
      <c r="I180" s="76">
        <v>1</v>
      </c>
      <c r="J180" s="76">
        <f t="shared" si="90"/>
        <v>0</v>
      </c>
      <c r="K180" s="77">
        <f t="shared" si="91"/>
        <v>20.000000000000007</v>
      </c>
      <c r="L180" s="9">
        <f t="shared" si="92"/>
        <v>1.3888888888888895E-2</v>
      </c>
      <c r="M180" s="26">
        <f t="shared" si="93"/>
        <v>1.3888888888888895E-2</v>
      </c>
      <c r="N180" s="27">
        <v>5798.1</v>
      </c>
      <c r="O180" s="311">
        <v>37.799999999999997</v>
      </c>
      <c r="P180" s="294" t="s">
        <v>178</v>
      </c>
      <c r="Q180" s="263">
        <f t="shared" si="94"/>
        <v>1.7361111111111119E-2</v>
      </c>
    </row>
    <row r="181" spans="1:19" ht="13.5" hidden="1" thickBot="1" x14ac:dyDescent="0.45">
      <c r="A181" s="6"/>
      <c r="B181" s="6"/>
      <c r="C181" s="42"/>
      <c r="D181" s="6"/>
      <c r="E181" s="6"/>
      <c r="F181" s="6"/>
      <c r="G181" s="266">
        <v>1</v>
      </c>
      <c r="H181" s="12"/>
      <c r="I181" s="78"/>
      <c r="J181" s="79">
        <f>SUM(J173:J180)</f>
        <v>14802.4</v>
      </c>
      <c r="K181" s="80">
        <f>SUM(K173:K180)</f>
        <v>246.00000000000009</v>
      </c>
      <c r="L181" s="10">
        <f>SUM(L174:L180)</f>
        <v>0.22083333333333338</v>
      </c>
      <c r="M181" s="10"/>
      <c r="N181" s="13">
        <f>MAX(N174:N180)</f>
        <v>5798.1</v>
      </c>
      <c r="O181" s="312">
        <f>MAX(O174:O180)</f>
        <v>37.799999999999997</v>
      </c>
      <c r="P181" s="6"/>
      <c r="Q181" s="162">
        <f>IF(L181=0,0,L181+$Q$2)</f>
        <v>0.22430555555555559</v>
      </c>
    </row>
    <row r="182" spans="1:19" ht="13.5" thickBot="1" x14ac:dyDescent="0.45">
      <c r="A182" s="87" t="s">
        <v>16</v>
      </c>
      <c r="B182" s="89"/>
      <c r="C182" s="90"/>
      <c r="D182" s="89"/>
      <c r="E182" s="89"/>
      <c r="F182" s="91"/>
      <c r="G182" s="81"/>
      <c r="H182" s="92"/>
      <c r="I182" s="81">
        <f>SUM(I173:I180)</f>
        <v>20241</v>
      </c>
      <c r="J182" s="81">
        <f>ROUNDDOWN(K181/60,0)+J181</f>
        <v>14806.4</v>
      </c>
      <c r="K182" s="82">
        <f>ROUND(K181-(ROUNDDOWN(K181/60,0)*60),0)</f>
        <v>6</v>
      </c>
      <c r="L182" s="271">
        <f>L181</f>
        <v>0.22083333333333338</v>
      </c>
      <c r="M182" s="93"/>
      <c r="N182" s="94">
        <f>N181-N172</f>
        <v>4.9000000000005457</v>
      </c>
      <c r="O182" s="94">
        <f>IF(OR(O173="N/A",O173="N / A", O173="N/ A",O173="N /A"),"N / A", O181-O172)</f>
        <v>6.2999999999999972</v>
      </c>
      <c r="P182" s="371"/>
      <c r="Q182" s="162">
        <f>SUM(Q174:Q180)</f>
        <v>0.24513888888888891</v>
      </c>
    </row>
    <row r="183" spans="1:19" x14ac:dyDescent="0.35">
      <c r="A183" s="34">
        <v>43141</v>
      </c>
      <c r="C183" s="40">
        <v>0</v>
      </c>
      <c r="D183" s="7">
        <v>0.56597222222222221</v>
      </c>
      <c r="E183" s="7">
        <v>0.58819444444444446</v>
      </c>
      <c r="G183" s="2">
        <v>1</v>
      </c>
      <c r="I183" s="74">
        <v>1</v>
      </c>
      <c r="J183" s="74">
        <f t="shared" ref="J183:J189" si="95">ROUNDDOWN(M183*24,0)</f>
        <v>0</v>
      </c>
      <c r="K183" s="75">
        <f t="shared" ref="K183:K189" si="96">(M183*24-J183)*60</f>
        <v>32.000000000000043</v>
      </c>
      <c r="L183" s="7">
        <f t="shared" ref="L183:L189" si="97">E183-D183</f>
        <v>2.2222222222222254E-2</v>
      </c>
      <c r="M183" s="22">
        <f t="shared" ref="M183:M189" si="98">L183</f>
        <v>2.2222222222222254E-2</v>
      </c>
      <c r="N183" s="14">
        <v>5798.8</v>
      </c>
      <c r="O183" s="310">
        <v>38.700000000000003</v>
      </c>
      <c r="P183" s="294" t="s">
        <v>178</v>
      </c>
      <c r="Q183" s="263">
        <f t="shared" ref="Q183:Q189" si="99">IF(L183=0,0,L183+$Q$2)</f>
        <v>2.5694444444444478E-2</v>
      </c>
    </row>
    <row r="184" spans="1:19" x14ac:dyDescent="0.35">
      <c r="A184" s="34">
        <v>43172</v>
      </c>
      <c r="C184" s="40">
        <v>9</v>
      </c>
      <c r="D184" s="7">
        <v>0.74722222222222223</v>
      </c>
      <c r="E184" s="7">
        <v>0.75208333333333333</v>
      </c>
      <c r="G184" s="2">
        <v>1</v>
      </c>
      <c r="I184" s="74">
        <v>1</v>
      </c>
      <c r="J184" s="74">
        <f t="shared" si="95"/>
        <v>0</v>
      </c>
      <c r="K184" s="75">
        <f t="shared" si="96"/>
        <v>6.9999999999999751</v>
      </c>
      <c r="L184" s="7">
        <f t="shared" si="97"/>
        <v>4.8611111111110938E-3</v>
      </c>
      <c r="M184" s="22">
        <f t="shared" si="98"/>
        <v>4.8611111111110938E-3</v>
      </c>
      <c r="N184" s="14">
        <v>5799</v>
      </c>
      <c r="O184" s="310">
        <f>O183</f>
        <v>38.700000000000003</v>
      </c>
      <c r="P184" s="267"/>
      <c r="Q184" s="263">
        <f t="shared" si="99"/>
        <v>8.3333333333333159E-3</v>
      </c>
    </row>
    <row r="185" spans="1:19" x14ac:dyDescent="0.35">
      <c r="A185" s="34">
        <v>43172</v>
      </c>
      <c r="C185" s="40">
        <v>1</v>
      </c>
      <c r="D185" s="7">
        <v>0.76111111111111107</v>
      </c>
      <c r="E185" s="7">
        <v>0.78888888888888886</v>
      </c>
      <c r="G185" s="2">
        <v>0</v>
      </c>
      <c r="H185" s="3" t="s">
        <v>154</v>
      </c>
      <c r="I185" s="74">
        <v>2</v>
      </c>
      <c r="J185" s="74">
        <f t="shared" si="95"/>
        <v>0</v>
      </c>
      <c r="K185" s="75">
        <f t="shared" si="96"/>
        <v>40.000000000000014</v>
      </c>
      <c r="L185" s="7">
        <f t="shared" si="97"/>
        <v>2.777777777777779E-2</v>
      </c>
      <c r="M185" s="22">
        <f t="shared" si="98"/>
        <v>2.777777777777779E-2</v>
      </c>
      <c r="N185" s="14">
        <v>5799.7</v>
      </c>
      <c r="O185" s="310">
        <v>39.200000000000003</v>
      </c>
      <c r="P185" s="267"/>
      <c r="Q185" s="263">
        <f t="shared" si="99"/>
        <v>3.1250000000000014E-2</v>
      </c>
    </row>
    <row r="186" spans="1:19" x14ac:dyDescent="0.35">
      <c r="A186" s="34">
        <v>43172</v>
      </c>
      <c r="C186" s="40">
        <v>9</v>
      </c>
      <c r="D186" s="7">
        <v>0.79513888888888884</v>
      </c>
      <c r="E186" s="7">
        <v>0.82638888888888884</v>
      </c>
      <c r="G186" s="2">
        <v>1</v>
      </c>
      <c r="H186" s="3" t="s">
        <v>154</v>
      </c>
      <c r="I186" s="74">
        <v>3</v>
      </c>
      <c r="J186" s="74">
        <f t="shared" si="95"/>
        <v>0</v>
      </c>
      <c r="K186" s="75">
        <f t="shared" si="96"/>
        <v>45</v>
      </c>
      <c r="L186" s="7">
        <f t="shared" si="97"/>
        <v>3.125E-2</v>
      </c>
      <c r="M186" s="22">
        <f t="shared" si="98"/>
        <v>3.125E-2</v>
      </c>
      <c r="N186" s="14">
        <v>5800.5</v>
      </c>
      <c r="O186" s="310">
        <v>39.200000000000003</v>
      </c>
      <c r="P186" s="267"/>
      <c r="Q186" s="263">
        <f t="shared" si="99"/>
        <v>3.4722222222222224E-2</v>
      </c>
    </row>
    <row r="187" spans="1:19" x14ac:dyDescent="0.35">
      <c r="A187" s="34">
        <v>43183</v>
      </c>
      <c r="C187" s="40">
        <v>29</v>
      </c>
      <c r="D187" s="7">
        <v>0.44236111111111115</v>
      </c>
      <c r="E187" s="7">
        <v>0.47569444444444442</v>
      </c>
      <c r="G187" s="2">
        <v>3</v>
      </c>
      <c r="I187" s="74">
        <v>3</v>
      </c>
      <c r="J187" s="74">
        <f t="shared" si="95"/>
        <v>0</v>
      </c>
      <c r="K187" s="75">
        <f t="shared" si="96"/>
        <v>47.999999999999908</v>
      </c>
      <c r="L187" s="7">
        <f t="shared" si="97"/>
        <v>3.333333333333327E-2</v>
      </c>
      <c r="M187" s="22">
        <f t="shared" si="98"/>
        <v>3.333333333333327E-2</v>
      </c>
      <c r="N187" s="14">
        <v>5801.2</v>
      </c>
      <c r="O187" s="310">
        <v>40.299999999999997</v>
      </c>
      <c r="P187" s="267"/>
      <c r="Q187" s="263">
        <v>4.027777777777778E-2</v>
      </c>
    </row>
    <row r="188" spans="1:19" x14ac:dyDescent="0.35">
      <c r="A188" s="272">
        <v>43183</v>
      </c>
      <c r="C188" s="40">
        <v>6</v>
      </c>
      <c r="D188" s="7">
        <v>0.54166666666666663</v>
      </c>
      <c r="E188" s="7">
        <v>0.5625</v>
      </c>
      <c r="G188" s="2">
        <v>0</v>
      </c>
      <c r="H188" s="3" t="s">
        <v>110</v>
      </c>
      <c r="I188" s="74">
        <v>4</v>
      </c>
      <c r="J188" s="74">
        <f t="shared" si="95"/>
        <v>0</v>
      </c>
      <c r="K188" s="75">
        <f t="shared" si="96"/>
        <v>30.000000000000053</v>
      </c>
      <c r="L188" s="7">
        <f t="shared" si="97"/>
        <v>2.083333333333337E-2</v>
      </c>
      <c r="M188" s="22">
        <f t="shared" si="98"/>
        <v>2.083333333333337E-2</v>
      </c>
      <c r="N188" s="14">
        <v>5801.8</v>
      </c>
      <c r="O188" s="310">
        <v>41.1</v>
      </c>
      <c r="P188" s="267"/>
      <c r="Q188" s="263">
        <f t="shared" si="99"/>
        <v>2.4305555555555594E-2</v>
      </c>
    </row>
    <row r="189" spans="1:19" ht="13.15" thickBot="1" x14ac:dyDescent="0.4">
      <c r="A189" s="38">
        <v>43183</v>
      </c>
      <c r="B189" s="24"/>
      <c r="C189" s="41">
        <v>6</v>
      </c>
      <c r="D189" s="9">
        <v>0.64236111111111105</v>
      </c>
      <c r="E189" s="9">
        <v>0.6743055555555556</v>
      </c>
      <c r="F189" s="25"/>
      <c r="G189" s="269">
        <v>1</v>
      </c>
      <c r="H189" s="28"/>
      <c r="I189" s="76">
        <v>1</v>
      </c>
      <c r="J189" s="76">
        <f t="shared" si="95"/>
        <v>0</v>
      </c>
      <c r="K189" s="77">
        <f t="shared" si="96"/>
        <v>46.000000000000156</v>
      </c>
      <c r="L189" s="9">
        <f t="shared" si="97"/>
        <v>3.1944444444444553E-2</v>
      </c>
      <c r="M189" s="26">
        <f t="shared" si="98"/>
        <v>3.1944444444444553E-2</v>
      </c>
      <c r="N189" s="27">
        <v>5802.4</v>
      </c>
      <c r="O189" s="311">
        <v>41.8</v>
      </c>
      <c r="P189" s="24"/>
      <c r="Q189" s="263">
        <f t="shared" si="99"/>
        <v>3.5416666666666777E-2</v>
      </c>
    </row>
    <row r="190" spans="1:19" ht="13.5" hidden="1" thickBot="1" x14ac:dyDescent="0.45">
      <c r="A190" s="6"/>
      <c r="B190" s="6"/>
      <c r="C190" s="42"/>
      <c r="D190" s="6"/>
      <c r="E190" s="6"/>
      <c r="F190" s="6"/>
      <c r="G190" s="266"/>
      <c r="H190" s="12"/>
      <c r="I190" s="78"/>
      <c r="J190" s="79">
        <f>SUM(J182:J189)</f>
        <v>14806.4</v>
      </c>
      <c r="K190" s="80">
        <f>SUM(K182:K189)</f>
        <v>254.00000000000017</v>
      </c>
      <c r="L190" s="10">
        <f>SUM(L183:L189)</f>
        <v>0.17222222222222233</v>
      </c>
      <c r="M190" s="10"/>
      <c r="N190" s="13">
        <f>MAX(N183:N189)</f>
        <v>5802.4</v>
      </c>
      <c r="O190" s="312">
        <f>MAX(O183:O189)</f>
        <v>41.8</v>
      </c>
      <c r="P190" s="6"/>
      <c r="Q190" s="162">
        <f>IF(L190=0,0,L190+$Q$2)</f>
        <v>0.17569444444444454</v>
      </c>
      <c r="R190" s="657" t="s">
        <v>31</v>
      </c>
      <c r="S190" s="658"/>
    </row>
    <row r="191" spans="1:19" ht="13.5" thickBot="1" x14ac:dyDescent="0.45">
      <c r="A191" s="87" t="s">
        <v>16</v>
      </c>
      <c r="B191" s="89"/>
      <c r="C191" s="90"/>
      <c r="D191" s="89"/>
      <c r="E191" s="89"/>
      <c r="F191" s="91"/>
      <c r="G191" s="81"/>
      <c r="H191" s="92"/>
      <c r="I191" s="81">
        <f>SUM(I182:I189)</f>
        <v>20256</v>
      </c>
      <c r="J191" s="81">
        <f>ROUNDDOWN(K190/60,0)+J190</f>
        <v>14810.4</v>
      </c>
      <c r="K191" s="82">
        <f>ROUND(K190-(ROUNDDOWN(K190/60,0)*60),0)</f>
        <v>14</v>
      </c>
      <c r="L191" s="271">
        <f>L190</f>
        <v>0.17222222222222233</v>
      </c>
      <c r="M191" s="93"/>
      <c r="N191" s="94">
        <f>N190-N181</f>
        <v>4.2999999999992724</v>
      </c>
      <c r="O191" s="94">
        <f>IF(OR(O182="N/A",O182="N / A", O182="N/ A",O182="N /A"),"N / A", O190-O181)</f>
        <v>4</v>
      </c>
      <c r="P191" s="371"/>
      <c r="Q191" s="162">
        <f>SUM(Q183:Q189)</f>
        <v>0.20000000000000018</v>
      </c>
    </row>
    <row r="192" spans="1:19" x14ac:dyDescent="0.35">
      <c r="A192" s="34">
        <v>43184</v>
      </c>
      <c r="C192" s="40">
        <v>22</v>
      </c>
      <c r="D192" s="7">
        <v>0.44305555555555554</v>
      </c>
      <c r="E192" s="7">
        <v>0.49652777777777773</v>
      </c>
      <c r="G192" s="2">
        <v>1</v>
      </c>
      <c r="I192" s="74">
        <v>1</v>
      </c>
      <c r="J192" s="74">
        <f t="shared" ref="J192:J198" si="100">ROUNDDOWN(M192*24,0)</f>
        <v>1</v>
      </c>
      <c r="K192" s="75">
        <f t="shared" ref="K192:K198" si="101">(M192*24-J192)*60</f>
        <v>16.999999999999964</v>
      </c>
      <c r="L192" s="7">
        <f t="shared" ref="L192:L198" si="102">E192-D192</f>
        <v>5.3472222222222199E-2</v>
      </c>
      <c r="M192" s="22">
        <f t="shared" ref="M192:M198" si="103">L192</f>
        <v>5.3472222222222199E-2</v>
      </c>
      <c r="N192" s="14">
        <v>5803.7</v>
      </c>
      <c r="O192" s="310">
        <v>43.3</v>
      </c>
      <c r="P192" s="267"/>
      <c r="Q192" s="263">
        <f t="shared" ref="Q192:Q198" si="104">IF(L192=0,0,L192+$Q$2)</f>
        <v>5.6944444444444423E-2</v>
      </c>
      <c r="R192" s="374"/>
    </row>
    <row r="193" spans="1:19" x14ac:dyDescent="0.35">
      <c r="A193" s="34">
        <v>43184</v>
      </c>
      <c r="C193" s="40">
        <v>22</v>
      </c>
      <c r="D193" s="7">
        <v>0.5229166666666667</v>
      </c>
      <c r="E193" s="7">
        <v>0.53541666666666665</v>
      </c>
      <c r="G193" s="2">
        <v>1</v>
      </c>
      <c r="I193" s="74">
        <v>1</v>
      </c>
      <c r="J193" s="74">
        <f t="shared" si="100"/>
        <v>0</v>
      </c>
      <c r="K193" s="75">
        <f t="shared" si="101"/>
        <v>17.999999999999936</v>
      </c>
      <c r="L193" s="7">
        <f t="shared" si="102"/>
        <v>1.2499999999999956E-2</v>
      </c>
      <c r="M193" s="22">
        <f t="shared" si="103"/>
        <v>1.2499999999999956E-2</v>
      </c>
      <c r="N193" s="14">
        <v>5804</v>
      </c>
      <c r="O193" s="310">
        <v>43.8</v>
      </c>
      <c r="P193" s="267"/>
      <c r="Q193" s="263">
        <f t="shared" si="104"/>
        <v>1.5972222222222179E-2</v>
      </c>
      <c r="R193" s="374"/>
      <c r="S193" s="374"/>
    </row>
    <row r="194" spans="1:19" x14ac:dyDescent="0.35">
      <c r="A194" s="34">
        <v>43189</v>
      </c>
      <c r="C194" s="40">
        <v>4</v>
      </c>
      <c r="D194" s="7">
        <v>0.30763888888888891</v>
      </c>
      <c r="E194" s="7">
        <v>0.34375</v>
      </c>
      <c r="G194" s="2">
        <v>0</v>
      </c>
      <c r="H194" s="3" t="s">
        <v>173</v>
      </c>
      <c r="I194" s="74">
        <v>1</v>
      </c>
      <c r="J194" s="74">
        <f t="shared" si="100"/>
        <v>0</v>
      </c>
      <c r="K194" s="75">
        <f t="shared" si="101"/>
        <v>51.999999999999972</v>
      </c>
      <c r="L194" s="7">
        <f t="shared" si="102"/>
        <v>3.6111111111111094E-2</v>
      </c>
      <c r="M194" s="22">
        <f t="shared" si="103"/>
        <v>3.6111111111111094E-2</v>
      </c>
      <c r="N194" s="14">
        <v>5804.9</v>
      </c>
      <c r="O194" s="310">
        <v>44.9</v>
      </c>
      <c r="P194" s="267"/>
      <c r="Q194" s="263">
        <f t="shared" si="104"/>
        <v>3.9583333333333318E-2</v>
      </c>
      <c r="R194" s="374"/>
      <c r="S194" s="374"/>
    </row>
    <row r="195" spans="1:19" x14ac:dyDescent="0.35">
      <c r="A195" s="34">
        <v>43189</v>
      </c>
      <c r="C195" s="40">
        <v>4</v>
      </c>
      <c r="D195" s="7">
        <v>0.37013888888888885</v>
      </c>
      <c r="E195" s="7">
        <v>0.40625</v>
      </c>
      <c r="G195" s="2">
        <v>1</v>
      </c>
      <c r="I195" s="74">
        <v>1</v>
      </c>
      <c r="J195" s="74">
        <f t="shared" si="100"/>
        <v>0</v>
      </c>
      <c r="K195" s="75">
        <f t="shared" si="101"/>
        <v>52.000000000000057</v>
      </c>
      <c r="L195" s="7">
        <f t="shared" si="102"/>
        <v>3.6111111111111149E-2</v>
      </c>
      <c r="M195" s="22">
        <f t="shared" si="103"/>
        <v>3.6111111111111149E-2</v>
      </c>
      <c r="N195" s="14">
        <v>5805.8</v>
      </c>
      <c r="O195" s="310">
        <v>45.9</v>
      </c>
      <c r="P195" s="267"/>
      <c r="Q195" s="263">
        <f t="shared" si="104"/>
        <v>3.9583333333333373E-2</v>
      </c>
    </row>
    <row r="196" spans="1:19" x14ac:dyDescent="0.35">
      <c r="A196" s="34">
        <v>43189</v>
      </c>
      <c r="C196" s="40">
        <v>13</v>
      </c>
      <c r="D196" s="7">
        <v>0.48194444444444445</v>
      </c>
      <c r="E196" s="7">
        <v>0.52500000000000002</v>
      </c>
      <c r="G196" s="2">
        <v>1</v>
      </c>
      <c r="I196" s="74">
        <v>1</v>
      </c>
      <c r="J196" s="74">
        <f t="shared" si="100"/>
        <v>1</v>
      </c>
      <c r="K196" s="75">
        <f t="shared" si="101"/>
        <v>2.0000000000000195</v>
      </c>
      <c r="L196" s="7">
        <f t="shared" si="102"/>
        <v>4.3055555555555569E-2</v>
      </c>
      <c r="M196" s="22">
        <f t="shared" si="103"/>
        <v>4.3055555555555569E-2</v>
      </c>
      <c r="N196" s="14">
        <v>5806.8</v>
      </c>
      <c r="O196" s="310">
        <v>47</v>
      </c>
      <c r="P196" s="267"/>
      <c r="Q196" s="263">
        <f t="shared" si="104"/>
        <v>4.6527777777777793E-2</v>
      </c>
    </row>
    <row r="197" spans="1:19" x14ac:dyDescent="0.35">
      <c r="A197" s="272">
        <v>43190</v>
      </c>
      <c r="C197" s="40">
        <v>0</v>
      </c>
      <c r="D197" s="7">
        <v>0.72638888888888886</v>
      </c>
      <c r="E197" s="7">
        <v>0.73611111111111116</v>
      </c>
      <c r="G197" s="2">
        <v>0</v>
      </c>
      <c r="H197" s="3" t="s">
        <v>110</v>
      </c>
      <c r="I197" s="74">
        <v>1</v>
      </c>
      <c r="J197" s="74">
        <f t="shared" si="100"/>
        <v>0</v>
      </c>
      <c r="K197" s="75">
        <f t="shared" si="101"/>
        <v>14.00000000000011</v>
      </c>
      <c r="L197" s="7">
        <f t="shared" si="102"/>
        <v>9.7222222222222987E-3</v>
      </c>
      <c r="M197" s="22">
        <f t="shared" si="103"/>
        <v>9.7222222222222987E-3</v>
      </c>
      <c r="N197" s="14">
        <v>5807.1</v>
      </c>
      <c r="O197" s="310">
        <v>47</v>
      </c>
      <c r="P197" s="294" t="s">
        <v>195</v>
      </c>
      <c r="Q197" s="263">
        <f t="shared" si="104"/>
        <v>1.3194444444444521E-2</v>
      </c>
    </row>
    <row r="198" spans="1:19" ht="13.15" thickBot="1" x14ac:dyDescent="0.4">
      <c r="A198" s="38">
        <v>43190</v>
      </c>
      <c r="B198" s="24"/>
      <c r="C198" s="41">
        <v>0</v>
      </c>
      <c r="D198" s="9">
        <v>0.75208333333333333</v>
      </c>
      <c r="E198" s="9">
        <v>0.76111111111111107</v>
      </c>
      <c r="F198" s="25"/>
      <c r="G198" s="269">
        <v>1</v>
      </c>
      <c r="H198" s="28"/>
      <c r="I198" s="76">
        <v>1</v>
      </c>
      <c r="J198" s="76">
        <f t="shared" si="100"/>
        <v>0</v>
      </c>
      <c r="K198" s="77">
        <f t="shared" si="101"/>
        <v>12.999999999999954</v>
      </c>
      <c r="L198" s="9">
        <f t="shared" si="102"/>
        <v>9.0277777777777457E-3</v>
      </c>
      <c r="M198" s="26">
        <f t="shared" si="103"/>
        <v>9.0277777777777457E-3</v>
      </c>
      <c r="N198" s="27">
        <v>5807.4</v>
      </c>
      <c r="O198" s="311">
        <v>47.1</v>
      </c>
      <c r="P198" s="383" t="s">
        <v>195</v>
      </c>
      <c r="Q198" s="263">
        <f t="shared" si="104"/>
        <v>1.2499999999999968E-2</v>
      </c>
    </row>
    <row r="199" spans="1:19" ht="13.5" hidden="1" thickBot="1" x14ac:dyDescent="0.45">
      <c r="A199" s="6"/>
      <c r="B199" s="6"/>
      <c r="C199" s="42"/>
      <c r="D199" s="6"/>
      <c r="E199" s="6"/>
      <c r="F199" s="6"/>
      <c r="G199" s="266"/>
      <c r="H199" s="12"/>
      <c r="I199" s="78"/>
      <c r="J199" s="79">
        <f>SUM(J191:J198)</f>
        <v>14812.4</v>
      </c>
      <c r="K199" s="80">
        <f>SUM(K191:K198)</f>
        <v>182.00000000000003</v>
      </c>
      <c r="L199" s="10">
        <f>SUM(L192:L198)</f>
        <v>0.2</v>
      </c>
      <c r="M199" s="10"/>
      <c r="N199" s="13">
        <f>MAX(N192:N198)</f>
        <v>5807.4</v>
      </c>
      <c r="O199" s="312">
        <f>MAX(O192:O198)</f>
        <v>47.1</v>
      </c>
      <c r="P199" s="6"/>
      <c r="Q199" s="162">
        <f>IF(L199=0,0,L199+$Q$2)</f>
        <v>0.20347222222222222</v>
      </c>
    </row>
    <row r="200" spans="1:19" ht="13.5" thickBot="1" x14ac:dyDescent="0.45">
      <c r="A200" s="87" t="s">
        <v>16</v>
      </c>
      <c r="B200" s="89"/>
      <c r="C200" s="90"/>
      <c r="D200" s="89"/>
      <c r="E200" s="89"/>
      <c r="F200" s="91"/>
      <c r="G200" s="81"/>
      <c r="H200" s="92"/>
      <c r="I200" s="81">
        <f>SUM(I191:I198)</f>
        <v>20263</v>
      </c>
      <c r="J200" s="81">
        <f>ROUNDDOWN(K199/60,0)+J199</f>
        <v>14815.4</v>
      </c>
      <c r="K200" s="82">
        <f>ROUND(K199-(ROUNDDOWN(K199/60,0)*60),0)</f>
        <v>2</v>
      </c>
      <c r="L200" s="271">
        <f>L199</f>
        <v>0.2</v>
      </c>
      <c r="M200" s="93"/>
      <c r="N200" s="94">
        <f>N199-N190</f>
        <v>5</v>
      </c>
      <c r="O200" s="94">
        <f>IF(OR(O191="N/A",O191="N / A", O191="N/ A",O191="N /A"),"N / A", O199-O190)</f>
        <v>5.3000000000000043</v>
      </c>
      <c r="P200" s="371"/>
      <c r="Q200" s="162">
        <f>SUM(Q192:Q198)</f>
        <v>0.22430555555555554</v>
      </c>
    </row>
    <row r="201" spans="1:19" x14ac:dyDescent="0.35">
      <c r="A201" s="34">
        <v>43192</v>
      </c>
      <c r="C201" s="40">
        <v>6</v>
      </c>
      <c r="D201" s="7">
        <v>0.48402777777777778</v>
      </c>
      <c r="E201" s="7">
        <v>0.5229166666666667</v>
      </c>
      <c r="G201" s="2">
        <v>0</v>
      </c>
      <c r="H201" s="3" t="s">
        <v>197</v>
      </c>
      <c r="I201" s="74">
        <v>1</v>
      </c>
      <c r="J201" s="74">
        <f t="shared" ref="J201:J207" si="105">ROUNDDOWN(M201*24,0)</f>
        <v>0</v>
      </c>
      <c r="K201" s="75">
        <f t="shared" ref="K201:K207" si="106">(M201*24-J201)*60</f>
        <v>56.000000000000043</v>
      </c>
      <c r="L201" s="7">
        <f t="shared" ref="L201:L207" si="107">E201-D201</f>
        <v>3.8888888888888917E-2</v>
      </c>
      <c r="M201" s="22">
        <f>L201</f>
        <v>3.8888888888888917E-2</v>
      </c>
      <c r="N201" s="14">
        <v>5808.3</v>
      </c>
      <c r="O201" s="310">
        <v>48.2</v>
      </c>
      <c r="P201" s="267"/>
      <c r="Q201" s="263">
        <f t="shared" ref="Q201:Q207" si="108">IF(L201=0,0,L201+$Q$2)</f>
        <v>4.2361111111111141E-2</v>
      </c>
    </row>
    <row r="202" spans="1:19" x14ac:dyDescent="0.35">
      <c r="A202" s="34">
        <v>43192</v>
      </c>
      <c r="C202" s="40">
        <v>6</v>
      </c>
      <c r="D202" s="7">
        <v>0.59583333333333333</v>
      </c>
      <c r="E202" s="7">
        <v>0.6333333333333333</v>
      </c>
      <c r="G202" s="2">
        <v>1</v>
      </c>
      <c r="I202" s="74">
        <v>1</v>
      </c>
      <c r="J202" s="74">
        <f t="shared" si="105"/>
        <v>0</v>
      </c>
      <c r="K202" s="75">
        <f t="shared" si="106"/>
        <v>53.999999999999972</v>
      </c>
      <c r="L202" s="7">
        <f t="shared" si="107"/>
        <v>3.7499999999999978E-2</v>
      </c>
      <c r="M202" s="22">
        <f t="shared" ref="M202:M207" si="109">L202</f>
        <v>3.7499999999999978E-2</v>
      </c>
      <c r="N202" s="14">
        <v>5809.2</v>
      </c>
      <c r="O202" s="310">
        <v>49.2</v>
      </c>
      <c r="P202" s="294" t="s">
        <v>198</v>
      </c>
      <c r="Q202" s="263">
        <f t="shared" si="108"/>
        <v>4.0972222222222202E-2</v>
      </c>
    </row>
    <row r="203" spans="1:19" x14ac:dyDescent="0.35">
      <c r="A203" s="34">
        <v>43195</v>
      </c>
      <c r="C203" s="40">
        <v>0</v>
      </c>
      <c r="D203" s="7">
        <v>0.68055555555555547</v>
      </c>
      <c r="E203" s="7">
        <v>0.7006944444444444</v>
      </c>
      <c r="G203" s="2">
        <v>0</v>
      </c>
      <c r="H203" s="3" t="s">
        <v>163</v>
      </c>
      <c r="I203" s="74">
        <v>1</v>
      </c>
      <c r="J203" s="74">
        <f t="shared" si="105"/>
        <v>0</v>
      </c>
      <c r="K203" s="75">
        <f t="shared" si="106"/>
        <v>29.000000000000057</v>
      </c>
      <c r="L203" s="7">
        <f t="shared" si="107"/>
        <v>2.0138888888888928E-2</v>
      </c>
      <c r="M203" s="22">
        <f t="shared" si="109"/>
        <v>2.0138888888888928E-2</v>
      </c>
      <c r="N203" s="14">
        <v>5809.7</v>
      </c>
      <c r="O203" s="310">
        <v>49.9</v>
      </c>
      <c r="P203" s="294" t="s">
        <v>177</v>
      </c>
      <c r="Q203" s="263">
        <f t="shared" si="108"/>
        <v>2.3611111111111152E-2</v>
      </c>
    </row>
    <row r="204" spans="1:19" x14ac:dyDescent="0.35">
      <c r="A204" s="34">
        <v>43200</v>
      </c>
      <c r="C204" s="40">
        <v>0</v>
      </c>
      <c r="D204" s="7">
        <v>0.58263888888888882</v>
      </c>
      <c r="E204" s="7">
        <v>0.59444444444444444</v>
      </c>
      <c r="G204" s="2">
        <v>0</v>
      </c>
      <c r="H204" s="3" t="s">
        <v>163</v>
      </c>
      <c r="I204" s="74">
        <v>1</v>
      </c>
      <c r="J204" s="74">
        <f t="shared" si="105"/>
        <v>0</v>
      </c>
      <c r="K204" s="75">
        <f t="shared" si="106"/>
        <v>17.000000000000099</v>
      </c>
      <c r="L204" s="7">
        <f t="shared" si="107"/>
        <v>1.1805555555555625E-2</v>
      </c>
      <c r="M204" s="22">
        <f t="shared" si="109"/>
        <v>1.1805555555555625E-2</v>
      </c>
      <c r="N204" s="14">
        <v>5810.2</v>
      </c>
      <c r="O204" s="310">
        <v>50.7</v>
      </c>
      <c r="P204" s="294" t="s">
        <v>177</v>
      </c>
      <c r="Q204" s="162">
        <f t="shared" si="108"/>
        <v>1.5277777777777847E-2</v>
      </c>
    </row>
    <row r="205" spans="1:19" x14ac:dyDescent="0.35">
      <c r="A205" s="34">
        <v>43200</v>
      </c>
      <c r="C205" s="40">
        <v>0</v>
      </c>
      <c r="D205" s="7">
        <v>0.72499999999999998</v>
      </c>
      <c r="E205" s="7">
        <v>0.74444444444444446</v>
      </c>
      <c r="G205" s="2">
        <v>1</v>
      </c>
      <c r="I205" s="74">
        <v>1</v>
      </c>
      <c r="J205" s="74">
        <f t="shared" si="105"/>
        <v>0</v>
      </c>
      <c r="K205" s="75">
        <f t="shared" si="106"/>
        <v>28.00000000000006</v>
      </c>
      <c r="L205" s="7">
        <f t="shared" si="107"/>
        <v>1.9444444444444486E-2</v>
      </c>
      <c r="M205" s="22">
        <f t="shared" si="109"/>
        <v>1.9444444444444486E-2</v>
      </c>
      <c r="N205" s="14">
        <v>5810.7</v>
      </c>
      <c r="O205" s="310">
        <v>51.3</v>
      </c>
      <c r="P205" s="294" t="s">
        <v>177</v>
      </c>
      <c r="Q205" s="263">
        <f t="shared" si="108"/>
        <v>2.291666666666671E-2</v>
      </c>
    </row>
    <row r="206" spans="1:19" x14ac:dyDescent="0.35">
      <c r="A206" s="272">
        <v>43201</v>
      </c>
      <c r="C206" s="40">
        <v>15</v>
      </c>
      <c r="D206" s="7">
        <v>0.54513888888888895</v>
      </c>
      <c r="E206" s="7">
        <v>0.55625000000000002</v>
      </c>
      <c r="G206" s="2">
        <v>2</v>
      </c>
      <c r="I206" s="74">
        <v>2</v>
      </c>
      <c r="J206" s="74">
        <f t="shared" si="105"/>
        <v>0</v>
      </c>
      <c r="K206" s="75">
        <f t="shared" si="106"/>
        <v>15.999999999999943</v>
      </c>
      <c r="L206" s="7">
        <f t="shared" si="107"/>
        <v>1.1111111111111072E-2</v>
      </c>
      <c r="M206" s="22">
        <f t="shared" si="109"/>
        <v>1.1111111111111072E-2</v>
      </c>
      <c r="N206" s="14">
        <v>5811</v>
      </c>
      <c r="O206" s="310">
        <v>51.7</v>
      </c>
      <c r="P206" s="294" t="s">
        <v>201</v>
      </c>
      <c r="Q206" s="263">
        <f t="shared" si="108"/>
        <v>1.4583333333333294E-2</v>
      </c>
    </row>
    <row r="207" spans="1:19" ht="13.15" thickBot="1" x14ac:dyDescent="0.4">
      <c r="A207" s="38">
        <v>43201</v>
      </c>
      <c r="B207" s="24"/>
      <c r="C207" s="41">
        <v>22</v>
      </c>
      <c r="D207" s="9">
        <v>0.57430555555555551</v>
      </c>
      <c r="E207" s="9">
        <v>0.63888888888888895</v>
      </c>
      <c r="F207" s="25"/>
      <c r="G207" s="269">
        <v>0</v>
      </c>
      <c r="H207" s="28" t="s">
        <v>202</v>
      </c>
      <c r="I207" s="76">
        <v>1</v>
      </c>
      <c r="J207" s="76">
        <f t="shared" si="105"/>
        <v>1</v>
      </c>
      <c r="K207" s="77">
        <f t="shared" si="106"/>
        <v>33.000000000000149</v>
      </c>
      <c r="L207" s="9">
        <f t="shared" si="107"/>
        <v>6.4583333333333437E-2</v>
      </c>
      <c r="M207" s="26">
        <f t="shared" si="109"/>
        <v>6.4583333333333437E-2</v>
      </c>
      <c r="N207" s="27">
        <v>5812.5</v>
      </c>
      <c r="O207" s="311">
        <v>53.4</v>
      </c>
      <c r="P207" s="383" t="s">
        <v>210</v>
      </c>
      <c r="Q207" s="263">
        <f t="shared" si="108"/>
        <v>6.8055555555555661E-2</v>
      </c>
    </row>
    <row r="208" spans="1:19" ht="13.5" hidden="1" thickBot="1" x14ac:dyDescent="0.45">
      <c r="A208" s="6"/>
      <c r="B208" s="6"/>
      <c r="C208" s="42"/>
      <c r="D208" s="6"/>
      <c r="E208" s="6"/>
      <c r="F208" s="6"/>
      <c r="G208" s="266"/>
      <c r="H208" s="12"/>
      <c r="I208" s="78"/>
      <c r="J208" s="79">
        <f>SUM(J200:J207)</f>
        <v>14816.4</v>
      </c>
      <c r="K208" s="80">
        <f>SUM(K200:K207)</f>
        <v>235.00000000000031</v>
      </c>
      <c r="L208" s="10">
        <f>SUM(L201:L207)</f>
        <v>0.20347222222222244</v>
      </c>
      <c r="M208" s="10"/>
      <c r="N208" s="13">
        <f>MAX(N201:N207)</f>
        <v>5812.5</v>
      </c>
      <c r="O208" s="312">
        <f>MAX(O201:O207)</f>
        <v>53.4</v>
      </c>
      <c r="P208" s="6"/>
      <c r="Q208" s="162">
        <f>IF(L208=0,0,L208+$Q$2)</f>
        <v>0.20694444444444465</v>
      </c>
    </row>
    <row r="209" spans="1:17" ht="13.5" thickBot="1" x14ac:dyDescent="0.45">
      <c r="A209" s="87" t="s">
        <v>16</v>
      </c>
      <c r="B209" s="89"/>
      <c r="C209" s="90"/>
      <c r="D209" s="89"/>
      <c r="E209" s="89"/>
      <c r="F209" s="91"/>
      <c r="G209" s="81"/>
      <c r="H209" s="92"/>
      <c r="I209" s="81">
        <f>SUM(I200:I207)</f>
        <v>20271</v>
      </c>
      <c r="J209" s="81">
        <f>ROUNDDOWN(K208/60,0)+J208</f>
        <v>14819.4</v>
      </c>
      <c r="K209" s="82">
        <f>ROUND(K208-(ROUNDDOWN(K208/60,0)*60),0)</f>
        <v>55</v>
      </c>
      <c r="L209" s="271">
        <f>L208</f>
        <v>0.20347222222222244</v>
      </c>
      <c r="M209" s="93"/>
      <c r="N209" s="94">
        <f>N208-N199</f>
        <v>5.1000000000003638</v>
      </c>
      <c r="O209" s="94">
        <f>IF(OR(O200="N/A",O200="N / A", O200="N/ A",O200="N /A"),"N / A", O208-O199)</f>
        <v>6.2999999999999972</v>
      </c>
      <c r="P209" s="371"/>
      <c r="Q209" s="162">
        <f>SUM(Q201:Q207)</f>
        <v>0.22777777777777797</v>
      </c>
    </row>
    <row r="210" spans="1:17" x14ac:dyDescent="0.35">
      <c r="A210" s="34">
        <v>43201</v>
      </c>
      <c r="C210" s="40">
        <v>22</v>
      </c>
      <c r="D210" s="7">
        <v>0.68958333333333333</v>
      </c>
      <c r="E210" s="7">
        <v>0.76527777777777783</v>
      </c>
      <c r="G210" s="2">
        <v>1</v>
      </c>
      <c r="I210" s="74">
        <v>1</v>
      </c>
      <c r="J210" s="74">
        <f t="shared" ref="J210:J216" si="110">ROUNDDOWN(M210*24,0)</f>
        <v>1</v>
      </c>
      <c r="K210" s="75">
        <f t="shared" ref="K210:K216" si="111">(M210*24-J210)*60</f>
        <v>49.000000000000092</v>
      </c>
      <c r="L210" s="7">
        <f t="shared" ref="L210:L216" si="112">E210-D210</f>
        <v>7.5694444444444509E-2</v>
      </c>
      <c r="M210" s="22">
        <f t="shared" ref="M210:M216" si="113">L210</f>
        <v>7.5694444444444509E-2</v>
      </c>
      <c r="N210" s="14">
        <v>5814.3</v>
      </c>
      <c r="O210" s="310">
        <v>54.8</v>
      </c>
      <c r="P210" s="294" t="s">
        <v>246</v>
      </c>
      <c r="Q210" s="263">
        <f t="shared" ref="Q210:Q216" si="114">IF(L210=0,0,L210+$Q$2)</f>
        <v>7.9166666666666732E-2</v>
      </c>
    </row>
    <row r="211" spans="1:17" x14ac:dyDescent="0.35">
      <c r="A211" s="34">
        <v>43203</v>
      </c>
      <c r="C211" s="40">
        <v>15</v>
      </c>
      <c r="D211" s="7">
        <v>0.65763888888888888</v>
      </c>
      <c r="E211" s="7">
        <v>0.67847222222222225</v>
      </c>
      <c r="G211" s="2">
        <v>0</v>
      </c>
      <c r="H211" s="3" t="s">
        <v>163</v>
      </c>
      <c r="I211" s="74">
        <v>1</v>
      </c>
      <c r="J211" s="74">
        <f t="shared" si="110"/>
        <v>0</v>
      </c>
      <c r="K211" s="75">
        <f t="shared" si="111"/>
        <v>30.000000000000053</v>
      </c>
      <c r="L211" s="7">
        <f t="shared" si="112"/>
        <v>2.083333333333337E-2</v>
      </c>
      <c r="M211" s="22">
        <f t="shared" si="113"/>
        <v>2.083333333333337E-2</v>
      </c>
      <c r="N211" s="14">
        <v>5814.9</v>
      </c>
      <c r="O211" s="310">
        <v>55.6</v>
      </c>
      <c r="P211" s="294" t="s">
        <v>204</v>
      </c>
      <c r="Q211" s="263">
        <f t="shared" si="114"/>
        <v>2.4305555555555594E-2</v>
      </c>
    </row>
    <row r="212" spans="1:17" x14ac:dyDescent="0.35">
      <c r="A212" s="34">
        <v>43203</v>
      </c>
      <c r="C212" s="40">
        <v>15</v>
      </c>
      <c r="D212" s="7">
        <v>0.72430555555555554</v>
      </c>
      <c r="E212" s="7">
        <v>0.75</v>
      </c>
      <c r="G212" s="2">
        <v>1</v>
      </c>
      <c r="I212" s="74">
        <v>1</v>
      </c>
      <c r="J212" s="74">
        <f t="shared" si="110"/>
        <v>0</v>
      </c>
      <c r="K212" s="75">
        <f t="shared" si="111"/>
        <v>37.000000000000028</v>
      </c>
      <c r="L212" s="7">
        <f t="shared" si="112"/>
        <v>2.5694444444444464E-2</v>
      </c>
      <c r="M212" s="22">
        <f t="shared" si="113"/>
        <v>2.5694444444444464E-2</v>
      </c>
      <c r="N212" s="14">
        <v>5815.5</v>
      </c>
      <c r="O212" s="310">
        <v>56.5</v>
      </c>
      <c r="P212" s="267"/>
      <c r="Q212" s="263">
        <f t="shared" si="114"/>
        <v>2.9166666666666688E-2</v>
      </c>
    </row>
    <row r="213" spans="1:17" x14ac:dyDescent="0.35">
      <c r="A213" s="34">
        <v>43204</v>
      </c>
      <c r="C213" s="40">
        <v>6</v>
      </c>
      <c r="D213" s="7">
        <v>0.50138888888888888</v>
      </c>
      <c r="E213" s="7">
        <v>0.54027777777777775</v>
      </c>
      <c r="G213" s="2">
        <v>0</v>
      </c>
      <c r="H213" s="3" t="s">
        <v>203</v>
      </c>
      <c r="I213" s="74">
        <v>1</v>
      </c>
      <c r="J213" s="74">
        <f t="shared" si="110"/>
        <v>0</v>
      </c>
      <c r="K213" s="75">
        <f t="shared" si="111"/>
        <v>55.999999999999957</v>
      </c>
      <c r="L213" s="7">
        <f t="shared" si="112"/>
        <v>3.8888888888888862E-2</v>
      </c>
      <c r="M213" s="22">
        <f t="shared" si="113"/>
        <v>3.8888888888888862E-2</v>
      </c>
      <c r="N213" s="14">
        <v>5816.4</v>
      </c>
      <c r="O213" s="310">
        <v>57.6</v>
      </c>
      <c r="P213" s="267"/>
      <c r="Q213" s="263">
        <f t="shared" si="114"/>
        <v>4.2361111111111086E-2</v>
      </c>
    </row>
    <row r="214" spans="1:17" x14ac:dyDescent="0.35">
      <c r="A214" s="34">
        <v>43204</v>
      </c>
      <c r="C214" s="40">
        <v>6</v>
      </c>
      <c r="D214" s="7">
        <v>0.63541666666666663</v>
      </c>
      <c r="E214" s="7">
        <v>0.68402777777777779</v>
      </c>
      <c r="G214" s="2">
        <v>1</v>
      </c>
      <c r="I214" s="74">
        <v>1</v>
      </c>
      <c r="J214" s="74">
        <f t="shared" si="110"/>
        <v>1</v>
      </c>
      <c r="K214" s="75">
        <f t="shared" si="111"/>
        <v>10.000000000000071</v>
      </c>
      <c r="L214" s="7">
        <f t="shared" si="112"/>
        <v>4.861111111111116E-2</v>
      </c>
      <c r="M214" s="22">
        <f t="shared" si="113"/>
        <v>4.861111111111116E-2</v>
      </c>
      <c r="N214" s="14">
        <v>5817.6</v>
      </c>
      <c r="O214" s="310">
        <v>59</v>
      </c>
      <c r="P214" s="267"/>
      <c r="Q214" s="263">
        <f t="shared" si="114"/>
        <v>5.2083333333333384E-2</v>
      </c>
    </row>
    <row r="215" spans="1:17" x14ac:dyDescent="0.35">
      <c r="A215" s="272">
        <v>43204</v>
      </c>
      <c r="C215" s="40">
        <v>1</v>
      </c>
      <c r="D215" s="7">
        <v>0.7319444444444444</v>
      </c>
      <c r="E215" s="7">
        <v>0.74097222222222225</v>
      </c>
      <c r="G215" s="2">
        <v>0</v>
      </c>
      <c r="H215" s="3" t="s">
        <v>110</v>
      </c>
      <c r="I215" s="74">
        <v>1</v>
      </c>
      <c r="J215" s="74">
        <f t="shared" si="110"/>
        <v>0</v>
      </c>
      <c r="K215" s="75">
        <f t="shared" si="111"/>
        <v>13.000000000000114</v>
      </c>
      <c r="L215" s="7">
        <f t="shared" si="112"/>
        <v>9.0277777777778567E-3</v>
      </c>
      <c r="M215" s="22">
        <f t="shared" si="113"/>
        <v>9.0277777777778567E-3</v>
      </c>
      <c r="N215" s="14">
        <v>5817.9</v>
      </c>
      <c r="O215" s="310">
        <v>59.4</v>
      </c>
      <c r="P215" s="267"/>
      <c r="Q215" s="263">
        <f t="shared" si="114"/>
        <v>1.2500000000000079E-2</v>
      </c>
    </row>
    <row r="216" spans="1:17" ht="13.15" thickBot="1" x14ac:dyDescent="0.4">
      <c r="A216" s="38">
        <v>43204</v>
      </c>
      <c r="B216" s="24"/>
      <c r="C216" s="41">
        <v>1</v>
      </c>
      <c r="D216" s="9">
        <v>0.75555555555555554</v>
      </c>
      <c r="E216" s="9">
        <v>0.76527777777777783</v>
      </c>
      <c r="F216" s="25"/>
      <c r="G216" s="269">
        <v>1</v>
      </c>
      <c r="H216" s="28"/>
      <c r="I216" s="76">
        <v>1</v>
      </c>
      <c r="J216" s="76">
        <f t="shared" si="110"/>
        <v>0</v>
      </c>
      <c r="K216" s="77">
        <f t="shared" si="111"/>
        <v>14.00000000000011</v>
      </c>
      <c r="L216" s="9">
        <f t="shared" si="112"/>
        <v>9.7222222222222987E-3</v>
      </c>
      <c r="M216" s="26">
        <f t="shared" si="113"/>
        <v>9.7222222222222987E-3</v>
      </c>
      <c r="N216" s="27">
        <v>5818.1</v>
      </c>
      <c r="O216" s="311">
        <v>59.4</v>
      </c>
      <c r="P216" s="24"/>
      <c r="Q216" s="263">
        <f t="shared" si="114"/>
        <v>1.3194444444444521E-2</v>
      </c>
    </row>
    <row r="217" spans="1:17" ht="13.5" hidden="1" thickBot="1" x14ac:dyDescent="0.45">
      <c r="A217" s="6"/>
      <c r="B217" s="6"/>
      <c r="C217" s="42"/>
      <c r="D217" s="6"/>
      <c r="E217" s="6"/>
      <c r="F217" s="6"/>
      <c r="G217" s="266"/>
      <c r="H217" s="12"/>
      <c r="I217" s="78"/>
      <c r="J217" s="79">
        <f>SUM(J209:J216)</f>
        <v>14821.4</v>
      </c>
      <c r="K217" s="80">
        <f>SUM(K209:K216)</f>
        <v>264.0000000000004</v>
      </c>
      <c r="L217" s="10">
        <f>SUM(L210:L216)</f>
        <v>0.22847222222222252</v>
      </c>
      <c r="M217" s="10"/>
      <c r="N217" s="13">
        <f>MAX(N210:N216)</f>
        <v>5818.1</v>
      </c>
      <c r="O217" s="312">
        <f>MAX(O210:O216)</f>
        <v>59.4</v>
      </c>
      <c r="P217" s="6"/>
      <c r="Q217" s="162">
        <f>IF(L217=0,0,L217+$Q$2)</f>
        <v>0.23194444444444473</v>
      </c>
    </row>
    <row r="218" spans="1:17" ht="13.5" thickBot="1" x14ac:dyDescent="0.45">
      <c r="A218" s="87" t="s">
        <v>16</v>
      </c>
      <c r="B218" s="89"/>
      <c r="C218" s="90"/>
      <c r="D218" s="89"/>
      <c r="E218" s="89"/>
      <c r="F218" s="91"/>
      <c r="G218" s="81"/>
      <c r="H218" s="92"/>
      <c r="I218" s="81">
        <f>SUM(I209:I216)</f>
        <v>20278</v>
      </c>
      <c r="J218" s="81">
        <f>ROUNDDOWN(K217/60,0)+J217</f>
        <v>14825.4</v>
      </c>
      <c r="K218" s="82">
        <f>ROUND(K217-(ROUNDDOWN(K217/60,0)*60),0)</f>
        <v>24</v>
      </c>
      <c r="L218" s="271">
        <f>L217</f>
        <v>0.22847222222222252</v>
      </c>
      <c r="M218" s="93"/>
      <c r="N218" s="94">
        <f>N217-N208</f>
        <v>5.6000000000003638</v>
      </c>
      <c r="O218" s="94">
        <f>IF(OR(O209="N/A",O209="N / A", O209="N/ A",O209="N /A"),"N / A", O217-O208)</f>
        <v>6</v>
      </c>
      <c r="P218" s="371"/>
      <c r="Q218" s="162">
        <f>SUM(Q210:Q216)</f>
        <v>0.25277777777777805</v>
      </c>
    </row>
    <row r="219" spans="1:17" x14ac:dyDescent="0.35">
      <c r="A219" s="34">
        <v>43211</v>
      </c>
      <c r="C219" s="40">
        <v>21</v>
      </c>
      <c r="D219" s="7">
        <v>0.6</v>
      </c>
      <c r="E219" s="7">
        <v>0.63402777777777775</v>
      </c>
      <c r="G219" s="2">
        <v>3</v>
      </c>
      <c r="I219" s="74">
        <v>3</v>
      </c>
      <c r="J219" s="74">
        <f t="shared" ref="J219:J225" si="115">ROUNDDOWN(M219*24,0)</f>
        <v>0</v>
      </c>
      <c r="K219" s="75">
        <f t="shared" ref="K219:K225" si="116">(M219*24-J219)*60</f>
        <v>48.999999999999986</v>
      </c>
      <c r="L219" s="7">
        <f t="shared" ref="L219:L225" si="117">E219-D219</f>
        <v>3.4027777777777768E-2</v>
      </c>
      <c r="M219" s="22">
        <f t="shared" ref="M219:M225" si="118">L219</f>
        <v>3.4027777777777768E-2</v>
      </c>
      <c r="N219" s="14">
        <v>5818.9</v>
      </c>
      <c r="O219" s="310">
        <v>60.4</v>
      </c>
      <c r="P219" s="267"/>
      <c r="Q219" s="263">
        <f t="shared" ref="Q219:Q225" si="119">IF(L219=0,0,L219+$Q$2)</f>
        <v>3.7499999999999992E-2</v>
      </c>
    </row>
    <row r="220" spans="1:17" x14ac:dyDescent="0.35">
      <c r="A220" s="34">
        <v>43219</v>
      </c>
      <c r="C220" s="40">
        <v>10</v>
      </c>
      <c r="D220" s="7">
        <v>0.32777777777777778</v>
      </c>
      <c r="E220" s="7">
        <v>0.3888888888888889</v>
      </c>
      <c r="G220" s="2">
        <v>1</v>
      </c>
      <c r="I220" s="74">
        <v>1</v>
      </c>
      <c r="J220" s="74">
        <f t="shared" si="115"/>
        <v>1</v>
      </c>
      <c r="K220" s="75">
        <f t="shared" si="116"/>
        <v>28.000000000000007</v>
      </c>
      <c r="L220" s="7">
        <f t="shared" si="117"/>
        <v>6.1111111111111116E-2</v>
      </c>
      <c r="M220" s="22">
        <f t="shared" si="118"/>
        <v>6.1111111111111116E-2</v>
      </c>
      <c r="N220" s="14">
        <v>5820.4</v>
      </c>
      <c r="O220" s="310">
        <v>62.1</v>
      </c>
      <c r="P220" s="267"/>
      <c r="Q220" s="263">
        <f t="shared" si="119"/>
        <v>6.458333333333334E-2</v>
      </c>
    </row>
    <row r="221" spans="1:17" x14ac:dyDescent="0.35">
      <c r="A221" s="34">
        <v>43219</v>
      </c>
      <c r="C221" s="40">
        <v>10</v>
      </c>
      <c r="D221" s="7">
        <v>0.42083333333333334</v>
      </c>
      <c r="E221" s="7">
        <v>0.44166666666666665</v>
      </c>
      <c r="G221" s="2">
        <v>1</v>
      </c>
      <c r="I221" s="74">
        <v>1</v>
      </c>
      <c r="J221" s="74">
        <f t="shared" si="115"/>
        <v>0</v>
      </c>
      <c r="K221" s="75">
        <f t="shared" si="116"/>
        <v>29.999999999999972</v>
      </c>
      <c r="L221" s="7">
        <f t="shared" si="117"/>
        <v>2.0833333333333315E-2</v>
      </c>
      <c r="M221" s="22">
        <f t="shared" si="118"/>
        <v>2.0833333333333315E-2</v>
      </c>
      <c r="N221" s="14">
        <v>5820.9</v>
      </c>
      <c r="O221" s="310">
        <v>62.8</v>
      </c>
      <c r="P221" s="267"/>
      <c r="Q221" s="263">
        <f t="shared" si="119"/>
        <v>2.4305555555555539E-2</v>
      </c>
    </row>
    <row r="222" spans="1:17" x14ac:dyDescent="0.35">
      <c r="A222" s="34">
        <v>43219</v>
      </c>
      <c r="C222" s="40">
        <v>10</v>
      </c>
      <c r="D222" s="7">
        <v>0.46875</v>
      </c>
      <c r="E222" s="7">
        <v>0.50555555555555554</v>
      </c>
      <c r="G222" s="2">
        <v>1</v>
      </c>
      <c r="I222" s="74">
        <v>1</v>
      </c>
      <c r="J222" s="74">
        <f t="shared" si="115"/>
        <v>0</v>
      </c>
      <c r="K222" s="75">
        <f t="shared" si="116"/>
        <v>52.999999999999972</v>
      </c>
      <c r="L222" s="7">
        <f t="shared" si="117"/>
        <v>3.6805555555555536E-2</v>
      </c>
      <c r="M222" s="22">
        <f t="shared" si="118"/>
        <v>3.6805555555555536E-2</v>
      </c>
      <c r="N222" s="14">
        <v>5821.7</v>
      </c>
      <c r="O222" s="310">
        <v>63.9</v>
      </c>
      <c r="P222" s="162"/>
      <c r="Q222" s="263">
        <f t="shared" si="119"/>
        <v>4.027777777777776E-2</v>
      </c>
    </row>
    <row r="223" spans="1:17" x14ac:dyDescent="0.35">
      <c r="A223" s="34">
        <v>43219</v>
      </c>
      <c r="C223" s="40">
        <v>22</v>
      </c>
      <c r="D223" s="7">
        <v>0.58472222222222225</v>
      </c>
      <c r="E223" s="7">
        <v>0.60416666666666663</v>
      </c>
      <c r="G223" s="2">
        <v>0</v>
      </c>
      <c r="H223" s="3" t="s">
        <v>209</v>
      </c>
      <c r="I223" s="74">
        <v>1</v>
      </c>
      <c r="J223" s="74">
        <f t="shared" si="115"/>
        <v>0</v>
      </c>
      <c r="K223" s="75">
        <f t="shared" si="116"/>
        <v>27.999999999999901</v>
      </c>
      <c r="L223" s="7">
        <f t="shared" si="117"/>
        <v>1.9444444444444375E-2</v>
      </c>
      <c r="M223" s="22">
        <f t="shared" si="118"/>
        <v>1.9444444444444375E-2</v>
      </c>
      <c r="N223" s="14">
        <v>5822.2</v>
      </c>
      <c r="O223" s="310">
        <v>63.5</v>
      </c>
      <c r="P223" s="458" t="s">
        <v>211</v>
      </c>
      <c r="Q223" s="263">
        <f t="shared" si="119"/>
        <v>2.2916666666666599E-2</v>
      </c>
    </row>
    <row r="224" spans="1:17" x14ac:dyDescent="0.35">
      <c r="A224" s="272">
        <v>43219</v>
      </c>
      <c r="C224" s="40">
        <v>22</v>
      </c>
      <c r="D224" s="7">
        <v>0.67708333333333337</v>
      </c>
      <c r="E224" s="7">
        <v>0.71458333333333324</v>
      </c>
      <c r="G224" s="2">
        <v>1</v>
      </c>
      <c r="I224" s="74">
        <v>1</v>
      </c>
      <c r="J224" s="74">
        <f t="shared" si="115"/>
        <v>0</v>
      </c>
      <c r="K224" s="75">
        <f t="shared" si="116"/>
        <v>53.999999999999808</v>
      </c>
      <c r="L224" s="7">
        <f t="shared" si="117"/>
        <v>3.7499999999999867E-2</v>
      </c>
      <c r="M224" s="22">
        <f t="shared" si="118"/>
        <v>3.7499999999999867E-2</v>
      </c>
      <c r="N224" s="14">
        <v>5823.1</v>
      </c>
      <c r="O224" s="310">
        <v>65.5</v>
      </c>
      <c r="P224" s="267"/>
      <c r="Q224" s="263">
        <f t="shared" si="119"/>
        <v>4.0972222222222091E-2</v>
      </c>
    </row>
    <row r="225" spans="1:17" ht="13.15" thickBot="1" x14ac:dyDescent="0.4">
      <c r="A225" s="38">
        <v>43220</v>
      </c>
      <c r="B225" s="24"/>
      <c r="C225" s="41">
        <v>29</v>
      </c>
      <c r="D225" s="9">
        <v>0.53263888888888888</v>
      </c>
      <c r="E225" s="9">
        <v>0.57291666666666663</v>
      </c>
      <c r="F225" s="25"/>
      <c r="G225" s="269">
        <v>1</v>
      </c>
      <c r="H225" s="28"/>
      <c r="I225" s="76">
        <v>1</v>
      </c>
      <c r="J225" s="76">
        <f t="shared" si="115"/>
        <v>0</v>
      </c>
      <c r="K225" s="77">
        <f t="shared" si="116"/>
        <v>57.999999999999957</v>
      </c>
      <c r="L225" s="9">
        <f t="shared" si="117"/>
        <v>4.0277777777777746E-2</v>
      </c>
      <c r="M225" s="26">
        <f t="shared" si="118"/>
        <v>4.0277777777777746E-2</v>
      </c>
      <c r="N225" s="27">
        <v>5824.1</v>
      </c>
      <c r="O225" s="311">
        <v>66.8</v>
      </c>
      <c r="P225" s="24"/>
      <c r="Q225" s="263">
        <f t="shared" si="119"/>
        <v>4.3749999999999969E-2</v>
      </c>
    </row>
    <row r="226" spans="1:17" ht="13.5" hidden="1" thickBot="1" x14ac:dyDescent="0.45">
      <c r="A226" s="6"/>
      <c r="B226" s="6"/>
      <c r="C226" s="42"/>
      <c r="D226" s="6"/>
      <c r="E226" s="6"/>
      <c r="F226" s="6"/>
      <c r="G226" s="266"/>
      <c r="H226" s="12"/>
      <c r="I226" s="78"/>
      <c r="J226" s="79">
        <f>SUM(J218:J225)</f>
        <v>14826.4</v>
      </c>
      <c r="K226" s="80">
        <f>SUM(K218:K225)</f>
        <v>323.9999999999996</v>
      </c>
      <c r="L226" s="10">
        <f>SUM(L219:L225)</f>
        <v>0.24999999999999972</v>
      </c>
      <c r="M226" s="10"/>
      <c r="N226" s="13">
        <f>MAX(N219:N225)</f>
        <v>5824.1</v>
      </c>
      <c r="O226" s="312">
        <f>MAX(O219:O225)</f>
        <v>66.8</v>
      </c>
      <c r="P226" s="6"/>
      <c r="Q226" s="162">
        <f>IF(L226=0,0,L226+$Q$2)</f>
        <v>0.25347222222222193</v>
      </c>
    </row>
    <row r="227" spans="1:17" ht="13.5" thickBot="1" x14ac:dyDescent="0.45">
      <c r="A227" s="87" t="s">
        <v>16</v>
      </c>
      <c r="B227" s="89"/>
      <c r="C227" s="90"/>
      <c r="D227" s="89"/>
      <c r="E227" s="89"/>
      <c r="F227" s="91"/>
      <c r="G227" s="81"/>
      <c r="H227" s="92"/>
      <c r="I227" s="81">
        <f>SUM(I218:I225)</f>
        <v>20287</v>
      </c>
      <c r="J227" s="81">
        <f>ROUNDDOWN(K226/60,0)+J226</f>
        <v>14831.4</v>
      </c>
      <c r="K227" s="82">
        <f>ROUND(K226-(ROUNDDOWN(K226/60,0)*60),0)</f>
        <v>24</v>
      </c>
      <c r="L227" s="271">
        <f>L226</f>
        <v>0.24999999999999972</v>
      </c>
      <c r="M227" s="93"/>
      <c r="N227" s="94">
        <f>N226-N217</f>
        <v>6</v>
      </c>
      <c r="O227" s="94">
        <f>IF(OR(O218="N/A",O218="N / A", O218="N/ A",O218="N /A"),"N / A", O226-O217)</f>
        <v>7.3999999999999986</v>
      </c>
      <c r="P227" s="371"/>
      <c r="Q227" s="162">
        <f>SUM(Q219:Q225)</f>
        <v>0.27430555555555525</v>
      </c>
    </row>
    <row r="228" spans="1:17" x14ac:dyDescent="0.35">
      <c r="A228" s="34">
        <v>43221</v>
      </c>
      <c r="C228" s="40">
        <v>6</v>
      </c>
      <c r="D228" s="7">
        <v>0.49444444444444446</v>
      </c>
      <c r="E228" s="7">
        <v>0.53888888888888886</v>
      </c>
      <c r="G228" s="2">
        <v>0</v>
      </c>
      <c r="H228" s="3" t="s">
        <v>230</v>
      </c>
      <c r="I228" s="74">
        <v>1</v>
      </c>
      <c r="J228" s="74">
        <f t="shared" ref="J228:J234" si="120">ROUNDDOWN(M228*24,0)</f>
        <v>1</v>
      </c>
      <c r="K228" s="75">
        <f t="shared" ref="K228:K234" si="121">(M228*24-J228)*60</f>
        <v>3.9999999999999325</v>
      </c>
      <c r="L228" s="7">
        <f t="shared" ref="L228:L234" si="122">E228-D228</f>
        <v>4.4444444444444398E-2</v>
      </c>
      <c r="M228" s="22">
        <f t="shared" ref="M228:M234" si="123">L228</f>
        <v>4.4444444444444398E-2</v>
      </c>
      <c r="N228" s="14">
        <v>5825.1</v>
      </c>
      <c r="O228" s="310">
        <v>67.900000000000006</v>
      </c>
      <c r="P228" s="267"/>
      <c r="Q228" s="263">
        <f t="shared" ref="Q228:Q234" si="124">IF(L228=0,0,L228+$Q$2)</f>
        <v>4.7916666666666621E-2</v>
      </c>
    </row>
    <row r="229" spans="1:17" x14ac:dyDescent="0.35">
      <c r="A229" s="34">
        <v>43221</v>
      </c>
      <c r="C229" s="40">
        <v>6</v>
      </c>
      <c r="D229" s="7">
        <v>0.62986111111111109</v>
      </c>
      <c r="E229" s="7">
        <v>0.68402777777777779</v>
      </c>
      <c r="G229" s="2">
        <v>1</v>
      </c>
      <c r="I229" s="74">
        <v>1</v>
      </c>
      <c r="J229" s="74">
        <f t="shared" si="120"/>
        <v>1</v>
      </c>
      <c r="K229" s="75">
        <f t="shared" si="121"/>
        <v>18.000000000000043</v>
      </c>
      <c r="L229" s="7">
        <f t="shared" si="122"/>
        <v>5.4166666666666696E-2</v>
      </c>
      <c r="M229" s="22">
        <f t="shared" si="123"/>
        <v>5.4166666666666696E-2</v>
      </c>
      <c r="N229" s="14">
        <v>5826.3</v>
      </c>
      <c r="O229" s="310">
        <v>69.099999999999994</v>
      </c>
      <c r="P229" s="267"/>
      <c r="Q229" s="263">
        <f t="shared" si="124"/>
        <v>5.763888888888892E-2</v>
      </c>
    </row>
    <row r="230" spans="1:17" x14ac:dyDescent="0.35">
      <c r="A230" s="34">
        <v>43225</v>
      </c>
      <c r="C230" s="40">
        <v>2</v>
      </c>
      <c r="D230" s="7">
        <v>0.36874999999999997</v>
      </c>
      <c r="E230" s="7">
        <v>0.40208333333333335</v>
      </c>
      <c r="G230" s="2">
        <v>0</v>
      </c>
      <c r="H230" s="3" t="s">
        <v>173</v>
      </c>
      <c r="I230" s="74">
        <v>1</v>
      </c>
      <c r="J230" s="74">
        <f t="shared" si="120"/>
        <v>0</v>
      </c>
      <c r="K230" s="75">
        <f t="shared" si="121"/>
        <v>48.000000000000071</v>
      </c>
      <c r="L230" s="7">
        <f t="shared" si="122"/>
        <v>3.3333333333333381E-2</v>
      </c>
      <c r="M230" s="22">
        <f t="shared" si="123"/>
        <v>3.3333333333333381E-2</v>
      </c>
      <c r="N230" s="14">
        <v>5827.2</v>
      </c>
      <c r="O230" s="310">
        <v>70.099999999999994</v>
      </c>
      <c r="P230" s="267"/>
      <c r="Q230" s="263">
        <f t="shared" si="124"/>
        <v>3.6805555555555605E-2</v>
      </c>
    </row>
    <row r="231" spans="1:17" x14ac:dyDescent="0.35">
      <c r="A231" s="34">
        <v>43225</v>
      </c>
      <c r="C231" s="40">
        <v>2</v>
      </c>
      <c r="D231" s="7">
        <v>0.67222222222222217</v>
      </c>
      <c r="E231" s="7">
        <v>0.73611111111111116</v>
      </c>
      <c r="G231" s="2">
        <v>1</v>
      </c>
      <c r="I231" s="74">
        <v>1</v>
      </c>
      <c r="J231" s="74">
        <f t="shared" si="120"/>
        <v>1</v>
      </c>
      <c r="K231" s="75">
        <f t="shared" si="121"/>
        <v>32.000000000000156</v>
      </c>
      <c r="L231" s="7">
        <f t="shared" si="122"/>
        <v>6.3888888888888995E-2</v>
      </c>
      <c r="M231" s="22">
        <f t="shared" si="123"/>
        <v>6.3888888888888995E-2</v>
      </c>
      <c r="N231" s="14">
        <v>5828.7</v>
      </c>
      <c r="O231" s="310">
        <v>71.8</v>
      </c>
      <c r="P231" s="267"/>
      <c r="Q231" s="263">
        <f t="shared" si="124"/>
        <v>6.7361111111111219E-2</v>
      </c>
    </row>
    <row r="232" spans="1:17" x14ac:dyDescent="0.35">
      <c r="A232" s="34">
        <v>43232</v>
      </c>
      <c r="C232" s="40">
        <v>18</v>
      </c>
      <c r="D232" s="7">
        <v>0.6743055555555556</v>
      </c>
      <c r="E232" s="7">
        <v>0.72638888888888886</v>
      </c>
      <c r="G232" s="2">
        <v>1</v>
      </c>
      <c r="I232" s="74">
        <v>1</v>
      </c>
      <c r="J232" s="74">
        <f t="shared" si="120"/>
        <v>1</v>
      </c>
      <c r="K232" s="75">
        <f t="shared" si="121"/>
        <v>14.999999999999893</v>
      </c>
      <c r="L232" s="7">
        <f t="shared" si="122"/>
        <v>5.2083333333333259E-2</v>
      </c>
      <c r="M232" s="22">
        <f t="shared" si="123"/>
        <v>5.2083333333333259E-2</v>
      </c>
      <c r="N232" s="14">
        <v>5830</v>
      </c>
      <c r="O232" s="310">
        <v>73.400000000000006</v>
      </c>
      <c r="P232" s="267"/>
      <c r="Q232" s="263">
        <f t="shared" si="124"/>
        <v>5.5555555555555483E-2</v>
      </c>
    </row>
    <row r="233" spans="1:17" x14ac:dyDescent="0.35">
      <c r="A233" s="272">
        <v>43245</v>
      </c>
      <c r="C233" s="40">
        <v>15</v>
      </c>
      <c r="D233" s="7">
        <v>0.3576388888888889</v>
      </c>
      <c r="E233" s="7">
        <v>0.36805555555555558</v>
      </c>
      <c r="G233" s="2">
        <v>0</v>
      </c>
      <c r="H233" s="3" t="s">
        <v>110</v>
      </c>
      <c r="I233" s="74">
        <v>1</v>
      </c>
      <c r="J233" s="74">
        <f t="shared" si="120"/>
        <v>0</v>
      </c>
      <c r="K233" s="75">
        <f t="shared" si="121"/>
        <v>15.000000000000027</v>
      </c>
      <c r="L233" s="7">
        <f t="shared" si="122"/>
        <v>1.0416666666666685E-2</v>
      </c>
      <c r="M233" s="22">
        <f t="shared" si="123"/>
        <v>1.0416666666666685E-2</v>
      </c>
      <c r="N233" s="14">
        <v>5830.3</v>
      </c>
      <c r="O233" s="310"/>
      <c r="P233" s="267"/>
      <c r="Q233" s="263">
        <f t="shared" si="124"/>
        <v>1.3888888888888907E-2</v>
      </c>
    </row>
    <row r="234" spans="1:17" ht="13.15" thickBot="1" x14ac:dyDescent="0.4">
      <c r="A234" s="38">
        <v>43245</v>
      </c>
      <c r="B234" s="24"/>
      <c r="C234" s="41">
        <v>15</v>
      </c>
      <c r="D234" s="9">
        <v>0.40972222222222227</v>
      </c>
      <c r="E234" s="9">
        <v>0.45347222222222222</v>
      </c>
      <c r="F234" s="25"/>
      <c r="G234" s="269">
        <v>1</v>
      </c>
      <c r="H234" s="28"/>
      <c r="I234" s="76">
        <v>1</v>
      </c>
      <c r="J234" s="76">
        <f t="shared" si="120"/>
        <v>1</v>
      </c>
      <c r="K234" s="77">
        <f t="shared" si="121"/>
        <v>2.9999999999999361</v>
      </c>
      <c r="L234" s="9">
        <f t="shared" si="122"/>
        <v>4.3749999999999956E-2</v>
      </c>
      <c r="M234" s="26">
        <f t="shared" si="123"/>
        <v>4.3749999999999956E-2</v>
      </c>
      <c r="N234" s="27">
        <v>5831.3</v>
      </c>
      <c r="O234" s="311">
        <v>5831</v>
      </c>
      <c r="P234" s="24"/>
      <c r="Q234" s="263">
        <f t="shared" si="124"/>
        <v>4.7222222222222179E-2</v>
      </c>
    </row>
    <row r="235" spans="1:17" ht="13.5" hidden="1" thickBot="1" x14ac:dyDescent="0.45">
      <c r="A235" s="6"/>
      <c r="B235" s="6"/>
      <c r="C235" s="42"/>
      <c r="D235" s="6"/>
      <c r="E235" s="6"/>
      <c r="F235" s="6"/>
      <c r="G235" s="266"/>
      <c r="H235" s="12"/>
      <c r="I235" s="78"/>
      <c r="J235" s="79">
        <f>SUM(J227:J234)</f>
        <v>14836.4</v>
      </c>
      <c r="K235" s="80">
        <f>SUM(K227:K234)</f>
        <v>159.00000000000006</v>
      </c>
      <c r="L235" s="10">
        <f>SUM(L228:L234)</f>
        <v>0.30208333333333337</v>
      </c>
      <c r="M235" s="10"/>
      <c r="N235" s="13">
        <f>MAX(N228:N234)</f>
        <v>5831.3</v>
      </c>
      <c r="O235" s="312">
        <f>MAX(O228:O234)</f>
        <v>5831</v>
      </c>
      <c r="P235" s="6"/>
      <c r="Q235" s="162">
        <f>IF(L235=0,0,L235+$Q$2)</f>
        <v>0.30555555555555558</v>
      </c>
    </row>
    <row r="236" spans="1:17" ht="13.5" thickBot="1" x14ac:dyDescent="0.45">
      <c r="A236" s="87" t="s">
        <v>16</v>
      </c>
      <c r="B236" s="89"/>
      <c r="C236" s="90"/>
      <c r="D236" s="89"/>
      <c r="E236" s="89"/>
      <c r="F236" s="91"/>
      <c r="G236" s="81"/>
      <c r="H236" s="92"/>
      <c r="I236" s="81">
        <f>SUM(I227:I234)</f>
        <v>20294</v>
      </c>
      <c r="J236" s="81">
        <f>ROUNDDOWN(K235/60,0)+J235</f>
        <v>14838.4</v>
      </c>
      <c r="K236" s="82">
        <f>ROUND(K235-(ROUNDDOWN(K235/60,0)*60),0)</f>
        <v>39</v>
      </c>
      <c r="L236" s="271">
        <f>L235</f>
        <v>0.30208333333333337</v>
      </c>
      <c r="M236" s="93"/>
      <c r="N236" s="94">
        <f>N235-N226</f>
        <v>7.1999999999998181</v>
      </c>
      <c r="O236" s="94">
        <f>IF(OR(O227="N/A",O227="N / A", O227="N/ A",O227="N /A"),"N / A", O235-O226)</f>
        <v>5764.2</v>
      </c>
      <c r="P236" s="371"/>
      <c r="Q236" s="162">
        <f>SUM(Q228:Q234)</f>
        <v>0.3263888888888889</v>
      </c>
    </row>
    <row r="237" spans="1:17" x14ac:dyDescent="0.35">
      <c r="A237" s="34">
        <v>43246</v>
      </c>
      <c r="C237" s="40">
        <v>6</v>
      </c>
      <c r="D237" s="7">
        <v>0.5</v>
      </c>
      <c r="E237" s="7">
        <v>0.55833333333333335</v>
      </c>
      <c r="G237" s="2">
        <v>0</v>
      </c>
      <c r="H237" s="3" t="s">
        <v>181</v>
      </c>
      <c r="I237" s="74">
        <v>1</v>
      </c>
      <c r="J237" s="74">
        <f t="shared" ref="J237:J243" si="125">ROUNDDOWN(M237*24,0)</f>
        <v>1</v>
      </c>
      <c r="K237" s="75">
        <f t="shared" ref="K237:K243" si="126">(M237*24-J237)*60</f>
        <v>24.000000000000021</v>
      </c>
      <c r="L237" s="7">
        <f t="shared" ref="L237:L243" si="127">E237-D237</f>
        <v>5.8333333333333348E-2</v>
      </c>
      <c r="M237" s="22">
        <f t="shared" ref="M237:M243" si="128">L237</f>
        <v>5.8333333333333348E-2</v>
      </c>
      <c r="O237" s="310"/>
      <c r="P237" s="267"/>
      <c r="Q237" s="263">
        <f t="shared" ref="Q237:Q243" si="129">IF(L237=0,0,L237+$Q$2)</f>
        <v>6.1805555555555572E-2</v>
      </c>
    </row>
    <row r="238" spans="1:17" x14ac:dyDescent="0.35">
      <c r="A238" s="34">
        <v>43246</v>
      </c>
      <c r="C238" s="40">
        <v>6</v>
      </c>
      <c r="D238" s="7">
        <v>0.62083333333333335</v>
      </c>
      <c r="E238" s="7">
        <v>0.65277777777777779</v>
      </c>
      <c r="G238" s="2">
        <v>1</v>
      </c>
      <c r="I238" s="74">
        <v>1</v>
      </c>
      <c r="J238" s="74">
        <f t="shared" si="125"/>
        <v>0</v>
      </c>
      <c r="K238" s="75">
        <f t="shared" si="126"/>
        <v>46</v>
      </c>
      <c r="L238" s="7">
        <f t="shared" si="127"/>
        <v>3.1944444444444442E-2</v>
      </c>
      <c r="M238" s="22">
        <f t="shared" si="128"/>
        <v>3.1944444444444442E-2</v>
      </c>
      <c r="N238" s="14">
        <v>5833.4</v>
      </c>
      <c r="O238" s="310"/>
      <c r="P238" s="267"/>
      <c r="Q238" s="263">
        <f t="shared" si="129"/>
        <v>3.5416666666666666E-2</v>
      </c>
    </row>
    <row r="239" spans="1:17" x14ac:dyDescent="0.35">
      <c r="A239" s="34">
        <v>43248</v>
      </c>
      <c r="C239" s="40">
        <v>16</v>
      </c>
      <c r="D239" s="154"/>
      <c r="E239" s="154"/>
      <c r="G239" s="2">
        <v>0</v>
      </c>
      <c r="I239" s="74">
        <v>0</v>
      </c>
      <c r="J239" s="74">
        <f t="shared" si="125"/>
        <v>0</v>
      </c>
      <c r="K239" s="75">
        <f t="shared" si="126"/>
        <v>0</v>
      </c>
      <c r="L239" s="7">
        <f t="shared" si="127"/>
        <v>0</v>
      </c>
      <c r="M239" s="22">
        <f t="shared" si="128"/>
        <v>0</v>
      </c>
      <c r="O239" s="310"/>
      <c r="P239" s="267" t="s">
        <v>248</v>
      </c>
      <c r="Q239" s="263">
        <f t="shared" si="129"/>
        <v>0</v>
      </c>
    </row>
    <row r="240" spans="1:17" x14ac:dyDescent="0.35">
      <c r="A240" s="34">
        <v>43249</v>
      </c>
      <c r="C240" s="40">
        <v>10</v>
      </c>
      <c r="D240" s="7">
        <v>0.35000000000000003</v>
      </c>
      <c r="E240" s="7">
        <v>0.36944444444444446</v>
      </c>
      <c r="G240" s="2">
        <v>1</v>
      </c>
      <c r="I240" s="74">
        <v>1</v>
      </c>
      <c r="J240" s="74">
        <f t="shared" si="125"/>
        <v>0</v>
      </c>
      <c r="K240" s="75">
        <f t="shared" si="126"/>
        <v>27.999999999999979</v>
      </c>
      <c r="L240" s="7">
        <f t="shared" si="127"/>
        <v>1.9444444444444431E-2</v>
      </c>
      <c r="M240" s="22">
        <f t="shared" si="128"/>
        <v>1.9444444444444431E-2</v>
      </c>
      <c r="O240" s="310"/>
      <c r="P240" s="267"/>
      <c r="Q240" s="263">
        <f t="shared" si="129"/>
        <v>2.2916666666666655E-2</v>
      </c>
    </row>
    <row r="241" spans="1:18" x14ac:dyDescent="0.35">
      <c r="A241" s="34">
        <v>43249</v>
      </c>
      <c r="C241" s="40">
        <v>10</v>
      </c>
      <c r="D241" s="154"/>
      <c r="E241" s="154"/>
      <c r="G241" s="2">
        <v>0</v>
      </c>
      <c r="I241" s="74">
        <v>0</v>
      </c>
      <c r="J241" s="74">
        <f t="shared" si="125"/>
        <v>0</v>
      </c>
      <c r="K241" s="75">
        <f t="shared" si="126"/>
        <v>0</v>
      </c>
      <c r="L241" s="7">
        <f t="shared" si="127"/>
        <v>0</v>
      </c>
      <c r="M241" s="22">
        <f t="shared" si="128"/>
        <v>0</v>
      </c>
      <c r="N241" s="14">
        <v>5834</v>
      </c>
      <c r="O241" s="310">
        <v>78.3</v>
      </c>
      <c r="P241" s="267" t="s">
        <v>250</v>
      </c>
      <c r="Q241" s="263">
        <f t="shared" si="129"/>
        <v>0</v>
      </c>
    </row>
    <row r="242" spans="1:18" x14ac:dyDescent="0.35">
      <c r="A242" s="272">
        <v>43255</v>
      </c>
      <c r="C242" s="40">
        <v>0</v>
      </c>
      <c r="D242" s="154"/>
      <c r="E242" s="154"/>
      <c r="G242" s="2">
        <v>0</v>
      </c>
      <c r="I242" s="74">
        <v>0</v>
      </c>
      <c r="J242" s="74">
        <f t="shared" si="125"/>
        <v>0</v>
      </c>
      <c r="K242" s="75">
        <f t="shared" si="126"/>
        <v>0</v>
      </c>
      <c r="L242" s="7">
        <f t="shared" si="127"/>
        <v>0</v>
      </c>
      <c r="M242" s="22">
        <f t="shared" si="128"/>
        <v>0</v>
      </c>
      <c r="N242" s="14">
        <v>5834.1</v>
      </c>
      <c r="O242" s="310">
        <v>78.599999999999994</v>
      </c>
      <c r="P242" s="267" t="s">
        <v>249</v>
      </c>
      <c r="Q242" s="263">
        <f t="shared" si="129"/>
        <v>0</v>
      </c>
    </row>
    <row r="243" spans="1:18" ht="13.15" thickBot="1" x14ac:dyDescent="0.4">
      <c r="A243" s="38">
        <v>43256</v>
      </c>
      <c r="B243" s="24"/>
      <c r="C243" s="41">
        <v>16</v>
      </c>
      <c r="D243" s="9">
        <v>0.30486111111111108</v>
      </c>
      <c r="E243" s="9">
        <v>0.33124999999999999</v>
      </c>
      <c r="F243" s="25"/>
      <c r="G243" s="269">
        <v>1</v>
      </c>
      <c r="H243" s="28" t="s">
        <v>252</v>
      </c>
      <c r="I243" s="76">
        <v>2</v>
      </c>
      <c r="J243" s="76">
        <f t="shared" si="125"/>
        <v>0</v>
      </c>
      <c r="K243" s="77">
        <f t="shared" si="126"/>
        <v>38.000000000000028</v>
      </c>
      <c r="L243" s="9">
        <f t="shared" si="127"/>
        <v>2.6388888888888906E-2</v>
      </c>
      <c r="M243" s="26">
        <f t="shared" si="128"/>
        <v>2.6388888888888906E-2</v>
      </c>
      <c r="N243" s="27">
        <v>5834.8</v>
      </c>
      <c r="O243" s="311">
        <v>79.5</v>
      </c>
      <c r="P243" s="24"/>
      <c r="Q243" s="263">
        <f t="shared" si="129"/>
        <v>2.986111111111113E-2</v>
      </c>
    </row>
    <row r="244" spans="1:18" ht="13.5" hidden="1" thickBot="1" x14ac:dyDescent="0.45">
      <c r="A244" s="6"/>
      <c r="B244" s="6"/>
      <c r="C244" s="42"/>
      <c r="D244" s="6"/>
      <c r="E244" s="6"/>
      <c r="F244" s="6"/>
      <c r="G244" s="266"/>
      <c r="H244" s="12"/>
      <c r="I244" s="78"/>
      <c r="J244" s="79">
        <f>SUM(J236:J243)</f>
        <v>14839.4</v>
      </c>
      <c r="K244" s="80">
        <f>SUM(K236:K243)</f>
        <v>175.00000000000003</v>
      </c>
      <c r="L244" s="10">
        <f>SUM(L237:L243)</f>
        <v>0.13611111111111113</v>
      </c>
      <c r="M244" s="10"/>
      <c r="N244" s="13">
        <f>MAX(N237:N243)</f>
        <v>5834.8</v>
      </c>
      <c r="O244" s="312">
        <f>MAX(O237:O243)</f>
        <v>79.5</v>
      </c>
      <c r="P244" s="6"/>
      <c r="Q244" s="162">
        <f>IF(L244=0,0,L244+$Q$2)</f>
        <v>0.13958333333333334</v>
      </c>
    </row>
    <row r="245" spans="1:18" ht="13.5" thickBot="1" x14ac:dyDescent="0.45">
      <c r="A245" s="87" t="s">
        <v>16</v>
      </c>
      <c r="B245" s="89"/>
      <c r="C245" s="90"/>
      <c r="D245" s="89"/>
      <c r="E245" s="89"/>
      <c r="F245" s="91"/>
      <c r="G245" s="81"/>
      <c r="H245" s="92"/>
      <c r="I245" s="81">
        <f>SUM(I236:I243)</f>
        <v>20299</v>
      </c>
      <c r="J245" s="81">
        <f>ROUNDDOWN(K244/60,0)+J244</f>
        <v>14841.4</v>
      </c>
      <c r="K245" s="82">
        <f>ROUND(K244-(ROUNDDOWN(K244/60,0)*60),0)</f>
        <v>55</v>
      </c>
      <c r="L245" s="271">
        <f>L244</f>
        <v>0.13611111111111113</v>
      </c>
      <c r="M245" s="93"/>
      <c r="N245" s="94">
        <f>N244-N235</f>
        <v>3.5</v>
      </c>
      <c r="O245" s="94">
        <f>IF(OR(O236="N/A",O236="N / A", O236="N/ A",O236="N /A"),"N / A", O244-O235)</f>
        <v>-5751.5</v>
      </c>
      <c r="P245" s="371"/>
      <c r="Q245" s="162">
        <f>SUM(Q237:Q243)</f>
        <v>0.15000000000000002</v>
      </c>
    </row>
    <row r="246" spans="1:18" x14ac:dyDescent="0.35">
      <c r="A246" s="34">
        <v>43256</v>
      </c>
      <c r="C246" s="40">
        <v>15</v>
      </c>
      <c r="D246" s="7">
        <v>0.35347222222222219</v>
      </c>
      <c r="E246" s="7">
        <v>0.375</v>
      </c>
      <c r="G246" s="2">
        <v>1</v>
      </c>
      <c r="H246" s="3" t="s">
        <v>252</v>
      </c>
      <c r="I246" s="74">
        <v>2</v>
      </c>
      <c r="J246" s="74">
        <f t="shared" ref="J246:J252" si="130">ROUNDDOWN(M246*24,0)</f>
        <v>0</v>
      </c>
      <c r="K246" s="75">
        <f t="shared" ref="K246:K252" si="131">(M246*24-J246)*60</f>
        <v>31.00000000000005</v>
      </c>
      <c r="L246" s="7">
        <f t="shared" ref="L246:L252" si="132">E246-D246</f>
        <v>2.1527777777777812E-2</v>
      </c>
      <c r="M246" s="22">
        <f t="shared" ref="M246:M252" si="133">L246</f>
        <v>2.1527777777777812E-2</v>
      </c>
      <c r="N246" s="14">
        <v>5835.3</v>
      </c>
      <c r="O246" s="310">
        <v>80.099999999999994</v>
      </c>
      <c r="P246" s="267"/>
      <c r="Q246" s="263">
        <f t="shared" ref="Q246:Q252" si="134">IF(L246=0,0,L246+$Q$2)</f>
        <v>2.5000000000000036E-2</v>
      </c>
    </row>
    <row r="247" spans="1:18" x14ac:dyDescent="0.35">
      <c r="A247" s="34">
        <v>43256</v>
      </c>
      <c r="C247" s="40">
        <v>23</v>
      </c>
      <c r="D247" s="7">
        <v>0.69305555555555554</v>
      </c>
      <c r="E247" s="7">
        <v>0.7090277777777777</v>
      </c>
      <c r="G247" s="2">
        <v>1</v>
      </c>
      <c r="I247" s="74">
        <v>1</v>
      </c>
      <c r="J247" s="74">
        <f t="shared" si="130"/>
        <v>0</v>
      </c>
      <c r="K247" s="75">
        <f t="shared" si="131"/>
        <v>22.999999999999918</v>
      </c>
      <c r="L247" s="7">
        <f t="shared" si="132"/>
        <v>1.5972222222222165E-2</v>
      </c>
      <c r="M247" s="22">
        <f t="shared" si="133"/>
        <v>1.5972222222222165E-2</v>
      </c>
      <c r="N247" s="14">
        <v>5835.7</v>
      </c>
      <c r="O247" s="310">
        <v>80.599999999999994</v>
      </c>
      <c r="P247" s="267"/>
      <c r="Q247" s="263">
        <v>2.0833333333333332E-2</v>
      </c>
    </row>
    <row r="248" spans="1:18" x14ac:dyDescent="0.35">
      <c r="A248" s="34">
        <v>43256</v>
      </c>
      <c r="C248" s="40">
        <v>23</v>
      </c>
      <c r="D248" s="7">
        <v>0.71527777777777779</v>
      </c>
      <c r="E248" s="7">
        <v>0.72152777777777777</v>
      </c>
      <c r="G248" s="2">
        <v>1</v>
      </c>
      <c r="I248" s="74">
        <v>1</v>
      </c>
      <c r="J248" s="74">
        <f t="shared" si="130"/>
        <v>0</v>
      </c>
      <c r="K248" s="75">
        <f t="shared" si="131"/>
        <v>8.999999999999968</v>
      </c>
      <c r="L248" s="7">
        <f t="shared" si="132"/>
        <v>6.2499999999999778E-3</v>
      </c>
      <c r="M248" s="22">
        <f t="shared" si="133"/>
        <v>6.2499999999999778E-3</v>
      </c>
      <c r="N248" s="14">
        <v>5835.8</v>
      </c>
      <c r="O248" s="310">
        <v>80.900000000000006</v>
      </c>
      <c r="P248" s="267"/>
      <c r="Q248" s="263">
        <v>6.2499999999999995E-3</v>
      </c>
    </row>
    <row r="249" spans="1:18" x14ac:dyDescent="0.35">
      <c r="A249" s="34">
        <v>43256</v>
      </c>
      <c r="C249" s="40">
        <v>23</v>
      </c>
      <c r="D249" s="7">
        <v>0.72152777777777777</v>
      </c>
      <c r="E249" s="7">
        <v>0.72916666666666663</v>
      </c>
      <c r="G249" s="2">
        <v>1</v>
      </c>
      <c r="I249" s="74">
        <v>1</v>
      </c>
      <c r="J249" s="74">
        <f t="shared" si="130"/>
        <v>0</v>
      </c>
      <c r="K249" s="75">
        <f t="shared" si="131"/>
        <v>10.999999999999961</v>
      </c>
      <c r="L249" s="7">
        <f t="shared" si="132"/>
        <v>7.6388888888888618E-3</v>
      </c>
      <c r="M249" s="22">
        <f t="shared" si="133"/>
        <v>7.6388888888888618E-3</v>
      </c>
      <c r="N249" s="14">
        <v>5836</v>
      </c>
      <c r="O249" s="310">
        <v>81.2</v>
      </c>
      <c r="P249" s="267"/>
      <c r="Q249" s="263">
        <f t="shared" si="134"/>
        <v>1.1111111111111084E-2</v>
      </c>
    </row>
    <row r="250" spans="1:18" x14ac:dyDescent="0.35">
      <c r="A250" s="34">
        <v>43262</v>
      </c>
      <c r="C250" s="40">
        <v>29</v>
      </c>
      <c r="D250" s="7">
        <v>0.3430555555555555</v>
      </c>
      <c r="E250" s="7">
        <v>0.37986111111111115</v>
      </c>
      <c r="G250" s="2">
        <v>3</v>
      </c>
      <c r="I250" s="74">
        <v>3</v>
      </c>
      <c r="J250" s="74">
        <f t="shared" si="130"/>
        <v>0</v>
      </c>
      <c r="K250" s="75">
        <f t="shared" si="131"/>
        <v>53.000000000000128</v>
      </c>
      <c r="L250" s="7">
        <f t="shared" si="132"/>
        <v>3.6805555555555647E-2</v>
      </c>
      <c r="M250" s="22">
        <f t="shared" si="133"/>
        <v>3.6805555555555647E-2</v>
      </c>
      <c r="N250" s="14">
        <v>5836.9</v>
      </c>
      <c r="O250" s="310">
        <v>82.3</v>
      </c>
      <c r="P250" s="267"/>
      <c r="Q250" s="263">
        <f t="shared" si="134"/>
        <v>4.0277777777777871E-2</v>
      </c>
    </row>
    <row r="251" spans="1:18" x14ac:dyDescent="0.35">
      <c r="A251" s="272">
        <v>43267</v>
      </c>
      <c r="C251" s="40">
        <v>30</v>
      </c>
      <c r="D251" s="7">
        <v>0.53333333333333333</v>
      </c>
      <c r="E251" s="7">
        <v>0.54722222222222217</v>
      </c>
      <c r="G251" s="2">
        <v>3</v>
      </c>
      <c r="I251" s="74">
        <v>3</v>
      </c>
      <c r="J251" s="74">
        <f t="shared" si="130"/>
        <v>0</v>
      </c>
      <c r="K251" s="75">
        <f t="shared" si="131"/>
        <v>19.999999999999929</v>
      </c>
      <c r="L251" s="7">
        <f t="shared" si="132"/>
        <v>1.388888888888884E-2</v>
      </c>
      <c r="M251" s="22">
        <f t="shared" si="133"/>
        <v>1.388888888888884E-2</v>
      </c>
      <c r="N251" s="14">
        <v>5837.2</v>
      </c>
      <c r="O251" s="310">
        <v>82.9</v>
      </c>
      <c r="P251" s="267"/>
      <c r="Q251" s="263">
        <f t="shared" si="134"/>
        <v>1.7361111111111063E-2</v>
      </c>
    </row>
    <row r="252" spans="1:18" ht="13.15" thickBot="1" x14ac:dyDescent="0.4">
      <c r="A252" s="38">
        <v>43267</v>
      </c>
      <c r="B252" s="24"/>
      <c r="C252" s="41">
        <v>30</v>
      </c>
      <c r="D252" s="9">
        <v>0.56736111111111109</v>
      </c>
      <c r="E252" s="9">
        <v>0.67708333333333337</v>
      </c>
      <c r="F252" s="25"/>
      <c r="G252" s="269">
        <v>0</v>
      </c>
      <c r="H252" s="28" t="s">
        <v>189</v>
      </c>
      <c r="I252" s="76">
        <v>1</v>
      </c>
      <c r="J252" s="76">
        <f t="shared" si="130"/>
        <v>2</v>
      </c>
      <c r="K252" s="77">
        <f t="shared" si="131"/>
        <v>38.000000000000078</v>
      </c>
      <c r="L252" s="9">
        <f t="shared" si="132"/>
        <v>0.10972222222222228</v>
      </c>
      <c r="M252" s="26">
        <f t="shared" si="133"/>
        <v>0.10972222222222228</v>
      </c>
      <c r="N252" s="27">
        <v>5839.6</v>
      </c>
      <c r="O252" s="311">
        <v>85.7</v>
      </c>
      <c r="P252" s="383" t="s">
        <v>256</v>
      </c>
      <c r="Q252" s="263">
        <f t="shared" si="134"/>
        <v>0.1131944444444445</v>
      </c>
    </row>
    <row r="253" spans="1:18" ht="13.5" hidden="1" thickBot="1" x14ac:dyDescent="0.45">
      <c r="A253" s="6"/>
      <c r="B253" s="6"/>
      <c r="C253" s="42"/>
      <c r="D253" s="6"/>
      <c r="E253" s="6"/>
      <c r="F253" s="6"/>
      <c r="G253" s="266"/>
      <c r="H253" s="12"/>
      <c r="I253" s="78"/>
      <c r="J253" s="79">
        <f>SUM(J245:J252)</f>
        <v>14843.4</v>
      </c>
      <c r="K253" s="80">
        <f>SUM(K245:K252)</f>
        <v>240.00000000000009</v>
      </c>
      <c r="L253" s="10">
        <f>SUM(L246:L252)</f>
        <v>0.21180555555555558</v>
      </c>
      <c r="M253" s="10"/>
      <c r="N253" s="13">
        <f>MAX(N246:N252)</f>
        <v>5839.6</v>
      </c>
      <c r="O253" s="312">
        <f>MAX(O246:O252)</f>
        <v>85.7</v>
      </c>
      <c r="P253" s="6"/>
      <c r="Q253" s="162">
        <f>IF(L253=0,0,L253+$Q$2)</f>
        <v>0.21527777777777779</v>
      </c>
    </row>
    <row r="254" spans="1:18" ht="13.5" thickBot="1" x14ac:dyDescent="0.45">
      <c r="A254" s="87" t="s">
        <v>16</v>
      </c>
      <c r="B254" s="90"/>
      <c r="C254" s="90"/>
      <c r="D254" s="89"/>
      <c r="E254" s="89"/>
      <c r="F254" s="91"/>
      <c r="G254" s="81"/>
      <c r="H254" s="92"/>
      <c r="I254" s="81">
        <f>SUM(I245:I252)</f>
        <v>20311</v>
      </c>
      <c r="J254" s="81">
        <f>ROUNDDOWN(K253/60,0)+J253</f>
        <v>14847.4</v>
      </c>
      <c r="K254" s="82">
        <f>ROUND(K253-(ROUNDDOWN(K253/60,0)*60),0)</f>
        <v>0</v>
      </c>
      <c r="L254" s="271">
        <f>L253</f>
        <v>0.21180555555555558</v>
      </c>
      <c r="M254" s="93"/>
      <c r="N254" s="94">
        <f>N253-N244</f>
        <v>4.8000000000001819</v>
      </c>
      <c r="O254" s="94">
        <f>IF(OR(O245="N/A",O245="N / A", O245="N/ A",O245="N /A"),"N / A", O253-O244)</f>
        <v>6.2000000000000028</v>
      </c>
      <c r="P254" s="371"/>
      <c r="Q254" s="162">
        <f>SUM(Q246:Q252)</f>
        <v>0.23402777777777789</v>
      </c>
    </row>
    <row r="255" spans="1:18" x14ac:dyDescent="0.35">
      <c r="A255" s="34">
        <v>43268</v>
      </c>
      <c r="C255" s="40">
        <v>30</v>
      </c>
      <c r="D255" s="7">
        <v>0.38472222222222219</v>
      </c>
      <c r="E255" s="7">
        <v>0.5229166666666667</v>
      </c>
      <c r="G255" s="2">
        <v>0</v>
      </c>
      <c r="H255" s="3" t="s">
        <v>253</v>
      </c>
      <c r="I255" s="74">
        <v>1</v>
      </c>
      <c r="J255" s="74">
        <f t="shared" ref="J255:J261" si="135">ROUNDDOWN(M255*24,0)</f>
        <v>3</v>
      </c>
      <c r="K255" s="75">
        <f t="shared" ref="K255:K261" si="136">(M255*24-J255)*60</f>
        <v>19.000000000000092</v>
      </c>
      <c r="L255" s="7">
        <f t="shared" ref="L255:L261" si="137">E255-D255</f>
        <v>0.13819444444444451</v>
      </c>
      <c r="M255" s="22">
        <f t="shared" ref="M255:M261" si="138">L255</f>
        <v>0.13819444444444451</v>
      </c>
      <c r="N255" s="14">
        <v>5842.8</v>
      </c>
      <c r="O255" s="310">
        <v>89.1</v>
      </c>
      <c r="P255" s="294" t="s">
        <v>258</v>
      </c>
      <c r="Q255" s="263">
        <f t="shared" ref="Q255:Q261" si="139">IF(L255=0,0,L255+$Q$2)</f>
        <v>0.14166666666666672</v>
      </c>
    </row>
    <row r="256" spans="1:18" x14ac:dyDescent="0.35">
      <c r="A256" s="34">
        <v>43269</v>
      </c>
      <c r="C256" s="40">
        <v>30</v>
      </c>
      <c r="D256" s="7">
        <v>0.42499999999999999</v>
      </c>
      <c r="E256" s="7">
        <v>0.52083333333333337</v>
      </c>
      <c r="G256" s="2">
        <v>0</v>
      </c>
      <c r="H256" s="3" t="s">
        <v>254</v>
      </c>
      <c r="I256" s="74">
        <v>1</v>
      </c>
      <c r="J256" s="74">
        <f t="shared" si="135"/>
        <v>2</v>
      </c>
      <c r="K256" s="75">
        <f t="shared" si="136"/>
        <v>18.000000000000071</v>
      </c>
      <c r="L256" s="7">
        <f t="shared" si="137"/>
        <v>9.5833333333333381E-2</v>
      </c>
      <c r="M256" s="22">
        <f t="shared" si="138"/>
        <v>9.5833333333333381E-2</v>
      </c>
      <c r="N256" s="14">
        <v>5845</v>
      </c>
      <c r="O256" s="310">
        <v>91.7</v>
      </c>
      <c r="P256" s="294" t="s">
        <v>257</v>
      </c>
      <c r="Q256" s="263">
        <f t="shared" si="139"/>
        <v>9.9305555555555605E-2</v>
      </c>
      <c r="R256" s="162"/>
    </row>
    <row r="257" spans="1:17" x14ac:dyDescent="0.35">
      <c r="A257" s="34">
        <v>43270</v>
      </c>
      <c r="C257" s="40">
        <v>30</v>
      </c>
      <c r="D257" s="7">
        <v>0.3611111111111111</v>
      </c>
      <c r="E257" s="7">
        <v>0.4916666666666667</v>
      </c>
      <c r="G257" s="2">
        <v>0</v>
      </c>
      <c r="H257" s="3" t="s">
        <v>160</v>
      </c>
      <c r="I257" s="74">
        <v>1</v>
      </c>
      <c r="J257" s="74">
        <f t="shared" si="135"/>
        <v>3</v>
      </c>
      <c r="K257" s="75">
        <f t="shared" si="136"/>
        <v>8.0000000000000515</v>
      </c>
      <c r="L257" s="7">
        <f t="shared" si="137"/>
        <v>0.13055555555555559</v>
      </c>
      <c r="M257" s="22">
        <f t="shared" si="138"/>
        <v>0.13055555555555559</v>
      </c>
      <c r="N257" s="14">
        <v>5848</v>
      </c>
      <c r="O257" s="310">
        <v>95.1</v>
      </c>
      <c r="P257" s="294" t="s">
        <v>259</v>
      </c>
      <c r="Q257" s="263">
        <f t="shared" si="139"/>
        <v>0.1340277777777778</v>
      </c>
    </row>
    <row r="258" spans="1:17" x14ac:dyDescent="0.35">
      <c r="A258" s="34">
        <v>43270</v>
      </c>
      <c r="C258" s="40">
        <v>30</v>
      </c>
      <c r="D258" s="7">
        <v>0.54791666666666672</v>
      </c>
      <c r="E258" s="7">
        <v>0.59861111111111109</v>
      </c>
      <c r="G258" s="2">
        <v>1</v>
      </c>
      <c r="I258" s="74">
        <v>1</v>
      </c>
      <c r="J258" s="74">
        <f t="shared" si="135"/>
        <v>1</v>
      </c>
      <c r="K258" s="75">
        <f t="shared" si="136"/>
        <v>12.999999999999901</v>
      </c>
      <c r="L258" s="7">
        <f t="shared" si="137"/>
        <v>5.0694444444444375E-2</v>
      </c>
      <c r="M258" s="22">
        <f t="shared" si="138"/>
        <v>5.0694444444444375E-2</v>
      </c>
      <c r="N258" s="14">
        <v>5849.2</v>
      </c>
      <c r="O258" s="310">
        <v>96.5</v>
      </c>
      <c r="P258" s="267"/>
      <c r="Q258" s="263">
        <f t="shared" si="139"/>
        <v>5.4166666666666599E-2</v>
      </c>
    </row>
    <row r="259" spans="1:17" x14ac:dyDescent="0.35">
      <c r="A259" s="34">
        <v>43283</v>
      </c>
      <c r="C259" s="40">
        <v>26</v>
      </c>
      <c r="D259" s="7">
        <v>0.66527777777777775</v>
      </c>
      <c r="E259" s="7">
        <v>0.69652777777777775</v>
      </c>
      <c r="G259" s="2">
        <v>0</v>
      </c>
      <c r="H259" s="3" t="s">
        <v>260</v>
      </c>
      <c r="I259" s="74">
        <v>1</v>
      </c>
      <c r="J259" s="74">
        <f t="shared" si="135"/>
        <v>0</v>
      </c>
      <c r="K259" s="75">
        <f t="shared" si="136"/>
        <v>45</v>
      </c>
      <c r="L259" s="7">
        <f t="shared" si="137"/>
        <v>3.125E-2</v>
      </c>
      <c r="M259" s="22">
        <f t="shared" si="138"/>
        <v>3.125E-2</v>
      </c>
      <c r="N259" s="14">
        <v>5850</v>
      </c>
      <c r="O259" s="310">
        <v>97.4</v>
      </c>
      <c r="P259" s="267"/>
      <c r="Q259" s="263">
        <f t="shared" si="139"/>
        <v>3.4722222222222224E-2</v>
      </c>
    </row>
    <row r="260" spans="1:17" x14ac:dyDescent="0.35">
      <c r="A260" s="272">
        <v>43283</v>
      </c>
      <c r="C260" s="40">
        <v>26</v>
      </c>
      <c r="D260" s="7">
        <v>0.72083333333333333</v>
      </c>
      <c r="E260" s="7">
        <v>0.74583333333333324</v>
      </c>
      <c r="G260" s="2">
        <v>1</v>
      </c>
      <c r="I260" s="74">
        <v>1</v>
      </c>
      <c r="J260" s="74">
        <f t="shared" si="135"/>
        <v>0</v>
      </c>
      <c r="K260" s="75">
        <f t="shared" si="136"/>
        <v>35.999999999999872</v>
      </c>
      <c r="L260" s="7">
        <f t="shared" si="137"/>
        <v>2.4999999999999911E-2</v>
      </c>
      <c r="M260" s="22">
        <f t="shared" si="138"/>
        <v>2.4999999999999911E-2</v>
      </c>
      <c r="N260" s="14">
        <v>5850.6</v>
      </c>
      <c r="O260" s="310">
        <v>98.2</v>
      </c>
      <c r="P260" s="267"/>
      <c r="Q260" s="263">
        <f t="shared" si="139"/>
        <v>2.8472222222222135E-2</v>
      </c>
    </row>
    <row r="261" spans="1:17" ht="13.15" thickBot="1" x14ac:dyDescent="0.4">
      <c r="A261" s="38">
        <v>43294</v>
      </c>
      <c r="B261" s="24"/>
      <c r="C261" s="41">
        <v>21</v>
      </c>
      <c r="D261" s="9">
        <v>0.57291666666666663</v>
      </c>
      <c r="E261" s="9">
        <v>0.68055555555555547</v>
      </c>
      <c r="F261" s="25"/>
      <c r="G261" s="269">
        <v>3</v>
      </c>
      <c r="H261" s="28"/>
      <c r="I261" s="76">
        <v>3</v>
      </c>
      <c r="J261" s="76">
        <f t="shared" si="135"/>
        <v>2</v>
      </c>
      <c r="K261" s="77">
        <f t="shared" si="136"/>
        <v>34.999999999999929</v>
      </c>
      <c r="L261" s="9">
        <f t="shared" si="137"/>
        <v>0.10763888888888884</v>
      </c>
      <c r="M261" s="26">
        <f t="shared" si="138"/>
        <v>0.10763888888888884</v>
      </c>
      <c r="N261" s="27">
        <v>5853.1</v>
      </c>
      <c r="O261" s="311">
        <v>99.1</v>
      </c>
      <c r="P261" s="24"/>
      <c r="Q261" s="263">
        <f t="shared" si="139"/>
        <v>0.11111111111111106</v>
      </c>
    </row>
    <row r="262" spans="1:17" ht="13.5" hidden="1" thickBot="1" x14ac:dyDescent="0.45">
      <c r="A262" s="6"/>
      <c r="B262" s="6"/>
      <c r="C262" s="42"/>
      <c r="D262" s="6"/>
      <c r="E262" s="6"/>
      <c r="F262" s="6"/>
      <c r="G262" s="266"/>
      <c r="H262" s="12"/>
      <c r="I262" s="78"/>
      <c r="J262" s="79">
        <f>SUM(J254:J261)</f>
        <v>14858.4</v>
      </c>
      <c r="K262" s="80">
        <f>SUM(K254:K261)</f>
        <v>173.99999999999994</v>
      </c>
      <c r="L262" s="10">
        <f>SUM(L255:L261)</f>
        <v>0.57916666666666661</v>
      </c>
      <c r="M262" s="10"/>
      <c r="N262" s="13">
        <f>MAX(N255:N261)</f>
        <v>5853.1</v>
      </c>
      <c r="O262" s="312">
        <f>MAX(O255:O261)</f>
        <v>99.1</v>
      </c>
      <c r="P262" s="6"/>
      <c r="Q262" s="162">
        <f>IF(L262=0,0,L262+$Q$2)</f>
        <v>0.58263888888888882</v>
      </c>
    </row>
    <row r="263" spans="1:17" ht="13.5" thickBot="1" x14ac:dyDescent="0.45">
      <c r="A263" s="87" t="s">
        <v>16</v>
      </c>
      <c r="B263" s="89"/>
      <c r="C263" s="90"/>
      <c r="D263" s="89"/>
      <c r="E263" s="89"/>
      <c r="F263" s="91"/>
      <c r="G263" s="81"/>
      <c r="H263" s="92"/>
      <c r="I263" s="81">
        <f>SUM(I254:I261)</f>
        <v>20320</v>
      </c>
      <c r="J263" s="81">
        <f>ROUNDDOWN(K262/60,0)+J262</f>
        <v>14860.4</v>
      </c>
      <c r="K263" s="82">
        <f>ROUND(K262-(ROUNDDOWN(K262/60,0)*60),0)</f>
        <v>54</v>
      </c>
      <c r="L263" s="271">
        <f>L262</f>
        <v>0.57916666666666661</v>
      </c>
      <c r="M263" s="93"/>
      <c r="N263" s="94">
        <f>N262-N253</f>
        <v>13.5</v>
      </c>
      <c r="O263" s="94">
        <f>IF(OR(O254="N/A",O254="N / A", O254="N/ A",O254="N /A"),"N / A", O262-O253)</f>
        <v>13.399999999999991</v>
      </c>
      <c r="P263" s="371"/>
      <c r="Q263" s="162">
        <f>SUM(Q255:Q261)</f>
        <v>0.60347222222222208</v>
      </c>
    </row>
    <row r="264" spans="1:17" x14ac:dyDescent="0.35">
      <c r="A264" s="34">
        <v>43304</v>
      </c>
      <c r="C264" s="40">
        <v>26</v>
      </c>
      <c r="D264" s="7">
        <v>0.67013888888888884</v>
      </c>
      <c r="E264" s="7">
        <v>0.69791666666666663</v>
      </c>
      <c r="G264" s="2">
        <v>1</v>
      </c>
      <c r="I264" s="74">
        <v>1</v>
      </c>
      <c r="J264" s="74">
        <f t="shared" ref="J264:J270" si="140">ROUNDDOWN(M264*24,0)</f>
        <v>0</v>
      </c>
      <c r="K264" s="75">
        <f t="shared" ref="K264:K270" si="141">(M264*24-J264)*60</f>
        <v>40.000000000000014</v>
      </c>
      <c r="L264" s="7">
        <f t="shared" ref="L264:L270" si="142">E264-D264</f>
        <v>2.777777777777779E-2</v>
      </c>
      <c r="M264" s="22">
        <f t="shared" ref="M264:M270" si="143">L264</f>
        <v>2.777777777777779E-2</v>
      </c>
      <c r="N264" s="14">
        <v>5853.8</v>
      </c>
      <c r="O264" s="310">
        <v>99.9</v>
      </c>
      <c r="P264" s="267"/>
      <c r="Q264" s="263">
        <f t="shared" ref="Q264:Q270" si="144">IF(L264=0,0,L264+$Q$2)</f>
        <v>3.1250000000000014E-2</v>
      </c>
    </row>
    <row r="265" spans="1:17" x14ac:dyDescent="0.35">
      <c r="A265" s="34">
        <v>43309</v>
      </c>
      <c r="C265" s="40">
        <v>6</v>
      </c>
      <c r="D265" s="7">
        <v>0.42708333333333331</v>
      </c>
      <c r="E265" s="7">
        <v>0.46458333333333335</v>
      </c>
      <c r="G265" s="2">
        <v>0</v>
      </c>
      <c r="H265" s="3" t="s">
        <v>188</v>
      </c>
      <c r="I265" s="74">
        <v>1</v>
      </c>
      <c r="J265" s="74">
        <f t="shared" si="140"/>
        <v>0</v>
      </c>
      <c r="K265" s="75">
        <f t="shared" si="141"/>
        <v>54.00000000000005</v>
      </c>
      <c r="L265" s="7">
        <f t="shared" si="142"/>
        <v>3.7500000000000033E-2</v>
      </c>
      <c r="M265" s="22">
        <f t="shared" si="143"/>
        <v>3.7500000000000033E-2</v>
      </c>
      <c r="N265" s="14">
        <v>5854.7</v>
      </c>
      <c r="O265" s="310">
        <v>101.1</v>
      </c>
      <c r="P265" s="267"/>
      <c r="Q265" s="263">
        <f t="shared" si="144"/>
        <v>4.0972222222222257E-2</v>
      </c>
    </row>
    <row r="266" spans="1:17" x14ac:dyDescent="0.35">
      <c r="A266" s="34">
        <v>43309</v>
      </c>
      <c r="C266" s="40">
        <v>6</v>
      </c>
      <c r="D266" s="7">
        <v>0.51736111111111105</v>
      </c>
      <c r="E266" s="7">
        <v>0.56180555555555556</v>
      </c>
      <c r="G266" s="2">
        <v>2</v>
      </c>
      <c r="I266" s="74">
        <v>2</v>
      </c>
      <c r="J266" s="74">
        <f t="shared" si="140"/>
        <v>1</v>
      </c>
      <c r="K266" s="75">
        <f t="shared" si="141"/>
        <v>4.0000000000000924</v>
      </c>
      <c r="L266" s="7">
        <f t="shared" si="142"/>
        <v>4.4444444444444509E-2</v>
      </c>
      <c r="M266" s="22">
        <f t="shared" si="143"/>
        <v>4.4444444444444509E-2</v>
      </c>
      <c r="N266" s="14">
        <v>5855.8</v>
      </c>
      <c r="O266" s="310">
        <v>102.2</v>
      </c>
      <c r="P266" s="267"/>
      <c r="Q266" s="263">
        <f t="shared" si="144"/>
        <v>4.7916666666666732E-2</v>
      </c>
    </row>
    <row r="267" spans="1:17" x14ac:dyDescent="0.35">
      <c r="A267" s="34">
        <v>43309</v>
      </c>
      <c r="C267" s="40">
        <v>1</v>
      </c>
      <c r="D267" s="7">
        <v>0.62708333333333333</v>
      </c>
      <c r="E267" s="7">
        <v>0.72222222222222221</v>
      </c>
      <c r="G267" s="2">
        <v>1</v>
      </c>
      <c r="I267" s="74">
        <v>1</v>
      </c>
      <c r="J267" s="74">
        <f t="shared" si="140"/>
        <v>2</v>
      </c>
      <c r="K267" s="75">
        <f t="shared" si="141"/>
        <v>16.999999999999993</v>
      </c>
      <c r="L267" s="7">
        <f t="shared" si="142"/>
        <v>9.5138888888888884E-2</v>
      </c>
      <c r="M267" s="22">
        <f t="shared" si="143"/>
        <v>9.5138888888888884E-2</v>
      </c>
      <c r="N267" s="14">
        <v>5857.9</v>
      </c>
      <c r="O267" s="310">
        <v>104.6</v>
      </c>
      <c r="P267" s="267"/>
      <c r="Q267" s="263">
        <v>9.7916666666666666E-2</v>
      </c>
    </row>
    <row r="268" spans="1:17" x14ac:dyDescent="0.35">
      <c r="A268" s="34">
        <v>43310</v>
      </c>
      <c r="C268" s="40">
        <v>9</v>
      </c>
      <c r="D268" s="7">
        <v>0.3347222222222222</v>
      </c>
      <c r="E268" s="7">
        <v>0.37847222222222227</v>
      </c>
      <c r="G268" s="2">
        <v>0</v>
      </c>
      <c r="H268" s="3" t="s">
        <v>181</v>
      </c>
      <c r="I268" s="74">
        <v>1</v>
      </c>
      <c r="J268" s="74">
        <f t="shared" si="140"/>
        <v>1</v>
      </c>
      <c r="K268" s="75">
        <f t="shared" si="141"/>
        <v>3.0000000000000959</v>
      </c>
      <c r="L268" s="7">
        <f t="shared" si="142"/>
        <v>4.3750000000000067E-2</v>
      </c>
      <c r="M268" s="22">
        <f t="shared" si="143"/>
        <v>4.3750000000000067E-2</v>
      </c>
      <c r="N268" s="14">
        <v>5858.8</v>
      </c>
      <c r="O268" s="310">
        <v>105.9</v>
      </c>
      <c r="P268" s="267"/>
      <c r="Q268" s="263">
        <f t="shared" si="144"/>
        <v>4.722222222222229E-2</v>
      </c>
    </row>
    <row r="269" spans="1:17" x14ac:dyDescent="0.35">
      <c r="A269" s="272">
        <v>43310</v>
      </c>
      <c r="C269" s="40">
        <v>15</v>
      </c>
      <c r="D269" s="7">
        <v>0.41111111111111115</v>
      </c>
      <c r="E269" s="7">
        <v>0.44375000000000003</v>
      </c>
      <c r="G269" s="2">
        <v>1</v>
      </c>
      <c r="I269" s="74">
        <v>1</v>
      </c>
      <c r="J269" s="74">
        <f t="shared" si="140"/>
        <v>0</v>
      </c>
      <c r="K269" s="75">
        <f t="shared" si="141"/>
        <v>46.999999999999993</v>
      </c>
      <c r="L269" s="7">
        <f t="shared" si="142"/>
        <v>3.2638888888888884E-2</v>
      </c>
      <c r="M269" s="22">
        <f t="shared" si="143"/>
        <v>3.2638888888888884E-2</v>
      </c>
      <c r="N269" s="14">
        <v>5859.7</v>
      </c>
      <c r="O269" s="310">
        <v>106.9</v>
      </c>
      <c r="P269" s="267"/>
      <c r="Q269" s="263">
        <f t="shared" si="144"/>
        <v>3.6111111111111108E-2</v>
      </c>
    </row>
    <row r="270" spans="1:17" ht="13.15" thickBot="1" x14ac:dyDescent="0.4">
      <c r="A270" s="38">
        <v>43310</v>
      </c>
      <c r="B270" s="24"/>
      <c r="C270" s="41">
        <v>22</v>
      </c>
      <c r="D270" s="9">
        <v>0.50277777777777777</v>
      </c>
      <c r="E270" s="9">
        <v>0.52361111111111114</v>
      </c>
      <c r="F270" s="25"/>
      <c r="G270" s="269">
        <v>0</v>
      </c>
      <c r="H270" s="28" t="s">
        <v>110</v>
      </c>
      <c r="I270" s="76">
        <v>3</v>
      </c>
      <c r="J270" s="76">
        <f t="shared" si="140"/>
        <v>0</v>
      </c>
      <c r="K270" s="77">
        <f t="shared" si="141"/>
        <v>30.000000000000053</v>
      </c>
      <c r="L270" s="9">
        <f t="shared" si="142"/>
        <v>2.083333333333337E-2</v>
      </c>
      <c r="M270" s="26">
        <f t="shared" si="143"/>
        <v>2.083333333333337E-2</v>
      </c>
      <c r="N270" s="27">
        <v>5860.2</v>
      </c>
      <c r="O270" s="311">
        <v>107.6</v>
      </c>
      <c r="P270" s="24"/>
      <c r="Q270" s="263">
        <f t="shared" si="144"/>
        <v>2.4305555555555594E-2</v>
      </c>
    </row>
    <row r="271" spans="1:17" ht="13.5" hidden="1" thickBot="1" x14ac:dyDescent="0.45">
      <c r="A271" s="6"/>
      <c r="B271" s="6"/>
      <c r="C271" s="42"/>
      <c r="D271" s="6"/>
      <c r="E271" s="6"/>
      <c r="F271" s="6"/>
      <c r="G271" s="266"/>
      <c r="H271" s="12"/>
      <c r="I271" s="78"/>
      <c r="J271" s="79">
        <f>SUM(J263:J270)</f>
        <v>14864.4</v>
      </c>
      <c r="K271" s="80">
        <f>SUM(K263:K270)</f>
        <v>249.00000000000028</v>
      </c>
      <c r="L271" s="10">
        <f>SUM(L264:L270)</f>
        <v>0.30208333333333354</v>
      </c>
      <c r="M271" s="10"/>
      <c r="N271" s="13">
        <f>MAX(N264:N270)</f>
        <v>5860.2</v>
      </c>
      <c r="O271" s="312">
        <f>MAX(O264:O270)</f>
        <v>107.6</v>
      </c>
      <c r="P271" s="6"/>
      <c r="Q271" s="162">
        <f>IF(L271=0,0,L271+$Q$2)</f>
        <v>0.30555555555555575</v>
      </c>
    </row>
    <row r="272" spans="1:17" ht="13.5" thickBot="1" x14ac:dyDescent="0.45">
      <c r="A272" s="87" t="s">
        <v>16</v>
      </c>
      <c r="B272" s="89"/>
      <c r="C272" s="90"/>
      <c r="D272" s="89"/>
      <c r="E272" s="89"/>
      <c r="F272" s="91"/>
      <c r="G272" s="81"/>
      <c r="H272" s="92"/>
      <c r="I272" s="81">
        <f>SUM(I263:I270)</f>
        <v>20330</v>
      </c>
      <c r="J272" s="81">
        <f>ROUNDDOWN(K271/60,0)+J271</f>
        <v>14868.4</v>
      </c>
      <c r="K272" s="82">
        <f>ROUND(K271-(ROUNDDOWN(K271/60,0)*60),0)</f>
        <v>9</v>
      </c>
      <c r="L272" s="271">
        <f>L271</f>
        <v>0.30208333333333354</v>
      </c>
      <c r="M272" s="93"/>
      <c r="N272" s="94">
        <f>N271-N262</f>
        <v>7.0999999999994543</v>
      </c>
      <c r="O272" s="94">
        <f>IF(OR(O263="N/A",O263="N / A", O263="N/ A",O263="N /A"),"N / A", O271-O262)</f>
        <v>8.5</v>
      </c>
      <c r="P272" s="371"/>
      <c r="Q272" s="162">
        <f>SUM(Q264:Q270)</f>
        <v>0.32569444444444462</v>
      </c>
    </row>
    <row r="273" spans="1:17" x14ac:dyDescent="0.35">
      <c r="A273" s="34">
        <v>43310</v>
      </c>
      <c r="C273" s="40">
        <v>22</v>
      </c>
      <c r="D273" s="7">
        <v>0.56388888888888888</v>
      </c>
      <c r="E273" s="7">
        <v>0.60763888888888895</v>
      </c>
      <c r="G273" s="2">
        <v>0</v>
      </c>
      <c r="H273" s="3" t="s">
        <v>104</v>
      </c>
      <c r="I273" s="74">
        <v>1</v>
      </c>
      <c r="J273" s="74">
        <f t="shared" ref="J273:J279" si="145">ROUNDDOWN(M273*24,0)</f>
        <v>1</v>
      </c>
      <c r="K273" s="75">
        <f t="shared" ref="K273:K279" si="146">(M273*24-J273)*60</f>
        <v>3.0000000000000959</v>
      </c>
      <c r="L273" s="7">
        <f t="shared" ref="L273:L279" si="147">E273-D273</f>
        <v>4.3750000000000067E-2</v>
      </c>
      <c r="M273" s="22">
        <f t="shared" ref="M273:M279" si="148">L273</f>
        <v>4.3750000000000067E-2</v>
      </c>
      <c r="N273" s="14">
        <v>5861.3</v>
      </c>
      <c r="O273" s="310">
        <v>108.9</v>
      </c>
      <c r="P273" s="267"/>
      <c r="Q273" s="263">
        <f t="shared" ref="Q273:Q278" si="149">IF(L273=0,0,L273+$Q$2)</f>
        <v>4.722222222222229E-2</v>
      </c>
    </row>
    <row r="274" spans="1:17" x14ac:dyDescent="0.35">
      <c r="A274" s="34">
        <v>43310</v>
      </c>
      <c r="C274" s="40">
        <v>22</v>
      </c>
      <c r="D274" s="7">
        <v>0.68541666666666667</v>
      </c>
      <c r="E274" s="7">
        <v>0.73263888888888884</v>
      </c>
      <c r="G274" s="2">
        <v>1</v>
      </c>
      <c r="I274" s="74">
        <v>1</v>
      </c>
      <c r="J274" s="74">
        <f t="shared" si="145"/>
        <v>1</v>
      </c>
      <c r="K274" s="75">
        <f t="shared" si="146"/>
        <v>7.9999999999999183</v>
      </c>
      <c r="L274" s="154">
        <f t="shared" si="147"/>
        <v>4.7222222222222165E-2</v>
      </c>
      <c r="M274" s="22">
        <f t="shared" si="148"/>
        <v>4.7222222222222165E-2</v>
      </c>
      <c r="N274" s="14">
        <v>5862.5</v>
      </c>
      <c r="O274" s="310">
        <v>110.2</v>
      </c>
      <c r="P274" s="267"/>
      <c r="Q274" s="263">
        <f t="shared" si="149"/>
        <v>5.0694444444444389E-2</v>
      </c>
    </row>
    <row r="275" spans="1:17" x14ac:dyDescent="0.35">
      <c r="A275" s="34">
        <v>43312</v>
      </c>
      <c r="C275" s="40">
        <v>16</v>
      </c>
      <c r="D275" s="7">
        <v>0.6972222222222223</v>
      </c>
      <c r="E275" s="7">
        <v>0.70694444444444438</v>
      </c>
      <c r="G275" s="2">
        <v>2</v>
      </c>
      <c r="I275" s="74">
        <v>2</v>
      </c>
      <c r="J275" s="74">
        <f t="shared" si="145"/>
        <v>0</v>
      </c>
      <c r="K275" s="75">
        <f t="shared" si="146"/>
        <v>13.99999999999979</v>
      </c>
      <c r="L275" s="7">
        <f t="shared" si="147"/>
        <v>9.7222222222220767E-3</v>
      </c>
      <c r="M275" s="22">
        <f t="shared" si="148"/>
        <v>9.7222222222220767E-3</v>
      </c>
      <c r="N275" s="14">
        <v>5862.8</v>
      </c>
      <c r="O275" s="310">
        <v>110.7</v>
      </c>
      <c r="P275" s="267"/>
      <c r="Q275" s="263">
        <f t="shared" si="149"/>
        <v>1.3194444444444299E-2</v>
      </c>
    </row>
    <row r="276" spans="1:17" x14ac:dyDescent="0.35">
      <c r="A276" s="34">
        <v>43312</v>
      </c>
      <c r="C276" s="40">
        <v>16</v>
      </c>
      <c r="D276" s="7">
        <v>0.72361111111111109</v>
      </c>
      <c r="E276" s="7">
        <v>0.78680555555555554</v>
      </c>
      <c r="G276" s="2">
        <v>1</v>
      </c>
      <c r="I276" s="74">
        <v>1</v>
      </c>
      <c r="J276" s="74">
        <f t="shared" si="145"/>
        <v>1</v>
      </c>
      <c r="K276" s="75">
        <f t="shared" si="146"/>
        <v>30.999999999999996</v>
      </c>
      <c r="L276" s="7">
        <f t="shared" si="147"/>
        <v>6.3194444444444442E-2</v>
      </c>
      <c r="M276" s="22">
        <f t="shared" si="148"/>
        <v>6.3194444444444442E-2</v>
      </c>
      <c r="N276" s="14">
        <v>5864.4</v>
      </c>
      <c r="O276" s="310">
        <v>112.4</v>
      </c>
      <c r="P276" s="267"/>
      <c r="Q276" s="263">
        <f t="shared" si="149"/>
        <v>6.6666666666666666E-2</v>
      </c>
    </row>
    <row r="277" spans="1:17" x14ac:dyDescent="0.35">
      <c r="A277" s="34">
        <v>43315</v>
      </c>
      <c r="C277" s="40">
        <v>26</v>
      </c>
      <c r="D277" s="7">
        <v>0.65</v>
      </c>
      <c r="E277" s="7">
        <v>0.69861111111111107</v>
      </c>
      <c r="G277" s="2">
        <v>3</v>
      </c>
      <c r="I277" s="74">
        <v>3</v>
      </c>
      <c r="J277" s="74">
        <f t="shared" si="145"/>
        <v>1</v>
      </c>
      <c r="K277" s="75">
        <f t="shared" si="146"/>
        <v>9.9999999999999112</v>
      </c>
      <c r="L277" s="7">
        <f t="shared" si="147"/>
        <v>4.8611111111111049E-2</v>
      </c>
      <c r="M277" s="22">
        <f t="shared" si="148"/>
        <v>4.8611111111111049E-2</v>
      </c>
      <c r="N277" s="14">
        <v>5865.4</v>
      </c>
      <c r="O277" s="310">
        <v>113.7</v>
      </c>
      <c r="P277" s="267"/>
      <c r="Q277" s="263">
        <f t="shared" si="149"/>
        <v>5.2083333333333273E-2</v>
      </c>
    </row>
    <row r="278" spans="1:17" x14ac:dyDescent="0.35">
      <c r="A278" s="272">
        <v>43316</v>
      </c>
      <c r="C278" s="40">
        <v>15</v>
      </c>
      <c r="D278" s="7">
        <v>0.31597222222222221</v>
      </c>
      <c r="E278" s="7">
        <v>0.35625000000000001</v>
      </c>
      <c r="G278" s="2">
        <v>1</v>
      </c>
      <c r="I278" s="74">
        <v>1</v>
      </c>
      <c r="J278" s="74">
        <f t="shared" si="145"/>
        <v>0</v>
      </c>
      <c r="K278" s="75">
        <f t="shared" si="146"/>
        <v>58.000000000000036</v>
      </c>
      <c r="L278" s="7">
        <f t="shared" si="147"/>
        <v>4.0277777777777801E-2</v>
      </c>
      <c r="M278" s="22">
        <f t="shared" si="148"/>
        <v>4.0277777777777801E-2</v>
      </c>
      <c r="N278" s="14">
        <v>5866.4</v>
      </c>
      <c r="O278" s="310">
        <v>115</v>
      </c>
      <c r="P278" s="267"/>
      <c r="Q278" s="263">
        <f t="shared" si="149"/>
        <v>4.3750000000000025E-2</v>
      </c>
    </row>
    <row r="279" spans="1:17" ht="13.15" thickBot="1" x14ac:dyDescent="0.4">
      <c r="A279" s="38">
        <v>43320</v>
      </c>
      <c r="B279" s="24"/>
      <c r="C279" s="41">
        <v>0</v>
      </c>
      <c r="D279" s="9">
        <v>0.48819444444444443</v>
      </c>
      <c r="E279" s="9">
        <v>0.51180555555555551</v>
      </c>
      <c r="F279" s="25"/>
      <c r="G279" s="269">
        <v>0</v>
      </c>
      <c r="H279" s="28" t="s">
        <v>163</v>
      </c>
      <c r="I279" s="76">
        <v>1</v>
      </c>
      <c r="J279" s="76">
        <f t="shared" si="145"/>
        <v>0</v>
      </c>
      <c r="K279" s="77">
        <f t="shared" si="146"/>
        <v>33.999999999999957</v>
      </c>
      <c r="L279" s="9">
        <f t="shared" si="147"/>
        <v>2.3611111111111083E-2</v>
      </c>
      <c r="M279" s="26">
        <f t="shared" si="148"/>
        <v>2.3611111111111083E-2</v>
      </c>
      <c r="N279" s="27">
        <v>5867</v>
      </c>
      <c r="O279" s="311">
        <v>115.7</v>
      </c>
      <c r="P279" s="383" t="s">
        <v>177</v>
      </c>
      <c r="Q279" s="263">
        <v>2.361111111111111E-2</v>
      </c>
    </row>
    <row r="280" spans="1:17" ht="13.5" hidden="1" thickBot="1" x14ac:dyDescent="0.45">
      <c r="A280" s="6"/>
      <c r="B280" s="6"/>
      <c r="C280" s="42"/>
      <c r="D280" s="6"/>
      <c r="E280" s="6"/>
      <c r="F280" s="6"/>
      <c r="G280" s="266"/>
      <c r="H280" s="12"/>
      <c r="I280" s="78"/>
      <c r="J280" s="79">
        <f>SUM(J272:J279)</f>
        <v>14872.4</v>
      </c>
      <c r="K280" s="80">
        <f>SUM(K272:K279)</f>
        <v>166.99999999999972</v>
      </c>
      <c r="L280" s="10">
        <f>SUM(L273:L279)</f>
        <v>0.27638888888888868</v>
      </c>
      <c r="M280" s="10"/>
      <c r="N280" s="13">
        <f>MAX(N273:N279)</f>
        <v>5867</v>
      </c>
      <c r="O280" s="312">
        <f>MAX(O273:O279)</f>
        <v>115.7</v>
      </c>
      <c r="P280" s="6"/>
      <c r="Q280" s="162">
        <f>IF(L280=0,0,L280+$Q$2)</f>
        <v>0.27986111111111089</v>
      </c>
    </row>
    <row r="281" spans="1:17" ht="13.5" thickBot="1" x14ac:dyDescent="0.45">
      <c r="A281" s="87" t="s">
        <v>16</v>
      </c>
      <c r="B281" s="89"/>
      <c r="C281" s="90"/>
      <c r="D281" s="89"/>
      <c r="E281" s="89"/>
      <c r="F281" s="91"/>
      <c r="G281" s="81"/>
      <c r="H281" s="92"/>
      <c r="I281" s="81">
        <f>SUM(I272:I279)</f>
        <v>20340</v>
      </c>
      <c r="J281" s="81">
        <f>ROUNDDOWN(K280/60,0)+J280</f>
        <v>14874.4</v>
      </c>
      <c r="K281" s="82">
        <f>ROUND(K280-(ROUNDDOWN(K280/60,0)*60),0)</f>
        <v>47</v>
      </c>
      <c r="L281" s="271">
        <f>L280</f>
        <v>0.27638888888888868</v>
      </c>
      <c r="M281" s="93"/>
      <c r="N281" s="94">
        <f>N280-N271</f>
        <v>6.8000000000001819</v>
      </c>
      <c r="O281" s="94">
        <f>IF(OR(O272="N/A",O272="N / A", O272="N/ A",O272="N /A"),"N / A", O280-O271)</f>
        <v>8.1000000000000085</v>
      </c>
      <c r="P281" s="371"/>
      <c r="Q281" s="162">
        <f>SUM(Q273:Q279)</f>
        <v>0.29722222222222205</v>
      </c>
    </row>
    <row r="282" spans="1:17" x14ac:dyDescent="0.35">
      <c r="A282" s="34">
        <v>43322</v>
      </c>
      <c r="C282" s="40">
        <v>29</v>
      </c>
      <c r="D282" s="7">
        <v>0.69791666666666663</v>
      </c>
      <c r="E282" s="7">
        <v>0.7597222222222223</v>
      </c>
      <c r="G282" s="2">
        <v>1</v>
      </c>
      <c r="I282" s="74">
        <v>1</v>
      </c>
      <c r="J282" s="74">
        <f t="shared" ref="J282:J288" si="150">ROUNDDOWN(M282*24,0)</f>
        <v>1</v>
      </c>
      <c r="K282" s="75">
        <f t="shared" ref="K282:K288" si="151">(M282*24-J282)*60</f>
        <v>29.000000000000163</v>
      </c>
      <c r="L282" s="7">
        <f t="shared" ref="L282:L288" si="152">E282-D282</f>
        <v>6.1805555555555669E-2</v>
      </c>
      <c r="M282" s="22">
        <f t="shared" ref="M282:M288" si="153">L282</f>
        <v>6.1805555555555669E-2</v>
      </c>
      <c r="N282" s="14">
        <v>5868.5</v>
      </c>
      <c r="O282" s="310">
        <v>117.4</v>
      </c>
      <c r="P282" s="294" t="s">
        <v>266</v>
      </c>
      <c r="Q282" s="263">
        <f t="shared" ref="Q282:Q287" si="154">IF(L282=0,0,L282+$Q$2)</f>
        <v>6.5277777777777893E-2</v>
      </c>
    </row>
    <row r="283" spans="1:17" x14ac:dyDescent="0.35">
      <c r="A283" s="34">
        <v>43323</v>
      </c>
      <c r="C283" s="40">
        <v>9</v>
      </c>
      <c r="D283" s="7">
        <v>0.44444444444444442</v>
      </c>
      <c r="E283" s="7">
        <v>0.46249999999999997</v>
      </c>
      <c r="G283" s="2">
        <v>1</v>
      </c>
      <c r="I283" s="74">
        <v>1</v>
      </c>
      <c r="J283" s="74">
        <f t="shared" si="150"/>
        <v>0</v>
      </c>
      <c r="K283" s="75">
        <f t="shared" si="151"/>
        <v>25.999999999999986</v>
      </c>
      <c r="L283" s="7">
        <f t="shared" si="152"/>
        <v>1.8055555555555547E-2</v>
      </c>
      <c r="M283" s="22">
        <f t="shared" si="153"/>
        <v>1.8055555555555547E-2</v>
      </c>
      <c r="N283" s="14">
        <v>5869.1</v>
      </c>
      <c r="O283" s="310">
        <v>118.2</v>
      </c>
      <c r="P283" s="294" t="s">
        <v>267</v>
      </c>
      <c r="Q283" s="263">
        <v>2.2222222222222223E-2</v>
      </c>
    </row>
    <row r="284" spans="1:17" x14ac:dyDescent="0.35">
      <c r="A284" s="34">
        <v>43324</v>
      </c>
      <c r="C284" s="40">
        <v>9</v>
      </c>
      <c r="D284" s="7">
        <v>0.33680555555555558</v>
      </c>
      <c r="E284" s="7">
        <v>0.40277777777777773</v>
      </c>
      <c r="G284" s="2">
        <v>0</v>
      </c>
      <c r="H284" s="3" t="s">
        <v>268</v>
      </c>
      <c r="I284" s="74">
        <v>1</v>
      </c>
      <c r="J284" s="74">
        <f t="shared" si="150"/>
        <v>1</v>
      </c>
      <c r="K284" s="75">
        <f t="shared" si="151"/>
        <v>34.999999999999901</v>
      </c>
      <c r="L284" s="7">
        <f t="shared" si="152"/>
        <v>6.5972222222222154E-2</v>
      </c>
      <c r="M284" s="22">
        <f t="shared" si="153"/>
        <v>6.5972222222222154E-2</v>
      </c>
      <c r="N284" s="14">
        <v>5870.7</v>
      </c>
      <c r="O284" s="310">
        <v>120.1</v>
      </c>
      <c r="P284" s="267"/>
      <c r="Q284" s="263">
        <f t="shared" si="154"/>
        <v>6.9444444444444378E-2</v>
      </c>
    </row>
    <row r="285" spans="1:17" x14ac:dyDescent="0.35">
      <c r="A285" s="34">
        <v>43325</v>
      </c>
      <c r="C285" s="40">
        <v>9</v>
      </c>
      <c r="D285" s="7">
        <v>0.35069444444444442</v>
      </c>
      <c r="E285" s="7">
        <v>0.42777777777777781</v>
      </c>
      <c r="G285" s="2">
        <v>1</v>
      </c>
      <c r="I285" s="74">
        <v>1</v>
      </c>
      <c r="J285" s="74">
        <f t="shared" si="150"/>
        <v>1</v>
      </c>
      <c r="K285" s="75">
        <f t="shared" si="151"/>
        <v>51.000000000000085</v>
      </c>
      <c r="L285" s="7">
        <f t="shared" si="152"/>
        <v>7.7083333333333393E-2</v>
      </c>
      <c r="M285" s="22">
        <f t="shared" si="153"/>
        <v>7.7083333333333393E-2</v>
      </c>
      <c r="N285" s="14">
        <v>5872.5</v>
      </c>
      <c r="O285" s="310">
        <v>122.1</v>
      </c>
      <c r="P285" s="267"/>
      <c r="Q285" s="263">
        <f t="shared" si="154"/>
        <v>8.0555555555555616E-2</v>
      </c>
    </row>
    <row r="286" spans="1:17" x14ac:dyDescent="0.35">
      <c r="A286" s="34">
        <v>43326</v>
      </c>
      <c r="C286" s="40">
        <v>1</v>
      </c>
      <c r="D286" s="7">
        <v>0.75902777777777775</v>
      </c>
      <c r="E286" s="7">
        <v>0.79027777777777775</v>
      </c>
      <c r="G286" s="2">
        <v>1</v>
      </c>
      <c r="I286" s="74">
        <v>1</v>
      </c>
      <c r="J286" s="74">
        <f t="shared" si="150"/>
        <v>0</v>
      </c>
      <c r="K286" s="75">
        <f t="shared" si="151"/>
        <v>45</v>
      </c>
      <c r="L286" s="7">
        <f t="shared" si="152"/>
        <v>3.125E-2</v>
      </c>
      <c r="M286" s="22">
        <f t="shared" si="153"/>
        <v>3.125E-2</v>
      </c>
      <c r="N286" s="14">
        <v>5873.2</v>
      </c>
      <c r="O286" s="310">
        <v>122.2</v>
      </c>
      <c r="P286" s="267"/>
      <c r="Q286" s="263">
        <f t="shared" si="154"/>
        <v>3.4722222222222224E-2</v>
      </c>
    </row>
    <row r="287" spans="1:17" x14ac:dyDescent="0.35">
      <c r="A287" s="272">
        <v>43329</v>
      </c>
      <c r="C287" s="40">
        <v>29</v>
      </c>
      <c r="D287" s="7">
        <v>0.36458333333333331</v>
      </c>
      <c r="E287" s="7">
        <v>0.40208333333333335</v>
      </c>
      <c r="G287" s="2">
        <v>1</v>
      </c>
      <c r="I287" s="74">
        <v>1</v>
      </c>
      <c r="J287" s="74">
        <f t="shared" si="150"/>
        <v>0</v>
      </c>
      <c r="K287" s="75">
        <f t="shared" si="151"/>
        <v>54.00000000000005</v>
      </c>
      <c r="L287" s="7">
        <f t="shared" si="152"/>
        <v>3.7500000000000033E-2</v>
      </c>
      <c r="M287" s="22">
        <f t="shared" si="153"/>
        <v>3.7500000000000033E-2</v>
      </c>
      <c r="N287" s="14">
        <v>5874.2</v>
      </c>
      <c r="O287" s="310">
        <v>123.4</v>
      </c>
      <c r="P287" s="267"/>
      <c r="Q287" s="263">
        <f t="shared" si="154"/>
        <v>4.0972222222222257E-2</v>
      </c>
    </row>
    <row r="288" spans="1:17" ht="13.15" thickBot="1" x14ac:dyDescent="0.4">
      <c r="A288" s="38">
        <v>43331</v>
      </c>
      <c r="B288" s="24"/>
      <c r="C288" s="41">
        <v>18</v>
      </c>
      <c r="D288" s="9">
        <v>0.37847222222222227</v>
      </c>
      <c r="E288" s="9">
        <v>0.39999999999999997</v>
      </c>
      <c r="F288" s="25"/>
      <c r="G288" s="269">
        <v>1</v>
      </c>
      <c r="H288" s="28"/>
      <c r="I288" s="76">
        <v>1</v>
      </c>
      <c r="J288" s="76">
        <f t="shared" si="150"/>
        <v>0</v>
      </c>
      <c r="K288" s="77">
        <f t="shared" si="151"/>
        <v>30.99999999999989</v>
      </c>
      <c r="L288" s="9">
        <f t="shared" si="152"/>
        <v>2.1527777777777701E-2</v>
      </c>
      <c r="M288" s="26">
        <f t="shared" si="153"/>
        <v>2.1527777777777701E-2</v>
      </c>
      <c r="N288" s="27">
        <v>5874.7</v>
      </c>
      <c r="O288" s="311">
        <v>124.1</v>
      </c>
      <c r="P288" s="24"/>
      <c r="Q288" s="263">
        <f>IF(L288=0,0,L288+$Q$2)</f>
        <v>2.4999999999999925E-2</v>
      </c>
    </row>
    <row r="289" spans="1:22" ht="13.5" hidden="1" thickBot="1" x14ac:dyDescent="0.45">
      <c r="A289" s="6"/>
      <c r="B289" s="6"/>
      <c r="C289" s="42"/>
      <c r="D289" s="6"/>
      <c r="E289" s="6"/>
      <c r="F289" s="6"/>
      <c r="G289" s="266"/>
      <c r="H289" s="12"/>
      <c r="I289" s="78"/>
      <c r="J289" s="79">
        <f>SUM(J281:J288)</f>
        <v>14877.4</v>
      </c>
      <c r="K289" s="80">
        <f>SUM(K281:K288)</f>
        <v>318.00000000000006</v>
      </c>
      <c r="L289" s="10">
        <f>SUM(L282:L288)</f>
        <v>0.3131944444444445</v>
      </c>
      <c r="M289" s="10"/>
      <c r="N289" s="13">
        <f>MAX(N282:N288)</f>
        <v>5874.7</v>
      </c>
      <c r="O289" s="312">
        <f>MAX(O282:O288)</f>
        <v>124.1</v>
      </c>
      <c r="P289" s="6"/>
      <c r="Q289" s="162">
        <f>IF(L289=0,0,L289+$Q$2)</f>
        <v>0.31666666666666671</v>
      </c>
    </row>
    <row r="290" spans="1:22" ht="13.5" thickBot="1" x14ac:dyDescent="0.45">
      <c r="A290" s="87" t="s">
        <v>16</v>
      </c>
      <c r="B290" s="506"/>
      <c r="C290" s="90"/>
      <c r="D290" s="89"/>
      <c r="E290" s="89"/>
      <c r="F290" s="91"/>
      <c r="G290" s="81"/>
      <c r="H290" s="92"/>
      <c r="I290" s="81">
        <f>SUM(I281:I288)</f>
        <v>20347</v>
      </c>
      <c r="J290" s="81">
        <f>ROUNDDOWN(K289/60,0)+J289</f>
        <v>14882.4</v>
      </c>
      <c r="K290" s="82">
        <f>ROUND(K289-(ROUNDDOWN(K289/60,0)*60),0)</f>
        <v>18</v>
      </c>
      <c r="L290" s="271">
        <f>L289</f>
        <v>0.3131944444444445</v>
      </c>
      <c r="M290" s="93"/>
      <c r="N290" s="94">
        <f>N289-N280</f>
        <v>7.6999999999998181</v>
      </c>
      <c r="O290" s="94">
        <f>IF(OR(O281="N/A",O281="N / A", O281="N/ A",O281="N /A"),"N / A", O289-O280)</f>
        <v>8.3999999999999915</v>
      </c>
      <c r="P290" s="371"/>
      <c r="Q290" s="162">
        <f>SUM(Q282:Q288)</f>
        <v>0.33819444444444446</v>
      </c>
    </row>
    <row r="291" spans="1:22" x14ac:dyDescent="0.35">
      <c r="A291" s="34">
        <v>43331</v>
      </c>
      <c r="C291" s="40">
        <v>21</v>
      </c>
      <c r="D291" s="7">
        <v>0.45763888888888887</v>
      </c>
      <c r="E291" s="7">
        <v>0.50277777777777777</v>
      </c>
      <c r="G291" s="2">
        <v>1</v>
      </c>
      <c r="I291" s="74">
        <v>1</v>
      </c>
      <c r="J291" s="74">
        <f t="shared" ref="J291:J297" si="155">ROUNDDOWN(M291*24,0)</f>
        <v>1</v>
      </c>
      <c r="K291" s="75">
        <f t="shared" ref="K291:K297" si="156">(M291*24-J291)*60</f>
        <v>5.0000000000000089</v>
      </c>
      <c r="L291" s="7">
        <f t="shared" ref="L291:L297" si="157">E291-D291</f>
        <v>4.5138888888888895E-2</v>
      </c>
      <c r="M291" s="22">
        <f t="shared" ref="M291:M297" si="158">L291</f>
        <v>4.5138888888888895E-2</v>
      </c>
      <c r="N291" s="14">
        <v>5875.8</v>
      </c>
      <c r="O291" s="310">
        <v>124.1</v>
      </c>
      <c r="P291" s="267"/>
      <c r="Q291" s="263">
        <f t="shared" ref="Q291:Q297" si="159">IF(L291=0,0,L291+$Q$2)</f>
        <v>4.8611111111111119E-2</v>
      </c>
    </row>
    <row r="292" spans="1:22" x14ac:dyDescent="0.35">
      <c r="A292" s="34">
        <v>43332</v>
      </c>
      <c r="C292" s="40">
        <v>16</v>
      </c>
      <c r="D292" s="7">
        <v>0.34861111111111115</v>
      </c>
      <c r="E292" s="7">
        <v>0.3756944444444445</v>
      </c>
      <c r="G292" s="2">
        <v>0</v>
      </c>
      <c r="H292" s="3" t="s">
        <v>190</v>
      </c>
      <c r="I292" s="74">
        <v>1</v>
      </c>
      <c r="J292" s="74">
        <f t="shared" si="155"/>
        <v>0</v>
      </c>
      <c r="K292" s="75">
        <f t="shared" si="156"/>
        <v>39.000000000000021</v>
      </c>
      <c r="L292" s="7">
        <f t="shared" si="157"/>
        <v>2.7083333333333348E-2</v>
      </c>
      <c r="M292" s="22">
        <f t="shared" si="158"/>
        <v>2.7083333333333348E-2</v>
      </c>
      <c r="N292" s="14">
        <v>5875.8</v>
      </c>
      <c r="O292" s="310">
        <v>124.1</v>
      </c>
      <c r="P292" s="267"/>
      <c r="Q292" s="263">
        <f t="shared" si="159"/>
        <v>3.0555555555555572E-2</v>
      </c>
    </row>
    <row r="293" spans="1:22" x14ac:dyDescent="0.35">
      <c r="A293" s="34">
        <v>43332</v>
      </c>
      <c r="C293" s="40">
        <v>16</v>
      </c>
      <c r="D293" s="7">
        <v>0.41736111111111113</v>
      </c>
      <c r="E293" s="7">
        <v>0.4458333333333333</v>
      </c>
      <c r="G293" s="2">
        <v>1</v>
      </c>
      <c r="I293" s="74">
        <v>1</v>
      </c>
      <c r="J293" s="74">
        <f t="shared" si="155"/>
        <v>0</v>
      </c>
      <c r="K293" s="75">
        <f t="shared" si="156"/>
        <v>40.999999999999936</v>
      </c>
      <c r="L293" s="7">
        <f t="shared" si="157"/>
        <v>2.8472222222222177E-2</v>
      </c>
      <c r="M293" s="22">
        <f t="shared" si="158"/>
        <v>2.8472222222222177E-2</v>
      </c>
      <c r="N293" s="14">
        <v>5877.2</v>
      </c>
      <c r="O293" s="310">
        <v>125.8</v>
      </c>
      <c r="P293" s="267"/>
      <c r="Q293" s="263">
        <f t="shared" si="159"/>
        <v>3.19444444444444E-2</v>
      </c>
    </row>
    <row r="294" spans="1:22" x14ac:dyDescent="0.35">
      <c r="A294" s="34">
        <v>43332</v>
      </c>
      <c r="C294" s="40">
        <v>3</v>
      </c>
      <c r="D294" s="7">
        <v>0.47291666666666665</v>
      </c>
      <c r="E294" s="7">
        <v>0.60555555555555551</v>
      </c>
      <c r="G294" s="2">
        <v>0</v>
      </c>
      <c r="H294" s="3" t="s">
        <v>269</v>
      </c>
      <c r="I294" s="74">
        <v>1</v>
      </c>
      <c r="J294" s="74">
        <f t="shared" si="155"/>
        <v>3</v>
      </c>
      <c r="K294" s="75">
        <f t="shared" si="156"/>
        <v>10.999999999999961</v>
      </c>
      <c r="L294" s="7">
        <f t="shared" si="157"/>
        <v>0.13263888888888886</v>
      </c>
      <c r="M294" s="22">
        <f t="shared" si="158"/>
        <v>0.13263888888888886</v>
      </c>
      <c r="N294" s="14">
        <v>5880.3</v>
      </c>
      <c r="O294" s="310"/>
      <c r="P294" s="267"/>
      <c r="Q294" s="263">
        <f t="shared" si="159"/>
        <v>0.13611111111111107</v>
      </c>
      <c r="S294" s="655"/>
      <c r="T294" s="655"/>
      <c r="U294" s="655"/>
      <c r="V294" s="655"/>
    </row>
    <row r="295" spans="1:22" x14ac:dyDescent="0.35">
      <c r="A295" s="34">
        <v>43333</v>
      </c>
      <c r="C295" s="40">
        <v>3</v>
      </c>
      <c r="D295" s="7">
        <v>0.66875000000000007</v>
      </c>
      <c r="E295" s="7">
        <v>0.69930555555555562</v>
      </c>
      <c r="G295" s="2">
        <v>0</v>
      </c>
      <c r="H295" s="3" t="s">
        <v>269</v>
      </c>
      <c r="I295" s="74">
        <v>1</v>
      </c>
      <c r="J295" s="74">
        <f t="shared" si="155"/>
        <v>0</v>
      </c>
      <c r="K295" s="75">
        <f t="shared" si="156"/>
        <v>44</v>
      </c>
      <c r="L295" s="7">
        <f t="shared" si="157"/>
        <v>3.0555555555555558E-2</v>
      </c>
      <c r="M295" s="22">
        <f t="shared" si="158"/>
        <v>3.0555555555555558E-2</v>
      </c>
      <c r="N295" s="14">
        <v>5881.1</v>
      </c>
      <c r="O295" s="310"/>
      <c r="P295" s="267"/>
      <c r="Q295" s="263">
        <f t="shared" si="159"/>
        <v>3.4027777777777782E-2</v>
      </c>
      <c r="V295" s="484"/>
    </row>
    <row r="296" spans="1:22" x14ac:dyDescent="0.35">
      <c r="A296" s="272">
        <v>43335</v>
      </c>
      <c r="C296" s="40">
        <v>3</v>
      </c>
      <c r="D296" s="7">
        <v>0.30416666666666664</v>
      </c>
      <c r="E296" s="7">
        <v>0.42499999999999999</v>
      </c>
      <c r="G296" s="2">
        <v>1</v>
      </c>
      <c r="I296" s="74">
        <v>1</v>
      </c>
      <c r="J296" s="74">
        <f t="shared" si="155"/>
        <v>2</v>
      </c>
      <c r="K296" s="75">
        <f t="shared" si="156"/>
        <v>54.000000000000021</v>
      </c>
      <c r="L296" s="7">
        <f t="shared" si="157"/>
        <v>0.12083333333333335</v>
      </c>
      <c r="M296" s="22">
        <f t="shared" si="158"/>
        <v>0.12083333333333335</v>
      </c>
      <c r="N296" s="14">
        <v>5884</v>
      </c>
      <c r="O296" s="310">
        <v>113.1</v>
      </c>
      <c r="P296" s="267"/>
      <c r="Q296" s="263">
        <f t="shared" si="159"/>
        <v>0.12430555555555557</v>
      </c>
      <c r="V296" s="484"/>
    </row>
    <row r="297" spans="1:22" ht="13.15" thickBot="1" x14ac:dyDescent="0.4">
      <c r="A297" s="38">
        <v>43335</v>
      </c>
      <c r="B297" s="24"/>
      <c r="C297" s="41">
        <v>0</v>
      </c>
      <c r="D297" s="9">
        <v>0.46180555555555558</v>
      </c>
      <c r="E297" s="9">
        <v>0.47152777777777777</v>
      </c>
      <c r="F297" s="25"/>
      <c r="G297" s="269">
        <v>0</v>
      </c>
      <c r="H297" s="28" t="s">
        <v>110</v>
      </c>
      <c r="I297" s="76">
        <v>1</v>
      </c>
      <c r="J297" s="76">
        <f t="shared" si="155"/>
        <v>0</v>
      </c>
      <c r="K297" s="77">
        <f t="shared" si="156"/>
        <v>13.99999999999995</v>
      </c>
      <c r="L297" s="9">
        <f t="shared" si="157"/>
        <v>9.7222222222221877E-3</v>
      </c>
      <c r="M297" s="26">
        <f t="shared" si="158"/>
        <v>9.7222222222221877E-3</v>
      </c>
      <c r="N297" s="27">
        <v>5884.3</v>
      </c>
      <c r="O297" s="311">
        <v>113.4</v>
      </c>
      <c r="P297" s="24"/>
      <c r="Q297" s="263">
        <f t="shared" si="159"/>
        <v>1.319444444444441E-2</v>
      </c>
      <c r="V297" s="484"/>
    </row>
    <row r="298" spans="1:22" ht="13.5" hidden="1" thickBot="1" x14ac:dyDescent="0.45">
      <c r="A298" s="6"/>
      <c r="B298" s="6"/>
      <c r="C298" s="42"/>
      <c r="D298" s="6"/>
      <c r="E298" s="6"/>
      <c r="F298" s="6"/>
      <c r="G298" s="266"/>
      <c r="H298" s="12"/>
      <c r="I298" s="78"/>
      <c r="J298" s="79">
        <f>SUM(J290:J297)</f>
        <v>14888.4</v>
      </c>
      <c r="K298" s="80">
        <f>SUM(K290:K297)</f>
        <v>225.99999999999991</v>
      </c>
      <c r="L298" s="10">
        <f>SUM(L291:L297)</f>
        <v>0.39444444444444438</v>
      </c>
      <c r="M298" s="10"/>
      <c r="N298" s="13">
        <f>MAX(N291:N297)</f>
        <v>5884.3</v>
      </c>
      <c r="O298" s="312">
        <f>MAX(O291:O297)</f>
        <v>125.8</v>
      </c>
      <c r="P298" s="6"/>
      <c r="Q298" s="162">
        <f>IF(L298=0,0,L298+$Q$2)</f>
        <v>0.39791666666666659</v>
      </c>
      <c r="V298" s="484"/>
    </row>
    <row r="299" spans="1:22" ht="13.5" thickBot="1" x14ac:dyDescent="0.45">
      <c r="A299" s="87" t="s">
        <v>16</v>
      </c>
      <c r="B299" s="506"/>
      <c r="C299" s="90"/>
      <c r="D299" s="89"/>
      <c r="E299" s="89"/>
      <c r="F299" s="91"/>
      <c r="G299" s="81"/>
      <c r="H299" s="92"/>
      <c r="I299" s="81">
        <f>SUM(I290:I297)</f>
        <v>20354</v>
      </c>
      <c r="J299" s="81">
        <f>ROUNDDOWN(K298/60,0)+J298</f>
        <v>14891.4</v>
      </c>
      <c r="K299" s="82">
        <f>ROUND(K298-(ROUNDDOWN(K298/60,0)*60),0)</f>
        <v>46</v>
      </c>
      <c r="L299" s="271">
        <f>L298</f>
        <v>0.39444444444444438</v>
      </c>
      <c r="M299" s="93"/>
      <c r="N299" s="94">
        <f>N298-N289</f>
        <v>9.6000000000003638</v>
      </c>
      <c r="O299" s="94">
        <f>IF(OR(O245="N/A",O245="N / A", O245="N/ A",O245="N /A"),"N / A", O298-O289)</f>
        <v>1.7000000000000028</v>
      </c>
      <c r="P299" s="371"/>
      <c r="Q299" s="162">
        <f>SUM(Q291:Q297)</f>
        <v>0.4187499999999999</v>
      </c>
      <c r="V299" s="484"/>
    </row>
    <row r="300" spans="1:22" x14ac:dyDescent="0.35">
      <c r="A300" s="34">
        <v>43700</v>
      </c>
      <c r="C300" s="40">
        <v>0</v>
      </c>
      <c r="D300" s="7">
        <v>0.48333333333333334</v>
      </c>
      <c r="E300" s="7">
        <v>0.5444444444444444</v>
      </c>
      <c r="G300" s="2">
        <v>0</v>
      </c>
      <c r="H300" s="3" t="s">
        <v>270</v>
      </c>
      <c r="I300" s="74">
        <v>1</v>
      </c>
      <c r="J300" s="74">
        <f t="shared" ref="J300:J306" si="160">ROUNDDOWN(M300*24,0)</f>
        <v>1</v>
      </c>
      <c r="K300" s="75">
        <f t="shared" ref="K300:K306" si="161">(M300*24-J300)*60</f>
        <v>27.999999999999929</v>
      </c>
      <c r="L300" s="7">
        <f t="shared" ref="L300:L306" si="162">E300-D300</f>
        <v>6.1111111111111061E-2</v>
      </c>
      <c r="M300" s="22">
        <f t="shared" ref="M300:M306" si="163">L300</f>
        <v>6.1111111111111061E-2</v>
      </c>
      <c r="N300" s="14">
        <v>5885.7</v>
      </c>
      <c r="O300" s="310">
        <v>135.1</v>
      </c>
      <c r="P300" s="267"/>
      <c r="Q300" s="263">
        <f t="shared" ref="Q300:Q306" si="164">IF(L300=0,0,L300+$Q$2)</f>
        <v>6.4583333333333284E-2</v>
      </c>
      <c r="V300" s="484"/>
    </row>
    <row r="301" spans="1:22" x14ac:dyDescent="0.35">
      <c r="A301" s="34">
        <v>43337</v>
      </c>
      <c r="C301" s="40" t="s">
        <v>272</v>
      </c>
      <c r="D301" s="7">
        <v>0.34097222222222223</v>
      </c>
      <c r="E301" s="7">
        <v>0.66111111111111109</v>
      </c>
      <c r="G301" s="2">
        <v>0</v>
      </c>
      <c r="H301" s="3" t="s">
        <v>270</v>
      </c>
      <c r="I301" s="74">
        <v>16</v>
      </c>
      <c r="J301" s="74">
        <f t="shared" si="160"/>
        <v>4</v>
      </c>
      <c r="K301" s="75">
        <f t="shared" si="161"/>
        <v>27.000000000000011</v>
      </c>
      <c r="L301" s="7">
        <v>0.18541666666666667</v>
      </c>
      <c r="M301" s="22">
        <f t="shared" si="163"/>
        <v>0.18541666666666667</v>
      </c>
      <c r="N301" s="14">
        <v>5890.2</v>
      </c>
      <c r="O301" s="310">
        <v>141.19999999999999</v>
      </c>
      <c r="P301" s="267"/>
      <c r="Q301" s="263">
        <f t="shared" si="164"/>
        <v>0.18888888888888888</v>
      </c>
      <c r="V301" s="484"/>
    </row>
    <row r="302" spans="1:22" x14ac:dyDescent="0.35">
      <c r="A302" s="34">
        <v>43338</v>
      </c>
      <c r="C302" s="40" t="s">
        <v>272</v>
      </c>
      <c r="D302" s="7">
        <v>0.33819444444444446</v>
      </c>
      <c r="E302" s="7">
        <v>0.66388888888888886</v>
      </c>
      <c r="G302" s="2">
        <v>0</v>
      </c>
      <c r="H302" s="3" t="s">
        <v>270</v>
      </c>
      <c r="I302" s="74">
        <v>20</v>
      </c>
      <c r="J302" s="74">
        <f t="shared" si="160"/>
        <v>4</v>
      </c>
      <c r="K302" s="75">
        <f t="shared" si="161"/>
        <v>52.000000000000028</v>
      </c>
      <c r="L302" s="7">
        <v>0.20277777777777781</v>
      </c>
      <c r="M302" s="22">
        <f t="shared" si="163"/>
        <v>0.20277777777777781</v>
      </c>
      <c r="N302" s="14">
        <v>5894.5</v>
      </c>
      <c r="O302" s="310">
        <v>148</v>
      </c>
      <c r="P302" s="267"/>
      <c r="Q302" s="263">
        <f t="shared" si="164"/>
        <v>0.20625000000000002</v>
      </c>
      <c r="V302" s="484"/>
    </row>
    <row r="303" spans="1:22" x14ac:dyDescent="0.35">
      <c r="A303" s="34">
        <v>43340</v>
      </c>
      <c r="C303" s="40" t="s">
        <v>272</v>
      </c>
      <c r="D303" s="7">
        <v>0.55555555555555558</v>
      </c>
      <c r="E303" s="7">
        <v>0.57152777777777775</v>
      </c>
      <c r="G303" s="2">
        <v>0</v>
      </c>
      <c r="H303" s="3" t="s">
        <v>270</v>
      </c>
      <c r="I303" s="74">
        <v>3</v>
      </c>
      <c r="J303" s="74">
        <f t="shared" si="160"/>
        <v>0</v>
      </c>
      <c r="K303" s="75">
        <f t="shared" si="161"/>
        <v>22.999999999999918</v>
      </c>
      <c r="L303" s="7">
        <f t="shared" si="162"/>
        <v>1.5972222222222165E-2</v>
      </c>
      <c r="M303" s="22">
        <f t="shared" si="163"/>
        <v>1.5972222222222165E-2</v>
      </c>
      <c r="N303" s="14">
        <v>5895</v>
      </c>
      <c r="O303" s="310">
        <v>148.4</v>
      </c>
      <c r="P303" s="267"/>
      <c r="Q303" s="263">
        <f t="shared" si="164"/>
        <v>1.9444444444444389E-2</v>
      </c>
    </row>
    <row r="304" spans="1:22" x14ac:dyDescent="0.35">
      <c r="A304" s="34">
        <v>43340</v>
      </c>
      <c r="C304" s="40" t="s">
        <v>272</v>
      </c>
      <c r="D304" s="7">
        <v>0.58750000000000002</v>
      </c>
      <c r="E304" s="7">
        <v>0.65486111111111112</v>
      </c>
      <c r="G304" s="2">
        <v>0</v>
      </c>
      <c r="H304" s="3" t="s">
        <v>270</v>
      </c>
      <c r="I304" s="74">
        <v>1</v>
      </c>
      <c r="J304" s="74">
        <f t="shared" si="160"/>
        <v>1</v>
      </c>
      <c r="K304" s="75">
        <f t="shared" si="161"/>
        <v>36.999999999999972</v>
      </c>
      <c r="L304" s="7">
        <f t="shared" si="162"/>
        <v>6.7361111111111094E-2</v>
      </c>
      <c r="M304" s="22">
        <f t="shared" si="163"/>
        <v>6.7361111111111094E-2</v>
      </c>
      <c r="N304" s="14">
        <v>5896.3</v>
      </c>
      <c r="O304" s="310"/>
      <c r="P304" s="267"/>
      <c r="Q304" s="263">
        <f t="shared" si="164"/>
        <v>7.0833333333333318E-2</v>
      </c>
    </row>
    <row r="305" spans="1:21" ht="13.15" x14ac:dyDescent="0.4">
      <c r="A305" s="272">
        <v>43351</v>
      </c>
      <c r="C305" s="40" t="s">
        <v>272</v>
      </c>
      <c r="D305" s="7">
        <v>0.53749999999999998</v>
      </c>
      <c r="E305" s="7">
        <v>0.58333333333333337</v>
      </c>
      <c r="G305" s="2">
        <v>0</v>
      </c>
      <c r="H305" s="3" t="s">
        <v>270</v>
      </c>
      <c r="I305" s="74">
        <v>7</v>
      </c>
      <c r="J305" s="74">
        <f t="shared" si="160"/>
        <v>1</v>
      </c>
      <c r="K305" s="75">
        <f t="shared" si="161"/>
        <v>6.0000000000000853</v>
      </c>
      <c r="L305" s="7">
        <f t="shared" si="162"/>
        <v>4.5833333333333393E-2</v>
      </c>
      <c r="M305" s="22">
        <f t="shared" si="163"/>
        <v>4.5833333333333393E-2</v>
      </c>
      <c r="N305" s="14">
        <v>5897.3</v>
      </c>
      <c r="O305" s="310">
        <v>149.5</v>
      </c>
      <c r="P305" s="267"/>
      <c r="Q305" s="263">
        <f t="shared" si="164"/>
        <v>4.9305555555555616E-2</v>
      </c>
      <c r="R305" s="621"/>
      <c r="T305" s="627"/>
    </row>
    <row r="306" spans="1:21" ht="13.15" thickBot="1" x14ac:dyDescent="0.4">
      <c r="A306" s="38">
        <v>43359</v>
      </c>
      <c r="B306" s="24"/>
      <c r="C306" s="41" t="s">
        <v>272</v>
      </c>
      <c r="D306" s="9">
        <v>0.50069444444444444</v>
      </c>
      <c r="E306" s="9">
        <v>0.5180555555555556</v>
      </c>
      <c r="F306" s="25"/>
      <c r="G306" s="269">
        <v>0</v>
      </c>
      <c r="H306" s="28" t="s">
        <v>270</v>
      </c>
      <c r="I306" s="76">
        <v>1</v>
      </c>
      <c r="J306" s="76">
        <f t="shared" si="160"/>
        <v>0</v>
      </c>
      <c r="K306" s="77">
        <f t="shared" si="161"/>
        <v>25.000000000000071</v>
      </c>
      <c r="L306" s="9">
        <f t="shared" si="162"/>
        <v>1.736111111111116E-2</v>
      </c>
      <c r="M306" s="26">
        <f t="shared" si="163"/>
        <v>1.736111111111116E-2</v>
      </c>
      <c r="N306" s="27">
        <v>5897.8</v>
      </c>
      <c r="O306" s="311">
        <v>150.19999999999999</v>
      </c>
      <c r="P306" s="24"/>
      <c r="Q306" s="263">
        <f t="shared" si="164"/>
        <v>2.0833333333333384E-2</v>
      </c>
    </row>
    <row r="307" spans="1:21" ht="13.5" hidden="1" thickBot="1" x14ac:dyDescent="0.45">
      <c r="A307" s="6"/>
      <c r="B307" s="6"/>
      <c r="C307" s="42"/>
      <c r="D307" s="6"/>
      <c r="E307" s="6"/>
      <c r="F307" s="6"/>
      <c r="G307" s="266"/>
      <c r="H307" s="12"/>
      <c r="I307" s="78"/>
      <c r="J307" s="79">
        <f>SUM(J299:J306)</f>
        <v>14902.4</v>
      </c>
      <c r="K307" s="80">
        <f>SUM(K299:K306)</f>
        <v>244</v>
      </c>
      <c r="L307" s="10">
        <f>SUM(L300:L306)</f>
        <v>0.59583333333333333</v>
      </c>
      <c r="M307" s="10"/>
      <c r="N307" s="13">
        <f>MAX(N300:N306)</f>
        <v>5897.8</v>
      </c>
      <c r="O307" s="312">
        <f>MAX(O300:O306)</f>
        <v>150.19999999999999</v>
      </c>
      <c r="P307" s="6"/>
      <c r="Q307" s="162">
        <f>IF(L307=0,0,L307+$Q$2)</f>
        <v>0.59930555555555554</v>
      </c>
    </row>
    <row r="308" spans="1:21" ht="13.5" thickBot="1" x14ac:dyDescent="0.45">
      <c r="A308" s="87" t="s">
        <v>16</v>
      </c>
      <c r="B308" s="506"/>
      <c r="C308" s="90"/>
      <c r="D308" s="89"/>
      <c r="E308" s="89"/>
      <c r="F308" s="91"/>
      <c r="G308" s="81"/>
      <c r="H308" s="92"/>
      <c r="I308" s="81">
        <f>SUM(I299:I306)</f>
        <v>20403</v>
      </c>
      <c r="J308" s="81">
        <f>ROUNDDOWN(K307/60,0)+J307</f>
        <v>14906.4</v>
      </c>
      <c r="K308" s="82">
        <f>ROUND(K307-(ROUNDDOWN(K307/60,0)*60),0)</f>
        <v>4</v>
      </c>
      <c r="L308" s="271">
        <f>L307</f>
        <v>0.59583333333333333</v>
      </c>
      <c r="M308" s="93"/>
      <c r="N308" s="94">
        <f>N307-N298</f>
        <v>13.5</v>
      </c>
      <c r="O308" s="94">
        <f>IF(OR(O254="N/A",O254="N / A", O254="N/ A",O254="N /A"),"N / A", O307-O298)</f>
        <v>24.399999999999991</v>
      </c>
      <c r="P308" s="371"/>
      <c r="Q308" s="162">
        <f>SUM(Q300:Q306)</f>
        <v>0.6201388888888888</v>
      </c>
      <c r="U308" s="626"/>
    </row>
    <row r="309" spans="1:21" x14ac:dyDescent="0.35">
      <c r="A309" s="34">
        <v>43362</v>
      </c>
      <c r="C309" s="40" t="s">
        <v>272</v>
      </c>
      <c r="D309" s="7">
        <v>0.49305555555555558</v>
      </c>
      <c r="E309" s="7">
        <v>0.52152777777777781</v>
      </c>
      <c r="G309" s="2">
        <v>0</v>
      </c>
      <c r="H309" s="3" t="s">
        <v>275</v>
      </c>
      <c r="I309" s="74">
        <v>1</v>
      </c>
      <c r="J309" s="74">
        <f t="shared" ref="J309:J315" si="165">ROUNDDOWN(M309*24,0)</f>
        <v>0</v>
      </c>
      <c r="K309" s="75">
        <f t="shared" ref="K309:K315" si="166">(M309*24-J309)*60</f>
        <v>41.000000000000014</v>
      </c>
      <c r="L309" s="7">
        <f t="shared" ref="L309:L315" si="167">E309-D309</f>
        <v>2.8472222222222232E-2</v>
      </c>
      <c r="M309" s="22">
        <f t="shared" ref="M309:M315" si="168">L309</f>
        <v>2.8472222222222232E-2</v>
      </c>
      <c r="N309" s="14">
        <v>5898.5</v>
      </c>
      <c r="O309" s="310">
        <v>151</v>
      </c>
      <c r="P309" s="267"/>
      <c r="Q309" s="263">
        <f t="shared" ref="Q309:Q315" si="169">IF(L309=0,0,L309+$Q$2)</f>
        <v>3.1944444444444456E-2</v>
      </c>
      <c r="T309" s="556"/>
    </row>
    <row r="310" spans="1:21" x14ac:dyDescent="0.35">
      <c r="A310" s="34">
        <v>43362</v>
      </c>
      <c r="C310" s="40" t="s">
        <v>272</v>
      </c>
      <c r="D310" s="7">
        <v>0.64444444444444449</v>
      </c>
      <c r="E310" s="7">
        <v>0.67083333333333339</v>
      </c>
      <c r="G310" s="2">
        <v>0</v>
      </c>
      <c r="H310" s="3" t="s">
        <v>270</v>
      </c>
      <c r="I310" s="74">
        <v>1</v>
      </c>
      <c r="J310" s="74">
        <f t="shared" si="165"/>
        <v>0</v>
      </c>
      <c r="K310" s="75">
        <f t="shared" si="166"/>
        <v>38.000000000000028</v>
      </c>
      <c r="L310" s="7">
        <f t="shared" si="167"/>
        <v>2.6388888888888906E-2</v>
      </c>
      <c r="M310" s="22">
        <f t="shared" si="168"/>
        <v>2.6388888888888906E-2</v>
      </c>
      <c r="N310" s="14">
        <v>5899.1</v>
      </c>
      <c r="O310" s="310">
        <v>151.69999999999999</v>
      </c>
      <c r="P310" s="267"/>
      <c r="Q310" s="263">
        <f t="shared" si="169"/>
        <v>2.986111111111113E-2</v>
      </c>
    </row>
    <row r="311" spans="1:21" x14ac:dyDescent="0.35">
      <c r="A311" s="34">
        <v>43362</v>
      </c>
      <c r="C311" s="40">
        <v>0</v>
      </c>
      <c r="D311" s="512">
        <v>0.71805555555555556</v>
      </c>
      <c r="E311" s="7">
        <v>0.81111111111111101</v>
      </c>
      <c r="G311" s="2">
        <v>0</v>
      </c>
      <c r="H311" s="3" t="s">
        <v>163</v>
      </c>
      <c r="I311" s="74">
        <v>1</v>
      </c>
      <c r="J311" s="74">
        <f t="shared" si="165"/>
        <v>2</v>
      </c>
      <c r="K311" s="75">
        <f t="shared" si="166"/>
        <v>13.999999999999844</v>
      </c>
      <c r="L311" s="7">
        <f t="shared" si="167"/>
        <v>9.3055555555555447E-2</v>
      </c>
      <c r="M311" s="22">
        <f t="shared" si="168"/>
        <v>9.3055555555555447E-2</v>
      </c>
      <c r="N311" s="14">
        <v>5901.3</v>
      </c>
      <c r="O311" s="310">
        <v>151.80000000000001</v>
      </c>
      <c r="P311" s="294" t="s">
        <v>117</v>
      </c>
      <c r="Q311" s="263">
        <f t="shared" si="169"/>
        <v>9.6527777777777671E-2</v>
      </c>
    </row>
    <row r="312" spans="1:21" x14ac:dyDescent="0.35">
      <c r="A312" s="34">
        <v>43363</v>
      </c>
      <c r="C312" s="40">
        <v>10</v>
      </c>
      <c r="D312" s="7">
        <v>0.28611111111111115</v>
      </c>
      <c r="E312" s="7">
        <v>0.30833333333333335</v>
      </c>
      <c r="G312" s="2">
        <v>1</v>
      </c>
      <c r="I312" s="74">
        <v>1</v>
      </c>
      <c r="J312" s="74">
        <f t="shared" si="165"/>
        <v>0</v>
      </c>
      <c r="K312" s="75">
        <f t="shared" si="166"/>
        <v>31.999999999999964</v>
      </c>
      <c r="L312" s="7">
        <f t="shared" si="167"/>
        <v>2.2222222222222199E-2</v>
      </c>
      <c r="M312" s="22">
        <f t="shared" si="168"/>
        <v>2.2222222222222199E-2</v>
      </c>
      <c r="N312" s="14">
        <v>5901.8</v>
      </c>
      <c r="O312" s="310">
        <v>152.5</v>
      </c>
      <c r="P312" s="294" t="s">
        <v>276</v>
      </c>
      <c r="Q312" s="263">
        <f t="shared" si="169"/>
        <v>2.5694444444444423E-2</v>
      </c>
    </row>
    <row r="313" spans="1:21" x14ac:dyDescent="0.35">
      <c r="A313" s="34">
        <v>43363</v>
      </c>
      <c r="C313" s="40">
        <v>10</v>
      </c>
      <c r="D313" s="7">
        <v>0.39861111111111108</v>
      </c>
      <c r="E313" s="7">
        <v>0.44861111111111113</v>
      </c>
      <c r="G313" s="2">
        <v>0</v>
      </c>
      <c r="H313" s="3" t="s">
        <v>160</v>
      </c>
      <c r="I313" s="74">
        <v>1</v>
      </c>
      <c r="J313" s="74">
        <f t="shared" si="165"/>
        <v>1</v>
      </c>
      <c r="K313" s="75">
        <f t="shared" si="166"/>
        <v>12.000000000000064</v>
      </c>
      <c r="L313" s="7">
        <f t="shared" si="167"/>
        <v>5.0000000000000044E-2</v>
      </c>
      <c r="M313" s="22">
        <f t="shared" si="168"/>
        <v>5.0000000000000044E-2</v>
      </c>
      <c r="N313" s="14">
        <v>5903.1</v>
      </c>
      <c r="O313" s="310">
        <v>153.9</v>
      </c>
      <c r="P313" s="267"/>
      <c r="Q313" s="263">
        <f t="shared" si="169"/>
        <v>5.3472222222222268E-2</v>
      </c>
    </row>
    <row r="314" spans="1:21" x14ac:dyDescent="0.35">
      <c r="A314" s="272">
        <v>43363</v>
      </c>
      <c r="C314" s="40">
        <v>10</v>
      </c>
      <c r="D314" s="7">
        <v>0.57500000000000007</v>
      </c>
      <c r="E314" s="7">
        <v>0.63194444444444442</v>
      </c>
      <c r="G314" s="2">
        <v>1</v>
      </c>
      <c r="I314" s="74">
        <v>1</v>
      </c>
      <c r="J314" s="74">
        <f t="shared" si="165"/>
        <v>1</v>
      </c>
      <c r="K314" s="75">
        <f t="shared" si="166"/>
        <v>21.999999999999869</v>
      </c>
      <c r="L314" s="7">
        <f t="shared" si="167"/>
        <v>5.6944444444444353E-2</v>
      </c>
      <c r="M314" s="22">
        <f t="shared" si="168"/>
        <v>5.6944444444444353E-2</v>
      </c>
      <c r="N314" s="14">
        <v>5904.4</v>
      </c>
      <c r="O314" s="310">
        <v>155.30000000000001</v>
      </c>
      <c r="P314" s="267"/>
      <c r="Q314" s="263">
        <f t="shared" si="169"/>
        <v>6.0416666666666577E-2</v>
      </c>
    </row>
    <row r="315" spans="1:21" ht="13.15" thickBot="1" x14ac:dyDescent="0.4">
      <c r="A315" s="38">
        <v>43364</v>
      </c>
      <c r="B315" s="24"/>
      <c r="C315" s="41">
        <v>20</v>
      </c>
      <c r="D315" s="9">
        <v>0.31041666666666667</v>
      </c>
      <c r="E315" s="9">
        <v>0.41319444444444442</v>
      </c>
      <c r="F315" s="25"/>
      <c r="G315" s="269">
        <v>0</v>
      </c>
      <c r="H315" s="28" t="s">
        <v>189</v>
      </c>
      <c r="I315" s="76">
        <v>1</v>
      </c>
      <c r="J315" s="76">
        <f t="shared" si="165"/>
        <v>2</v>
      </c>
      <c r="K315" s="77">
        <f t="shared" si="166"/>
        <v>27.999999999999954</v>
      </c>
      <c r="L315" s="9">
        <f t="shared" si="167"/>
        <v>0.10277777777777775</v>
      </c>
      <c r="M315" s="26">
        <f t="shared" si="168"/>
        <v>0.10277777777777775</v>
      </c>
      <c r="N315" s="27">
        <v>5906.9</v>
      </c>
      <c r="O315" s="311">
        <v>157.9</v>
      </c>
      <c r="P315" s="383" t="s">
        <v>278</v>
      </c>
      <c r="Q315" s="263">
        <f t="shared" si="169"/>
        <v>0.10624999999999997</v>
      </c>
    </row>
    <row r="316" spans="1:21" ht="13.5" hidden="1" thickBot="1" x14ac:dyDescent="0.45">
      <c r="A316" s="6"/>
      <c r="B316" s="6"/>
      <c r="C316" s="42"/>
      <c r="D316" s="6"/>
      <c r="E316" s="6"/>
      <c r="F316" s="6"/>
      <c r="G316" s="266"/>
      <c r="H316" s="12"/>
      <c r="I316" s="78"/>
      <c r="J316" s="79">
        <f>SUM(J308:J315)</f>
        <v>14912.4</v>
      </c>
      <c r="K316" s="80">
        <f>SUM(K308:K315)</f>
        <v>190.99999999999972</v>
      </c>
      <c r="L316" s="10">
        <f>SUM(L309:L315)</f>
        <v>0.37986111111111093</v>
      </c>
      <c r="M316" s="10"/>
      <c r="N316" s="13">
        <f>MAX(N309:N315)</f>
        <v>5906.9</v>
      </c>
      <c r="O316" s="312">
        <f>MAX(O309:O315)</f>
        <v>157.9</v>
      </c>
      <c r="P316" s="6"/>
      <c r="Q316" s="162">
        <f>IF(L316=0,0,L316+$Q$2)</f>
        <v>0.38333333333333314</v>
      </c>
    </row>
    <row r="317" spans="1:21" ht="13.5" thickBot="1" x14ac:dyDescent="0.45">
      <c r="A317" s="87" t="s">
        <v>16</v>
      </c>
      <c r="B317" s="506"/>
      <c r="C317" s="90"/>
      <c r="D317" s="89"/>
      <c r="E317" s="89"/>
      <c r="F317" s="91"/>
      <c r="G317" s="81"/>
      <c r="H317" s="92"/>
      <c r="I317" s="81">
        <f>SUM(I308:I315)</f>
        <v>20410</v>
      </c>
      <c r="J317" s="81">
        <f>ROUNDDOWN(K316/60,0)+J316</f>
        <v>14915.4</v>
      </c>
      <c r="K317" s="82">
        <f>ROUND(K316-(ROUNDDOWN(K316/60,0)*60),0)</f>
        <v>11</v>
      </c>
      <c r="L317" s="271">
        <f>L316</f>
        <v>0.37986111111111093</v>
      </c>
      <c r="M317" s="93"/>
      <c r="N317" s="94">
        <f>N316-N307</f>
        <v>9.0999999999994543</v>
      </c>
      <c r="O317" s="94">
        <f>IF(OR(O263="N/A",O263="N / A", O263="N/ A",O263="N /A"),"N / A", O316-O307)</f>
        <v>7.7000000000000171</v>
      </c>
      <c r="P317" s="371"/>
      <c r="Q317" s="162">
        <f>SUM(Q309:Q315)</f>
        <v>0.40416666666666645</v>
      </c>
    </row>
    <row r="318" spans="1:21" x14ac:dyDescent="0.35">
      <c r="A318" s="34">
        <v>43364</v>
      </c>
      <c r="C318" s="40">
        <v>20</v>
      </c>
      <c r="D318" s="7">
        <v>0.61458333333333337</v>
      </c>
      <c r="E318" s="7">
        <v>0.70833333333333337</v>
      </c>
      <c r="G318" s="2">
        <v>1</v>
      </c>
      <c r="I318" s="74">
        <v>1</v>
      </c>
      <c r="J318" s="74">
        <f t="shared" ref="J318:J324" si="170">ROUNDDOWN(M318*24,0)</f>
        <v>2</v>
      </c>
      <c r="K318" s="75">
        <f t="shared" ref="K318:K324" si="171">(M318*24-J318)*60</f>
        <v>15</v>
      </c>
      <c r="L318" s="7">
        <f t="shared" ref="L318:L324" si="172">E318-D318</f>
        <v>9.375E-2</v>
      </c>
      <c r="M318" s="22">
        <f t="shared" ref="M318:M324" si="173">L318</f>
        <v>9.375E-2</v>
      </c>
      <c r="N318" s="14">
        <v>5909.2</v>
      </c>
      <c r="O318" s="310">
        <v>160.30000000000001</v>
      </c>
      <c r="P318" s="267"/>
      <c r="Q318" s="263">
        <f t="shared" ref="Q318:Q324" si="174">IF(L318=0,0,L318+$Q$2)</f>
        <v>9.7222222222222224E-2</v>
      </c>
    </row>
    <row r="319" spans="1:21" x14ac:dyDescent="0.35">
      <c r="A319" s="34">
        <v>43364</v>
      </c>
      <c r="C319" s="40">
        <v>25</v>
      </c>
      <c r="D319" s="7">
        <v>0.40277777777777773</v>
      </c>
      <c r="E319" s="7">
        <v>0.45833333333333331</v>
      </c>
      <c r="G319" s="2">
        <v>0</v>
      </c>
      <c r="H319" s="3" t="s">
        <v>197</v>
      </c>
      <c r="I319" s="74">
        <v>1</v>
      </c>
      <c r="J319" s="74">
        <f t="shared" si="170"/>
        <v>1</v>
      </c>
      <c r="K319" s="75">
        <f t="shared" si="171"/>
        <v>20.000000000000036</v>
      </c>
      <c r="L319" s="7">
        <f t="shared" si="172"/>
        <v>5.555555555555558E-2</v>
      </c>
      <c r="M319" s="22">
        <f t="shared" si="173"/>
        <v>5.555555555555558E-2</v>
      </c>
      <c r="N319" s="14">
        <v>5910.4</v>
      </c>
      <c r="O319" s="310">
        <v>161.9</v>
      </c>
      <c r="P319" s="267"/>
      <c r="Q319" s="263">
        <f t="shared" si="174"/>
        <v>5.9027777777777804E-2</v>
      </c>
    </row>
    <row r="320" spans="1:21" x14ac:dyDescent="0.35">
      <c r="A320" s="34">
        <v>43364</v>
      </c>
      <c r="C320" s="40">
        <v>25</v>
      </c>
      <c r="D320" s="7">
        <v>0.47569444444444442</v>
      </c>
      <c r="E320" s="7">
        <v>0.52083333333333337</v>
      </c>
      <c r="G320" s="2">
        <v>2</v>
      </c>
      <c r="I320" s="74">
        <v>2</v>
      </c>
      <c r="J320" s="74">
        <f t="shared" si="170"/>
        <v>1</v>
      </c>
      <c r="K320" s="75">
        <f t="shared" si="171"/>
        <v>5.0000000000000888</v>
      </c>
      <c r="L320" s="7">
        <f t="shared" si="172"/>
        <v>4.5138888888888951E-2</v>
      </c>
      <c r="M320" s="22">
        <f t="shared" si="173"/>
        <v>4.5138888888888951E-2</v>
      </c>
      <c r="N320" s="14">
        <v>5911.5</v>
      </c>
      <c r="O320" s="310">
        <v>163.1</v>
      </c>
      <c r="P320" s="267"/>
      <c r="Q320" s="263">
        <f t="shared" si="174"/>
        <v>4.8611111111111174E-2</v>
      </c>
    </row>
    <row r="321" spans="1:17" x14ac:dyDescent="0.35">
      <c r="A321" s="34">
        <v>43365</v>
      </c>
      <c r="C321" s="40">
        <v>20</v>
      </c>
      <c r="D321" s="7">
        <v>0.64861111111111114</v>
      </c>
      <c r="E321" s="7">
        <v>0.73402777777777783</v>
      </c>
      <c r="G321" s="2">
        <v>1</v>
      </c>
      <c r="I321" s="74">
        <v>1</v>
      </c>
      <c r="J321" s="74">
        <f t="shared" si="170"/>
        <v>2</v>
      </c>
      <c r="K321" s="75">
        <f t="shared" si="171"/>
        <v>3.0000000000000426</v>
      </c>
      <c r="L321" s="7">
        <f t="shared" si="172"/>
        <v>8.5416666666666696E-2</v>
      </c>
      <c r="M321" s="22">
        <f t="shared" si="173"/>
        <v>8.5416666666666696E-2</v>
      </c>
      <c r="N321" s="14">
        <v>5913.5</v>
      </c>
      <c r="O321" s="310">
        <v>165</v>
      </c>
      <c r="P321" s="267"/>
      <c r="Q321" s="263">
        <f t="shared" si="174"/>
        <v>8.888888888888892E-2</v>
      </c>
    </row>
    <row r="322" spans="1:17" x14ac:dyDescent="0.35">
      <c r="A322" s="34">
        <v>43368</v>
      </c>
      <c r="C322" s="40">
        <v>20</v>
      </c>
      <c r="D322" s="7">
        <v>0.37847222222222227</v>
      </c>
      <c r="E322" s="7">
        <v>0.44444444444444442</v>
      </c>
      <c r="G322" s="2">
        <v>1</v>
      </c>
      <c r="I322" s="74">
        <v>1</v>
      </c>
      <c r="J322" s="74">
        <f t="shared" si="170"/>
        <v>1</v>
      </c>
      <c r="K322" s="75">
        <f t="shared" si="171"/>
        <v>34.999999999999901</v>
      </c>
      <c r="L322" s="7">
        <f t="shared" si="172"/>
        <v>6.5972222222222154E-2</v>
      </c>
      <c r="M322" s="22">
        <f t="shared" si="173"/>
        <v>6.5972222222222154E-2</v>
      </c>
      <c r="N322" s="14">
        <v>5915.1</v>
      </c>
      <c r="O322" s="310">
        <v>166.8</v>
      </c>
      <c r="P322" s="267"/>
      <c r="Q322" s="263">
        <f t="shared" si="174"/>
        <v>6.9444444444444378E-2</v>
      </c>
    </row>
    <row r="323" spans="1:17" x14ac:dyDescent="0.35">
      <c r="A323" s="272">
        <v>43368</v>
      </c>
      <c r="C323" s="40">
        <v>0</v>
      </c>
      <c r="D323" s="7">
        <v>0.67361111111111116</v>
      </c>
      <c r="E323" s="7">
        <v>0.69374999999999998</v>
      </c>
      <c r="G323" s="2">
        <v>1</v>
      </c>
      <c r="I323" s="74">
        <v>1</v>
      </c>
      <c r="J323" s="74">
        <f t="shared" si="170"/>
        <v>0</v>
      </c>
      <c r="K323" s="75">
        <f t="shared" si="171"/>
        <v>28.999999999999897</v>
      </c>
      <c r="L323" s="7">
        <f t="shared" si="172"/>
        <v>2.0138888888888817E-2</v>
      </c>
      <c r="M323" s="22">
        <f t="shared" si="173"/>
        <v>2.0138888888888817E-2</v>
      </c>
      <c r="N323" s="14">
        <v>5915.7</v>
      </c>
      <c r="O323" s="310">
        <v>167.6</v>
      </c>
      <c r="P323" s="294" t="s">
        <v>277</v>
      </c>
      <c r="Q323" s="263">
        <f t="shared" si="174"/>
        <v>2.3611111111111041E-2</v>
      </c>
    </row>
    <row r="324" spans="1:17" ht="13.15" thickBot="1" x14ac:dyDescent="0.4">
      <c r="A324" s="38">
        <v>43368</v>
      </c>
      <c r="B324" s="24"/>
      <c r="C324" s="41">
        <v>1</v>
      </c>
      <c r="D324" s="9">
        <v>0.73749999999999993</v>
      </c>
      <c r="E324" s="9">
        <v>0.74652777777777779</v>
      </c>
      <c r="F324" s="25"/>
      <c r="G324" s="269">
        <v>2</v>
      </c>
      <c r="H324" s="28"/>
      <c r="I324" s="76">
        <v>2</v>
      </c>
      <c r="J324" s="76">
        <f t="shared" si="170"/>
        <v>0</v>
      </c>
      <c r="K324" s="77">
        <f t="shared" si="171"/>
        <v>13.000000000000114</v>
      </c>
      <c r="L324" s="9">
        <f t="shared" si="172"/>
        <v>9.0277777777778567E-3</v>
      </c>
      <c r="M324" s="26">
        <f t="shared" si="173"/>
        <v>9.0277777777778567E-3</v>
      </c>
      <c r="N324" s="27">
        <v>5915.9</v>
      </c>
      <c r="O324" s="311">
        <v>168</v>
      </c>
      <c r="P324" s="24"/>
      <c r="Q324" s="263">
        <f t="shared" si="174"/>
        <v>1.2500000000000079E-2</v>
      </c>
    </row>
    <row r="325" spans="1:17" ht="13.5" hidden="1" thickBot="1" x14ac:dyDescent="0.45">
      <c r="A325" s="6"/>
      <c r="B325" s="6"/>
      <c r="C325" s="42"/>
      <c r="D325" s="6"/>
      <c r="E325" s="6"/>
      <c r="F325" s="6"/>
      <c r="G325" s="266"/>
      <c r="H325" s="12"/>
      <c r="I325" s="78"/>
      <c r="J325" s="79">
        <f>SUM(J317:J324)</f>
        <v>14922.4</v>
      </c>
      <c r="K325" s="80">
        <f>SUM(K317:K324)</f>
        <v>131.00000000000009</v>
      </c>
      <c r="L325" s="10">
        <f>SUM(L318:L324)</f>
        <v>0.37500000000000006</v>
      </c>
      <c r="M325" s="10"/>
      <c r="N325" s="13">
        <f>MAX(N318:N324)</f>
        <v>5915.9</v>
      </c>
      <c r="O325" s="312">
        <f>MAX(O318:O324)</f>
        <v>168</v>
      </c>
      <c r="P325" s="6"/>
      <c r="Q325" s="162">
        <f>IF(L325=0,0,L325+$Q$2)</f>
        <v>0.37847222222222227</v>
      </c>
    </row>
    <row r="326" spans="1:17" ht="13.5" thickBot="1" x14ac:dyDescent="0.45">
      <c r="A326" s="87" t="s">
        <v>16</v>
      </c>
      <c r="B326" s="506"/>
      <c r="C326" s="90"/>
      <c r="D326" s="89"/>
      <c r="E326" s="89"/>
      <c r="F326" s="91"/>
      <c r="G326" s="81"/>
      <c r="H326" s="92"/>
      <c r="I326" s="81">
        <f>SUM(I317:I324)</f>
        <v>20419</v>
      </c>
      <c r="J326" s="81">
        <f>ROUNDDOWN(K325/60,0)+J325</f>
        <v>14924.4</v>
      </c>
      <c r="K326" s="82">
        <f>ROUND(K325-(ROUNDDOWN(K325/60,0)*60),0)</f>
        <v>11</v>
      </c>
      <c r="L326" s="271">
        <f>L325</f>
        <v>0.37500000000000006</v>
      </c>
      <c r="M326" s="93"/>
      <c r="N326" s="94">
        <f>N325-N316</f>
        <v>9</v>
      </c>
      <c r="O326" s="94">
        <f>IF(OR(O272="N/A",O272="N / A", O272="N/ A",O272="N /A"),"N / A", O325-O316)</f>
        <v>10.099999999999994</v>
      </c>
      <c r="P326" s="371"/>
      <c r="Q326" s="162">
        <f>SUM(Q318:Q324)</f>
        <v>0.39930555555555558</v>
      </c>
    </row>
    <row r="327" spans="1:17" x14ac:dyDescent="0.35">
      <c r="A327" s="34">
        <v>43368</v>
      </c>
      <c r="C327" s="40">
        <v>1</v>
      </c>
      <c r="D327" s="7">
        <v>0.75069444444444444</v>
      </c>
      <c r="E327" s="7">
        <v>0.7583333333333333</v>
      </c>
      <c r="G327" s="2">
        <v>1</v>
      </c>
      <c r="I327" s="74">
        <v>1</v>
      </c>
      <c r="J327" s="74">
        <f t="shared" ref="J327:J333" si="175">ROUNDDOWN(M327*24,0)</f>
        <v>0</v>
      </c>
      <c r="K327" s="75">
        <f t="shared" ref="K327:K333" si="176">(M327*24-J327)*60</f>
        <v>10.999999999999961</v>
      </c>
      <c r="L327" s="7">
        <f t="shared" ref="L327:L333" si="177">E327-D327</f>
        <v>7.6388888888888618E-3</v>
      </c>
      <c r="M327" s="22">
        <f t="shared" ref="M327:M333" si="178">L327</f>
        <v>7.6388888888888618E-3</v>
      </c>
      <c r="N327" s="14">
        <v>5916.1</v>
      </c>
      <c r="O327" s="310">
        <v>168.3</v>
      </c>
      <c r="P327" s="267"/>
      <c r="Q327" s="263">
        <f t="shared" ref="Q327:Q332" si="179">IF(L327=0,0,L327+$Q$2)</f>
        <v>1.1111111111111084E-2</v>
      </c>
    </row>
    <row r="328" spans="1:17" x14ac:dyDescent="0.35">
      <c r="A328" s="34">
        <v>43369</v>
      </c>
      <c r="C328" s="40">
        <v>15</v>
      </c>
      <c r="D328" s="7">
        <v>0.60277777777777775</v>
      </c>
      <c r="E328" s="7">
        <v>0.64930555555555558</v>
      </c>
      <c r="G328" s="2">
        <v>4</v>
      </c>
      <c r="I328" s="74">
        <v>4</v>
      </c>
      <c r="J328" s="74">
        <f t="shared" si="175"/>
        <v>1</v>
      </c>
      <c r="K328" s="75">
        <f t="shared" si="176"/>
        <v>7.0000000000000817</v>
      </c>
      <c r="L328" s="7">
        <f t="shared" si="177"/>
        <v>4.6527777777777835E-2</v>
      </c>
      <c r="M328" s="22">
        <f t="shared" si="178"/>
        <v>4.6527777777777835E-2</v>
      </c>
      <c r="N328" s="14">
        <v>5917.2</v>
      </c>
      <c r="O328" s="310">
        <v>169.7</v>
      </c>
      <c r="P328" s="267"/>
      <c r="Q328" s="263">
        <f t="shared" si="179"/>
        <v>5.0000000000000058E-2</v>
      </c>
    </row>
    <row r="329" spans="1:17" x14ac:dyDescent="0.35">
      <c r="A329" s="34">
        <v>43370</v>
      </c>
      <c r="C329" s="40">
        <v>0</v>
      </c>
      <c r="D329" s="7">
        <v>0.28541666666666665</v>
      </c>
      <c r="E329" s="7">
        <v>0.30902777777777779</v>
      </c>
      <c r="G329" s="2">
        <v>0</v>
      </c>
      <c r="H329" s="3" t="s">
        <v>163</v>
      </c>
      <c r="I329" s="74">
        <v>1</v>
      </c>
      <c r="J329" s="74">
        <f t="shared" si="175"/>
        <v>0</v>
      </c>
      <c r="K329" s="75">
        <f t="shared" si="176"/>
        <v>34.000000000000043</v>
      </c>
      <c r="L329" s="7">
        <f t="shared" si="177"/>
        <v>2.3611111111111138E-2</v>
      </c>
      <c r="M329" s="22">
        <f t="shared" si="178"/>
        <v>2.3611111111111138E-2</v>
      </c>
      <c r="N329" s="14">
        <v>5917.8</v>
      </c>
      <c r="O329" s="310">
        <v>170.5</v>
      </c>
      <c r="P329" s="294" t="s">
        <v>117</v>
      </c>
      <c r="Q329" s="263">
        <v>2.361111111111111E-2</v>
      </c>
    </row>
    <row r="330" spans="1:17" x14ac:dyDescent="0.35">
      <c r="A330" s="34">
        <v>43385</v>
      </c>
      <c r="C330" s="40">
        <v>0</v>
      </c>
      <c r="D330" s="7">
        <v>0.63680555555555551</v>
      </c>
      <c r="E330" s="7">
        <v>0.65416666666666667</v>
      </c>
      <c r="G330" s="2">
        <v>1</v>
      </c>
      <c r="I330" s="74">
        <v>1</v>
      </c>
      <c r="J330" s="74">
        <f t="shared" si="175"/>
        <v>0</v>
      </c>
      <c r="K330" s="75">
        <f t="shared" si="176"/>
        <v>25.000000000000071</v>
      </c>
      <c r="L330" s="7">
        <f t="shared" si="177"/>
        <v>1.736111111111116E-2</v>
      </c>
      <c r="M330" s="22">
        <f t="shared" si="178"/>
        <v>1.736111111111116E-2</v>
      </c>
      <c r="N330" s="14">
        <v>5918.4</v>
      </c>
      <c r="O330" s="310">
        <v>171.2</v>
      </c>
      <c r="P330" s="294" t="s">
        <v>117</v>
      </c>
      <c r="Q330" s="263">
        <v>1.7361111111111112E-2</v>
      </c>
    </row>
    <row r="331" spans="1:17" x14ac:dyDescent="0.35">
      <c r="A331" s="34">
        <v>43385</v>
      </c>
      <c r="C331" s="40">
        <v>16</v>
      </c>
      <c r="D331" s="7">
        <v>0.6791666666666667</v>
      </c>
      <c r="E331" s="7">
        <v>0.70277777777777783</v>
      </c>
      <c r="G331" s="2">
        <v>1</v>
      </c>
      <c r="I331" s="74">
        <v>1</v>
      </c>
      <c r="J331" s="74">
        <f t="shared" si="175"/>
        <v>0</v>
      </c>
      <c r="K331" s="75">
        <f t="shared" si="176"/>
        <v>34.000000000000043</v>
      </c>
      <c r="L331" s="7">
        <f t="shared" si="177"/>
        <v>2.3611111111111138E-2</v>
      </c>
      <c r="M331" s="22">
        <f t="shared" si="178"/>
        <v>2.3611111111111138E-2</v>
      </c>
      <c r="N331" s="14">
        <v>5919</v>
      </c>
      <c r="O331" s="310">
        <v>172</v>
      </c>
      <c r="P331" s="267"/>
      <c r="Q331" s="263">
        <f t="shared" si="179"/>
        <v>2.7083333333333362E-2</v>
      </c>
    </row>
    <row r="332" spans="1:17" x14ac:dyDescent="0.35">
      <c r="A332" s="272">
        <v>43386</v>
      </c>
      <c r="C332" s="40">
        <v>9</v>
      </c>
      <c r="D332" s="7">
        <v>0.47569444444444442</v>
      </c>
      <c r="E332" s="7">
        <v>0.53819444444444442</v>
      </c>
      <c r="G332" s="2">
        <v>3</v>
      </c>
      <c r="I332" s="74">
        <v>3</v>
      </c>
      <c r="J332" s="74">
        <f t="shared" si="175"/>
        <v>1</v>
      </c>
      <c r="K332" s="75">
        <f t="shared" si="176"/>
        <v>30</v>
      </c>
      <c r="L332" s="7">
        <f t="shared" si="177"/>
        <v>6.25E-2</v>
      </c>
      <c r="M332" s="22">
        <f t="shared" si="178"/>
        <v>6.25E-2</v>
      </c>
      <c r="N332" s="14">
        <v>5920.4</v>
      </c>
      <c r="O332" s="310">
        <v>173.8</v>
      </c>
      <c r="P332" s="267"/>
      <c r="Q332" s="263">
        <f t="shared" si="179"/>
        <v>6.5972222222222224E-2</v>
      </c>
    </row>
    <row r="333" spans="1:17" ht="13.15" thickBot="1" x14ac:dyDescent="0.4">
      <c r="A333" s="38">
        <v>43386</v>
      </c>
      <c r="B333" s="24"/>
      <c r="C333" s="41">
        <v>1</v>
      </c>
      <c r="D333" s="9">
        <v>0.64513888888888882</v>
      </c>
      <c r="E333" s="9">
        <v>0.72916666666666663</v>
      </c>
      <c r="F333" s="25"/>
      <c r="G333" s="269">
        <v>1</v>
      </c>
      <c r="H333" s="28"/>
      <c r="I333" s="76">
        <v>1</v>
      </c>
      <c r="J333" s="76">
        <f t="shared" si="175"/>
        <v>2</v>
      </c>
      <c r="K333" s="77">
        <f t="shared" si="176"/>
        <v>1.0000000000000497</v>
      </c>
      <c r="L333" s="9">
        <f t="shared" si="177"/>
        <v>8.4027777777777812E-2</v>
      </c>
      <c r="M333" s="26">
        <f t="shared" si="178"/>
        <v>8.4027777777777812E-2</v>
      </c>
      <c r="N333" s="27">
        <v>5922.4</v>
      </c>
      <c r="O333" s="311">
        <v>175</v>
      </c>
      <c r="P333" s="24"/>
      <c r="Q333" s="263">
        <f>L333</f>
        <v>8.4027777777777812E-2</v>
      </c>
    </row>
    <row r="334" spans="1:17" ht="13.5" hidden="1" thickBot="1" x14ac:dyDescent="0.45">
      <c r="A334" s="6"/>
      <c r="B334" s="6"/>
      <c r="C334" s="42"/>
      <c r="D334" s="6"/>
      <c r="E334" s="6"/>
      <c r="F334" s="6"/>
      <c r="G334" s="266"/>
      <c r="H334" s="12"/>
      <c r="I334" s="78"/>
      <c r="J334" s="79">
        <f>SUM(J326:J333)</f>
        <v>14928.4</v>
      </c>
      <c r="K334" s="80">
        <f>SUM(K326:K333)</f>
        <v>153.00000000000026</v>
      </c>
      <c r="L334" s="10">
        <f>SUM(L327:L333)</f>
        <v>0.26527777777777795</v>
      </c>
      <c r="M334" s="10"/>
      <c r="N334" s="13">
        <f>MAX(N327:N333)</f>
        <v>5922.4</v>
      </c>
      <c r="O334" s="312">
        <f>MAX(O327:O333)</f>
        <v>175</v>
      </c>
      <c r="P334" s="6"/>
      <c r="Q334" s="162">
        <f>IF(L334=0,0,L334+$Q$2)</f>
        <v>0.26875000000000016</v>
      </c>
    </row>
    <row r="335" spans="1:17" ht="13.5" thickBot="1" x14ac:dyDescent="0.45">
      <c r="A335" s="87" t="s">
        <v>16</v>
      </c>
      <c r="B335" s="506"/>
      <c r="C335" s="90"/>
      <c r="D335" s="89"/>
      <c r="E335" s="89"/>
      <c r="F335" s="91"/>
      <c r="G335" s="81"/>
      <c r="H335" s="92"/>
      <c r="I335" s="81">
        <f>SUM(I326:I333)</f>
        <v>20431</v>
      </c>
      <c r="J335" s="81">
        <f>ROUNDDOWN(K334/60,0)+J334</f>
        <v>14930.4</v>
      </c>
      <c r="K335" s="82">
        <f>ROUND(K334-(ROUNDDOWN(K334/60,0)*60),0)</f>
        <v>33</v>
      </c>
      <c r="L335" s="271">
        <f>L334</f>
        <v>0.26527777777777795</v>
      </c>
      <c r="M335" s="93"/>
      <c r="N335" s="94">
        <f>N334-N325</f>
        <v>6.5</v>
      </c>
      <c r="O335" s="94">
        <f>IF(OR(O281="N/A",O281="N / A", O281="N/ A",O281="N /A"),"N / A", O334-O325)</f>
        <v>7</v>
      </c>
      <c r="P335" s="371"/>
      <c r="Q335" s="162">
        <f>SUM(Q327:Q333)</f>
        <v>0.27916666666666673</v>
      </c>
    </row>
    <row r="336" spans="1:17" x14ac:dyDescent="0.35">
      <c r="A336" s="34">
        <v>43387</v>
      </c>
      <c r="C336" s="40">
        <v>16</v>
      </c>
      <c r="D336" s="7">
        <v>0.4291666666666667</v>
      </c>
      <c r="E336" s="7">
        <v>0.45208333333333334</v>
      </c>
      <c r="G336" s="2">
        <v>0</v>
      </c>
      <c r="H336" s="3" t="s">
        <v>166</v>
      </c>
      <c r="I336" s="74">
        <v>1</v>
      </c>
      <c r="J336" s="74">
        <f t="shared" ref="J336:J341" si="180">ROUNDDOWN(M336*24,0)</f>
        <v>0</v>
      </c>
      <c r="K336" s="75">
        <f t="shared" ref="K336:K342" si="181">(M336*24-J336)*60</f>
        <v>32.999999999999964</v>
      </c>
      <c r="L336" s="7">
        <f t="shared" ref="L336:L342" si="182">E336-D336</f>
        <v>2.2916666666666641E-2</v>
      </c>
      <c r="M336" s="22">
        <f t="shared" ref="M336:M342" si="183">L336</f>
        <v>2.2916666666666641E-2</v>
      </c>
      <c r="N336" s="14">
        <v>5923</v>
      </c>
      <c r="O336" s="310">
        <v>175.7</v>
      </c>
      <c r="P336" s="267"/>
      <c r="Q336" s="263">
        <f t="shared" ref="Q336:Q342" si="184">IF(L336=0,0,L336+$Q$2)</f>
        <v>2.6388888888888865E-2</v>
      </c>
    </row>
    <row r="337" spans="1:17" x14ac:dyDescent="0.35">
      <c r="A337" s="34">
        <v>43387</v>
      </c>
      <c r="C337" s="40">
        <v>16</v>
      </c>
      <c r="D337" s="7">
        <v>0.57152777777777775</v>
      </c>
      <c r="E337" s="7">
        <v>0.60972222222222217</v>
      </c>
      <c r="G337" s="2">
        <v>1</v>
      </c>
      <c r="I337" s="74">
        <v>1</v>
      </c>
      <c r="J337" s="74">
        <f t="shared" si="180"/>
        <v>0</v>
      </c>
      <c r="K337" s="75">
        <f t="shared" si="181"/>
        <v>54.999999999999964</v>
      </c>
      <c r="L337" s="7">
        <f t="shared" si="182"/>
        <v>3.819444444444442E-2</v>
      </c>
      <c r="M337" s="22">
        <f t="shared" si="183"/>
        <v>3.819444444444442E-2</v>
      </c>
      <c r="N337" s="14">
        <v>5923.9</v>
      </c>
      <c r="O337" s="310">
        <v>176.8</v>
      </c>
      <c r="P337" s="267"/>
      <c r="Q337" s="263">
        <f t="shared" si="184"/>
        <v>4.1666666666666644E-2</v>
      </c>
    </row>
    <row r="338" spans="1:17" x14ac:dyDescent="0.35">
      <c r="A338" s="34">
        <v>43387</v>
      </c>
      <c r="C338" s="40">
        <v>32</v>
      </c>
      <c r="D338" s="7">
        <v>0.67083333333333339</v>
      </c>
      <c r="E338" s="7">
        <v>0.6958333333333333</v>
      </c>
      <c r="G338" s="2">
        <v>0</v>
      </c>
      <c r="H338" s="3" t="s">
        <v>110</v>
      </c>
      <c r="I338" s="74">
        <v>2</v>
      </c>
      <c r="J338" s="74">
        <f t="shared" si="180"/>
        <v>0</v>
      </c>
      <c r="K338" s="75">
        <f t="shared" si="181"/>
        <v>35.999999999999872</v>
      </c>
      <c r="L338" s="7">
        <f t="shared" si="182"/>
        <v>2.4999999999999911E-2</v>
      </c>
      <c r="M338" s="22">
        <f t="shared" si="183"/>
        <v>2.4999999999999911E-2</v>
      </c>
      <c r="N338" s="14">
        <v>5924.4</v>
      </c>
      <c r="O338" s="310">
        <v>177.4</v>
      </c>
      <c r="P338" s="294" t="s">
        <v>299</v>
      </c>
      <c r="Q338" s="263">
        <f t="shared" si="184"/>
        <v>2.8472222222222135E-2</v>
      </c>
    </row>
    <row r="339" spans="1:17" x14ac:dyDescent="0.35">
      <c r="A339" s="34">
        <v>43387</v>
      </c>
      <c r="C339" s="40">
        <v>32</v>
      </c>
      <c r="D339" s="7">
        <v>0.6958333333333333</v>
      </c>
      <c r="E339" s="7">
        <v>0.70763888888888893</v>
      </c>
      <c r="G339" s="2">
        <v>1</v>
      </c>
      <c r="I339" s="74">
        <v>1</v>
      </c>
      <c r="J339" s="74">
        <f t="shared" si="180"/>
        <v>0</v>
      </c>
      <c r="K339" s="75">
        <f t="shared" si="181"/>
        <v>17.000000000000099</v>
      </c>
      <c r="L339" s="7">
        <f t="shared" si="182"/>
        <v>1.1805555555555625E-2</v>
      </c>
      <c r="M339" s="22">
        <f t="shared" si="183"/>
        <v>1.1805555555555625E-2</v>
      </c>
      <c r="N339" s="14">
        <v>5924.7</v>
      </c>
      <c r="O339" s="310">
        <v>177.4</v>
      </c>
      <c r="P339" s="267"/>
      <c r="Q339" s="263">
        <f t="shared" si="184"/>
        <v>1.5277777777777847E-2</v>
      </c>
    </row>
    <row r="340" spans="1:17" x14ac:dyDescent="0.35">
      <c r="A340" s="34">
        <v>43399</v>
      </c>
      <c r="C340" s="40">
        <v>27</v>
      </c>
      <c r="D340" s="7">
        <v>0.47222222222222227</v>
      </c>
      <c r="E340" s="7">
        <v>0.50277777777777777</v>
      </c>
      <c r="G340" s="2">
        <v>0</v>
      </c>
      <c r="I340" s="74">
        <v>3</v>
      </c>
      <c r="J340" s="74">
        <f t="shared" si="180"/>
        <v>0</v>
      </c>
      <c r="K340" s="75">
        <f t="shared" si="181"/>
        <v>43.999999999999922</v>
      </c>
      <c r="L340" s="7">
        <f t="shared" si="182"/>
        <v>3.0555555555555503E-2</v>
      </c>
      <c r="M340" s="22">
        <f t="shared" si="183"/>
        <v>3.0555555555555503E-2</v>
      </c>
      <c r="N340" s="14">
        <v>5925.4</v>
      </c>
      <c r="O340" s="310">
        <v>178.3</v>
      </c>
      <c r="P340" s="294" t="s">
        <v>285</v>
      </c>
      <c r="Q340" s="263">
        <f t="shared" si="184"/>
        <v>3.4027777777777726E-2</v>
      </c>
    </row>
    <row r="341" spans="1:17" x14ac:dyDescent="0.35">
      <c r="A341" s="272">
        <v>43399</v>
      </c>
      <c r="C341" s="40">
        <v>15</v>
      </c>
      <c r="D341" s="7">
        <v>0.58124999999999993</v>
      </c>
      <c r="E341" s="7">
        <v>0.62708333333333333</v>
      </c>
      <c r="G341" s="2">
        <v>2</v>
      </c>
      <c r="I341" s="74">
        <v>2</v>
      </c>
      <c r="J341" s="74">
        <f t="shared" si="180"/>
        <v>1</v>
      </c>
      <c r="K341" s="75">
        <f t="shared" si="181"/>
        <v>6.0000000000000853</v>
      </c>
      <c r="L341" s="7">
        <f t="shared" si="182"/>
        <v>4.5833333333333393E-2</v>
      </c>
      <c r="M341" s="22">
        <f t="shared" si="183"/>
        <v>4.5833333333333393E-2</v>
      </c>
      <c r="N341" s="14">
        <v>5926.4</v>
      </c>
      <c r="O341" s="310">
        <v>179.7</v>
      </c>
      <c r="P341" s="267"/>
      <c r="Q341" s="263">
        <f t="shared" si="184"/>
        <v>4.9305555555555616E-2</v>
      </c>
    </row>
    <row r="342" spans="1:17" ht="13.15" thickBot="1" x14ac:dyDescent="0.4">
      <c r="A342" s="38">
        <v>43405</v>
      </c>
      <c r="B342" s="24"/>
      <c r="C342" s="41">
        <v>32</v>
      </c>
      <c r="D342" s="9">
        <v>0.57430555555555551</v>
      </c>
      <c r="E342" s="9">
        <v>0.59305555555555556</v>
      </c>
      <c r="F342" s="25"/>
      <c r="G342" s="269">
        <v>0</v>
      </c>
      <c r="H342" s="28" t="s">
        <v>110</v>
      </c>
      <c r="I342" s="76">
        <v>6</v>
      </c>
      <c r="J342" s="76">
        <f>ROUNDDOWN(M342*24,0)</f>
        <v>0</v>
      </c>
      <c r="K342" s="77">
        <f t="shared" si="181"/>
        <v>27.000000000000064</v>
      </c>
      <c r="L342" s="9">
        <f t="shared" si="182"/>
        <v>1.8750000000000044E-2</v>
      </c>
      <c r="M342" s="26">
        <f t="shared" si="183"/>
        <v>1.8750000000000044E-2</v>
      </c>
      <c r="N342" s="27">
        <v>5926.9</v>
      </c>
      <c r="O342" s="311">
        <v>180.3</v>
      </c>
      <c r="P342" s="383" t="s">
        <v>301</v>
      </c>
      <c r="Q342" s="263">
        <f t="shared" si="184"/>
        <v>2.2222222222222268E-2</v>
      </c>
    </row>
    <row r="343" spans="1:17" ht="13.5" hidden="1" thickBot="1" x14ac:dyDescent="0.45">
      <c r="A343" s="6"/>
      <c r="B343" s="6"/>
      <c r="C343" s="42"/>
      <c r="D343" s="6"/>
      <c r="E343" s="6"/>
      <c r="F343" s="6"/>
      <c r="G343" s="266"/>
      <c r="H343" s="12"/>
      <c r="I343" s="78"/>
      <c r="J343" s="79">
        <f>SUM(J335:J342)</f>
        <v>14931.4</v>
      </c>
      <c r="K343" s="80">
        <f>SUM(K335:K342)</f>
        <v>251</v>
      </c>
      <c r="L343" s="10">
        <f>SUM(L336:L342)</f>
        <v>0.19305555555555554</v>
      </c>
      <c r="M343" s="10"/>
      <c r="N343" s="13">
        <f>MAX(N336:N342)</f>
        <v>5926.9</v>
      </c>
      <c r="O343" s="312">
        <f>MAX(O336:O342)</f>
        <v>180.3</v>
      </c>
      <c r="P343" s="6"/>
      <c r="Q343" s="162">
        <f>IF(L343=0,0,L343+$Q$2)</f>
        <v>0.19652777777777775</v>
      </c>
    </row>
    <row r="344" spans="1:17" ht="13.5" thickBot="1" x14ac:dyDescent="0.45">
      <c r="A344" s="87" t="s">
        <v>16</v>
      </c>
      <c r="B344" s="89"/>
      <c r="C344" s="90"/>
      <c r="D344" s="89"/>
      <c r="E344" s="89"/>
      <c r="F344" s="91"/>
      <c r="G344" s="81"/>
      <c r="H344" s="92"/>
      <c r="I344" s="81">
        <f>SUM(I335:I342)</f>
        <v>20447</v>
      </c>
      <c r="J344" s="81">
        <f>ROUNDDOWN(K343/60,0)+J343</f>
        <v>14935.4</v>
      </c>
      <c r="K344" s="82">
        <f>ROUND(K343-(ROUNDDOWN(K343/60,0)*60),0)</f>
        <v>11</v>
      </c>
      <c r="L344" s="271">
        <f>L343</f>
        <v>0.19305555555555554</v>
      </c>
      <c r="M344" s="93"/>
      <c r="N344" s="94">
        <f>N343-N334</f>
        <v>4.5</v>
      </c>
      <c r="O344" s="94">
        <f>IF(OR(O290="N/A",O290="N / A", O290="N/ A",O290="N /A"),"N / A", O343-O334)</f>
        <v>5.3000000000000114</v>
      </c>
      <c r="P344" s="371"/>
      <c r="Q344" s="162">
        <f>SUM(Q336:Q342)</f>
        <v>0.21736111111111106</v>
      </c>
    </row>
    <row r="345" spans="1:17" x14ac:dyDescent="0.35">
      <c r="A345" s="34">
        <v>43405</v>
      </c>
      <c r="C345" s="40">
        <v>32</v>
      </c>
      <c r="D345" s="7">
        <v>0.61388888888888882</v>
      </c>
      <c r="E345" s="7">
        <v>0.62708333333333333</v>
      </c>
      <c r="G345" s="2">
        <v>1</v>
      </c>
      <c r="H345" s="3" t="s">
        <v>300</v>
      </c>
      <c r="I345" s="74">
        <v>3</v>
      </c>
      <c r="J345" s="74">
        <f t="shared" ref="J345:J350" si="185">ROUNDDOWN(M345*24,0)</f>
        <v>0</v>
      </c>
      <c r="K345" s="75">
        <f t="shared" ref="K345:K351" si="186">(M345*24-J345)*60</f>
        <v>19.000000000000092</v>
      </c>
      <c r="L345" s="7">
        <f t="shared" ref="L345:L351" si="187">E345-D345</f>
        <v>1.3194444444444509E-2</v>
      </c>
      <c r="M345" s="22">
        <f t="shared" ref="M345:M352" si="188">L345</f>
        <v>1.3194444444444509E-2</v>
      </c>
      <c r="N345" s="14">
        <v>5927.2</v>
      </c>
      <c r="O345" s="310">
        <v>180.4</v>
      </c>
      <c r="P345" s="294" t="s">
        <v>302</v>
      </c>
      <c r="Q345" s="263">
        <f t="shared" ref="Q345:Q351" si="189">IF(L345=0,0,L345+$Q$2)</f>
        <v>1.6666666666666732E-2</v>
      </c>
    </row>
    <row r="346" spans="1:17" x14ac:dyDescent="0.35">
      <c r="A346" s="34">
        <v>43434</v>
      </c>
      <c r="C346" s="40">
        <v>0</v>
      </c>
      <c r="D346" s="7">
        <v>0.43333333333333335</v>
      </c>
      <c r="E346" s="7">
        <v>0.4381944444444445</v>
      </c>
      <c r="G346" s="2">
        <v>1</v>
      </c>
      <c r="I346" s="74">
        <v>1</v>
      </c>
      <c r="J346" s="74">
        <f t="shared" si="185"/>
        <v>0</v>
      </c>
      <c r="K346" s="75">
        <f t="shared" si="186"/>
        <v>7.0000000000000551</v>
      </c>
      <c r="L346" s="7">
        <f t="shared" si="187"/>
        <v>4.8611111111111494E-3</v>
      </c>
      <c r="M346" s="22">
        <f t="shared" si="188"/>
        <v>4.8611111111111494E-3</v>
      </c>
      <c r="N346" s="14">
        <v>5927.4</v>
      </c>
      <c r="O346" s="310">
        <v>180.7</v>
      </c>
      <c r="P346" s="267"/>
      <c r="Q346" s="263">
        <f t="shared" si="189"/>
        <v>8.3333333333333714E-3</v>
      </c>
    </row>
    <row r="347" spans="1:17" x14ac:dyDescent="0.35">
      <c r="A347" s="34">
        <v>43435</v>
      </c>
      <c r="C347" s="40">
        <v>29</v>
      </c>
      <c r="D347" s="7">
        <v>0.59583333333333333</v>
      </c>
      <c r="E347" s="7">
        <v>0.60902777777777783</v>
      </c>
      <c r="G347" s="2">
        <v>3</v>
      </c>
      <c r="I347" s="74">
        <v>3</v>
      </c>
      <c r="J347" s="74">
        <f t="shared" si="185"/>
        <v>0</v>
      </c>
      <c r="K347" s="75">
        <f t="shared" si="186"/>
        <v>19.000000000000092</v>
      </c>
      <c r="L347" s="7">
        <f t="shared" si="187"/>
        <v>1.3194444444444509E-2</v>
      </c>
      <c r="M347" s="22">
        <f t="shared" si="188"/>
        <v>1.3194444444444509E-2</v>
      </c>
      <c r="N347" s="14">
        <v>5927.8</v>
      </c>
      <c r="O347" s="310">
        <v>181.3</v>
      </c>
      <c r="P347" s="267"/>
      <c r="Q347" s="263">
        <f t="shared" si="189"/>
        <v>1.6666666666666732E-2</v>
      </c>
    </row>
    <row r="348" spans="1:17" x14ac:dyDescent="0.35">
      <c r="A348" s="34">
        <v>43439</v>
      </c>
      <c r="C348" s="40">
        <v>14</v>
      </c>
      <c r="D348" s="7">
        <v>0.56736111111111109</v>
      </c>
      <c r="E348" s="7">
        <v>0.63472222222222219</v>
      </c>
      <c r="G348" s="2">
        <v>1</v>
      </c>
      <c r="I348" s="74">
        <v>1</v>
      </c>
      <c r="J348" s="74">
        <f t="shared" si="185"/>
        <v>1</v>
      </c>
      <c r="K348" s="75">
        <f t="shared" si="186"/>
        <v>36.999999999999972</v>
      </c>
      <c r="L348" s="7">
        <f t="shared" si="187"/>
        <v>6.7361111111111094E-2</v>
      </c>
      <c r="M348" s="22">
        <f t="shared" si="188"/>
        <v>6.7361111111111094E-2</v>
      </c>
      <c r="N348" s="14">
        <v>5929.4</v>
      </c>
      <c r="O348" s="310">
        <v>183</v>
      </c>
      <c r="P348" s="294" t="s">
        <v>303</v>
      </c>
      <c r="Q348" s="263">
        <f t="shared" si="189"/>
        <v>7.0833333333333318E-2</v>
      </c>
    </row>
    <row r="349" spans="1:17" x14ac:dyDescent="0.35">
      <c r="A349" s="34">
        <v>43439</v>
      </c>
      <c r="C349" s="40">
        <v>13</v>
      </c>
      <c r="D349" s="7">
        <v>0.66319444444444442</v>
      </c>
      <c r="E349" s="7">
        <v>0.67361111111111116</v>
      </c>
      <c r="G349" s="2">
        <v>2</v>
      </c>
      <c r="I349" s="74">
        <v>2</v>
      </c>
      <c r="J349" s="74">
        <f t="shared" si="185"/>
        <v>0</v>
      </c>
      <c r="K349" s="75">
        <f t="shared" si="186"/>
        <v>15.000000000000107</v>
      </c>
      <c r="L349" s="7">
        <f t="shared" si="187"/>
        <v>1.0416666666666741E-2</v>
      </c>
      <c r="M349" s="22">
        <f t="shared" si="188"/>
        <v>1.0416666666666741E-2</v>
      </c>
      <c r="N349" s="14">
        <v>5929.7</v>
      </c>
      <c r="O349" s="310">
        <v>183</v>
      </c>
      <c r="P349" s="267"/>
      <c r="Q349" s="263">
        <f t="shared" si="189"/>
        <v>1.3888888888888963E-2</v>
      </c>
    </row>
    <row r="350" spans="1:17" x14ac:dyDescent="0.35">
      <c r="A350" s="272">
        <v>43441</v>
      </c>
      <c r="C350" s="40">
        <v>1</v>
      </c>
      <c r="D350" s="7">
        <v>0.77777777777777779</v>
      </c>
      <c r="E350" s="7">
        <v>0.79166666666666663</v>
      </c>
      <c r="G350" s="2">
        <v>3</v>
      </c>
      <c r="I350" s="74">
        <v>3</v>
      </c>
      <c r="J350" s="74">
        <f t="shared" si="185"/>
        <v>0</v>
      </c>
      <c r="K350" s="75">
        <f t="shared" si="186"/>
        <v>19.999999999999929</v>
      </c>
      <c r="L350" s="7">
        <f t="shared" si="187"/>
        <v>1.388888888888884E-2</v>
      </c>
      <c r="M350" s="22">
        <f t="shared" si="188"/>
        <v>1.388888888888884E-2</v>
      </c>
      <c r="N350" s="14">
        <v>5930</v>
      </c>
      <c r="O350" s="310">
        <v>183</v>
      </c>
      <c r="Q350" s="263">
        <v>1.3888888888888888E-2</v>
      </c>
    </row>
    <row r="351" spans="1:17" ht="13.15" thickBot="1" x14ac:dyDescent="0.4">
      <c r="A351" s="38">
        <v>43448</v>
      </c>
      <c r="B351" s="24"/>
      <c r="C351" s="41">
        <v>0</v>
      </c>
      <c r="D351" s="9">
        <v>0.74097222222222225</v>
      </c>
      <c r="E351" s="9">
        <v>0.74583333333333324</v>
      </c>
      <c r="F351" s="25"/>
      <c r="G351" s="269">
        <v>1</v>
      </c>
      <c r="H351" s="28"/>
      <c r="I351" s="76">
        <v>1</v>
      </c>
      <c r="J351" s="76">
        <f>ROUNDDOWN(M351*24,0)</f>
        <v>0</v>
      </c>
      <c r="K351" s="77">
        <f t="shared" si="186"/>
        <v>6.9999999999998153</v>
      </c>
      <c r="L351" s="9">
        <f t="shared" si="187"/>
        <v>4.8611111111109828E-3</v>
      </c>
      <c r="M351" s="26">
        <f t="shared" si="188"/>
        <v>4.8611111111109828E-3</v>
      </c>
      <c r="N351" s="27">
        <v>5930.2</v>
      </c>
      <c r="O351" s="311">
        <v>183.1</v>
      </c>
      <c r="P351" s="24"/>
      <c r="Q351" s="263">
        <f t="shared" si="189"/>
        <v>8.3333333333332048E-3</v>
      </c>
    </row>
    <row r="352" spans="1:17" ht="13.5" hidden="1" thickBot="1" x14ac:dyDescent="0.45">
      <c r="A352" s="6"/>
      <c r="B352" s="6"/>
      <c r="C352" s="42"/>
      <c r="D352" s="6"/>
      <c r="E352" s="6"/>
      <c r="F352" s="6"/>
      <c r="G352" s="266"/>
      <c r="H352" s="12"/>
      <c r="I352" s="78"/>
      <c r="J352" s="79">
        <f>SUM(J344:J351)</f>
        <v>14936.4</v>
      </c>
      <c r="K352" s="80">
        <f>SUM(K344:K351)</f>
        <v>135.00000000000006</v>
      </c>
      <c r="L352" s="10">
        <f>SUM(L345:L351)</f>
        <v>0.12777777777777782</v>
      </c>
      <c r="M352" s="10">
        <f t="shared" si="188"/>
        <v>0.12777777777777782</v>
      </c>
      <c r="N352" s="13">
        <f>MAX(N345:N351)</f>
        <v>5930.2</v>
      </c>
      <c r="O352" s="312">
        <f>MAX(O345:O351)</f>
        <v>183.1</v>
      </c>
      <c r="P352" s="6"/>
      <c r="Q352" s="162">
        <f>IF(L352=0,0,L352+$Q$2)</f>
        <v>0.13125000000000003</v>
      </c>
    </row>
    <row r="353" spans="1:17" ht="13.5" thickBot="1" x14ac:dyDescent="0.45">
      <c r="A353" s="87" t="s">
        <v>16</v>
      </c>
      <c r="B353" s="89"/>
      <c r="C353" s="90"/>
      <c r="D353" s="89"/>
      <c r="E353" s="89"/>
      <c r="F353" s="91"/>
      <c r="G353" s="81"/>
      <c r="H353" s="92"/>
      <c r="I353" s="81">
        <f>SUM(I344:I351)</f>
        <v>20461</v>
      </c>
      <c r="J353" s="81">
        <f>ROUNDDOWN(K352/60,0)+J352</f>
        <v>14938.4</v>
      </c>
      <c r="K353" s="82">
        <f>ROUND(K352-(ROUNDDOWN(K352/60,0)*60),0)</f>
        <v>15</v>
      </c>
      <c r="L353" s="271">
        <f>L352</f>
        <v>0.12777777777777782</v>
      </c>
      <c r="M353" s="93"/>
      <c r="N353" s="94">
        <f>N352-N343</f>
        <v>3.3000000000001819</v>
      </c>
      <c r="O353" s="94">
        <f>IF(OR(O344="N/A",O344="N / A", O344="N/ A",O344="N /A"),"N / A", O352-O343)</f>
        <v>2.7999999999999829</v>
      </c>
      <c r="P353" s="371"/>
      <c r="Q353" s="162">
        <f>SUM(Q345:Q351)</f>
        <v>0.14861111111111119</v>
      </c>
    </row>
    <row r="354" spans="1:17" x14ac:dyDescent="0.35">
      <c r="A354" s="565">
        <v>43405</v>
      </c>
      <c r="B354" s="152"/>
      <c r="C354" s="153">
        <v>32</v>
      </c>
      <c r="D354" s="154">
        <v>0</v>
      </c>
      <c r="E354" s="154">
        <v>0</v>
      </c>
      <c r="F354" s="155"/>
      <c r="G354" s="566">
        <v>0</v>
      </c>
      <c r="H354" s="567"/>
      <c r="I354" s="566">
        <v>0</v>
      </c>
      <c r="J354" s="566">
        <f t="shared" ref="J354:J359" si="190">ROUNDDOWN(M354*24,0)</f>
        <v>0</v>
      </c>
      <c r="K354" s="407">
        <f t="shared" ref="K354:K360" si="191">(M354*24-J354)*60</f>
        <v>0</v>
      </c>
      <c r="L354" s="154">
        <f t="shared" ref="L354:L360" si="192">E354-D354</f>
        <v>0</v>
      </c>
      <c r="M354" s="568">
        <f t="shared" ref="M354:M360" si="193">L354</f>
        <v>0</v>
      </c>
      <c r="N354" s="569"/>
      <c r="O354" s="350"/>
      <c r="P354" s="294" t="s">
        <v>313</v>
      </c>
      <c r="Q354" s="584">
        <f t="shared" ref="Q354:Q359" si="194">IF(L354=0,0,L354+$Q$2)</f>
        <v>0</v>
      </c>
    </row>
    <row r="355" spans="1:17" x14ac:dyDescent="0.35">
      <c r="A355" s="34">
        <v>43449</v>
      </c>
      <c r="C355" s="40">
        <v>25</v>
      </c>
      <c r="D355" s="7">
        <v>0.50902777777777775</v>
      </c>
      <c r="E355" s="7">
        <v>0.56319444444444444</v>
      </c>
      <c r="G355" s="2">
        <v>3</v>
      </c>
      <c r="H355" s="3" t="s">
        <v>110</v>
      </c>
      <c r="I355" s="74">
        <v>4</v>
      </c>
      <c r="J355" s="74">
        <f t="shared" si="190"/>
        <v>1</v>
      </c>
      <c r="K355" s="75">
        <f t="shared" si="191"/>
        <v>18.000000000000043</v>
      </c>
      <c r="L355" s="7">
        <f t="shared" si="192"/>
        <v>5.4166666666666696E-2</v>
      </c>
      <c r="M355" s="22">
        <f t="shared" si="193"/>
        <v>5.4166666666666696E-2</v>
      </c>
      <c r="O355" s="310"/>
      <c r="P355" s="267"/>
      <c r="Q355" s="263">
        <f t="shared" si="194"/>
        <v>5.763888888888892E-2</v>
      </c>
    </row>
    <row r="356" spans="1:17" x14ac:dyDescent="0.35">
      <c r="A356" s="34">
        <v>43449</v>
      </c>
      <c r="C356" s="40">
        <v>25</v>
      </c>
      <c r="D356" s="7">
        <v>0.58194444444444449</v>
      </c>
      <c r="E356" s="7">
        <v>0.6</v>
      </c>
      <c r="G356" s="2">
        <v>1</v>
      </c>
      <c r="H356" s="3" t="s">
        <v>110</v>
      </c>
      <c r="I356" s="74">
        <v>4</v>
      </c>
      <c r="J356" s="74">
        <f t="shared" si="190"/>
        <v>0</v>
      </c>
      <c r="K356" s="75">
        <f t="shared" si="191"/>
        <v>25.999999999999908</v>
      </c>
      <c r="L356" s="7">
        <f t="shared" si="192"/>
        <v>1.8055555555555491E-2</v>
      </c>
      <c r="M356" s="22">
        <f t="shared" si="193"/>
        <v>1.8055555555555491E-2</v>
      </c>
      <c r="N356" s="14">
        <v>5931.8</v>
      </c>
      <c r="O356" s="310">
        <v>184.1</v>
      </c>
      <c r="P356" s="267"/>
      <c r="Q356" s="263">
        <f t="shared" si="194"/>
        <v>2.1527777777777715E-2</v>
      </c>
    </row>
    <row r="357" spans="1:17" x14ac:dyDescent="0.35">
      <c r="A357" s="34">
        <v>43452</v>
      </c>
      <c r="C357" s="40">
        <v>2</v>
      </c>
      <c r="D357" s="7">
        <v>0.67499999999999993</v>
      </c>
      <c r="E357" s="7">
        <v>0.67986111111111114</v>
      </c>
      <c r="G357" s="2">
        <v>1</v>
      </c>
      <c r="I357" s="74">
        <v>1</v>
      </c>
      <c r="J357" s="74">
        <f t="shared" si="190"/>
        <v>0</v>
      </c>
      <c r="K357" s="75">
        <f t="shared" si="191"/>
        <v>7.000000000000135</v>
      </c>
      <c r="L357" s="7">
        <f t="shared" si="192"/>
        <v>4.8611111111112049E-3</v>
      </c>
      <c r="M357" s="22">
        <f t="shared" si="193"/>
        <v>4.8611111111112049E-3</v>
      </c>
      <c r="N357" s="14">
        <v>5931.9</v>
      </c>
      <c r="O357" s="310">
        <v>184.1</v>
      </c>
      <c r="P357" s="267"/>
      <c r="Q357" s="263">
        <f t="shared" si="194"/>
        <v>8.3333333333334269E-3</v>
      </c>
    </row>
    <row r="358" spans="1:17" x14ac:dyDescent="0.35">
      <c r="A358" s="34">
        <v>43452</v>
      </c>
      <c r="C358" s="40">
        <v>25</v>
      </c>
      <c r="D358" s="7">
        <v>0.69374999999999998</v>
      </c>
      <c r="E358" s="7">
        <v>0.71388888888888891</v>
      </c>
      <c r="G358" s="2">
        <v>4</v>
      </c>
      <c r="I358" s="74">
        <v>4</v>
      </c>
      <c r="J358" s="74">
        <f t="shared" si="190"/>
        <v>0</v>
      </c>
      <c r="K358" s="75">
        <f t="shared" si="191"/>
        <v>29.000000000000057</v>
      </c>
      <c r="L358" s="7">
        <f t="shared" si="192"/>
        <v>2.0138888888888928E-2</v>
      </c>
      <c r="M358" s="22">
        <f t="shared" si="193"/>
        <v>2.0138888888888928E-2</v>
      </c>
      <c r="N358" s="14">
        <v>5932.4</v>
      </c>
      <c r="O358" s="310">
        <v>184.2</v>
      </c>
      <c r="P358" s="267"/>
      <c r="Q358" s="263">
        <f t="shared" si="194"/>
        <v>2.3611111111111152E-2</v>
      </c>
    </row>
    <row r="359" spans="1:17" x14ac:dyDescent="0.35">
      <c r="A359" s="272">
        <v>43453</v>
      </c>
      <c r="C359" s="40">
        <v>15</v>
      </c>
      <c r="D359" s="7">
        <v>0.55347222222222225</v>
      </c>
      <c r="E359" s="7">
        <v>0.59513888888888888</v>
      </c>
      <c r="G359" s="2">
        <v>5</v>
      </c>
      <c r="I359" s="74">
        <v>5</v>
      </c>
      <c r="J359" s="74">
        <f t="shared" si="190"/>
        <v>0</v>
      </c>
      <c r="K359" s="75">
        <f t="shared" si="191"/>
        <v>59.999999999999943</v>
      </c>
      <c r="L359" s="7">
        <f t="shared" si="192"/>
        <v>4.166666666666663E-2</v>
      </c>
      <c r="M359" s="22">
        <f t="shared" si="193"/>
        <v>4.166666666666663E-2</v>
      </c>
      <c r="N359" s="14">
        <v>5933.4</v>
      </c>
      <c r="O359" s="310">
        <v>185.6</v>
      </c>
      <c r="P359" s="267"/>
      <c r="Q359" s="263">
        <f t="shared" si="194"/>
        <v>4.5138888888888853E-2</v>
      </c>
    </row>
    <row r="360" spans="1:17" ht="13.15" thickBot="1" x14ac:dyDescent="0.4">
      <c r="A360" s="38">
        <v>43463</v>
      </c>
      <c r="B360" s="24"/>
      <c r="C360" s="41">
        <v>0</v>
      </c>
      <c r="D360" s="9">
        <v>0.59861111111111109</v>
      </c>
      <c r="E360" s="9">
        <v>0.60625000000000007</v>
      </c>
      <c r="F360" s="25"/>
      <c r="G360" s="269">
        <v>0</v>
      </c>
      <c r="H360" s="28" t="s">
        <v>110</v>
      </c>
      <c r="I360" s="76">
        <v>1</v>
      </c>
      <c r="J360" s="76">
        <f>ROUNDDOWN(M360*24,0)</f>
        <v>0</v>
      </c>
      <c r="K360" s="77">
        <f t="shared" si="191"/>
        <v>11.000000000000121</v>
      </c>
      <c r="L360" s="9">
        <f t="shared" si="192"/>
        <v>7.6388888888889728E-3</v>
      </c>
      <c r="M360" s="26">
        <f t="shared" si="193"/>
        <v>7.6388888888889728E-3</v>
      </c>
      <c r="N360" s="27">
        <v>5933.6</v>
      </c>
      <c r="O360" s="311">
        <v>186</v>
      </c>
      <c r="P360" s="24"/>
      <c r="Q360" s="263">
        <v>7.6388888888888886E-3</v>
      </c>
    </row>
    <row r="361" spans="1:17" ht="13.5" hidden="1" thickBot="1" x14ac:dyDescent="0.45">
      <c r="A361" s="6"/>
      <c r="B361" s="6"/>
      <c r="C361" s="42"/>
      <c r="D361" s="6"/>
      <c r="E361" s="6"/>
      <c r="F361" s="6"/>
      <c r="G361" s="266"/>
      <c r="H361" s="12"/>
      <c r="I361" s="78"/>
      <c r="J361" s="79">
        <f>SUM(J353:J360)</f>
        <v>14939.4</v>
      </c>
      <c r="K361" s="80">
        <f>SUM(K353:K360)</f>
        <v>166.0000000000002</v>
      </c>
      <c r="L361" s="10">
        <f>SUM(L354:L360)</f>
        <v>0.14652777777777792</v>
      </c>
      <c r="M361" s="10"/>
      <c r="N361" s="13">
        <f>MAX(N354:N360)</f>
        <v>5933.6</v>
      </c>
      <c r="O361" s="312">
        <f>MAX(O354:O360)</f>
        <v>186</v>
      </c>
      <c r="P361" s="6"/>
      <c r="Q361" s="162">
        <f>IF(L361=0,0,L361+$Q$2)</f>
        <v>0.15000000000000013</v>
      </c>
    </row>
    <row r="362" spans="1:17" ht="13.5" thickBot="1" x14ac:dyDescent="0.45">
      <c r="A362" s="87" t="s">
        <v>16</v>
      </c>
      <c r="B362" s="89"/>
      <c r="C362" s="90"/>
      <c r="D362" s="89"/>
      <c r="E362" s="89"/>
      <c r="F362" s="91"/>
      <c r="G362" s="81"/>
      <c r="H362" s="92"/>
      <c r="I362" s="81">
        <f>SUM(I353:I360)</f>
        <v>20480</v>
      </c>
      <c r="J362" s="81">
        <f>ROUNDDOWN(K361/60,0)+J361</f>
        <v>14941.4</v>
      </c>
      <c r="K362" s="82">
        <f>ROUND(K361-(ROUNDDOWN(K361/60,0)*60),0)</f>
        <v>46</v>
      </c>
      <c r="L362" s="271">
        <f>L361</f>
        <v>0.14652777777777792</v>
      </c>
      <c r="M362" s="93"/>
      <c r="N362" s="94">
        <f>N361-N352</f>
        <v>3.4000000000005457</v>
      </c>
      <c r="O362" s="94">
        <f>IF(OR(O353="N/A",O353="N / A", O353="N/ A",O353="N /A"),"N / A", O361-O352)</f>
        <v>2.9000000000000057</v>
      </c>
      <c r="P362" s="371"/>
      <c r="Q362" s="162">
        <f>SUM(Q354:Q360)</f>
        <v>0.16388888888888895</v>
      </c>
    </row>
    <row r="363" spans="1:17" x14ac:dyDescent="0.35">
      <c r="A363" s="34">
        <v>43463</v>
      </c>
      <c r="C363" s="40">
        <v>0</v>
      </c>
      <c r="D363" s="7">
        <v>0.61736111111111114</v>
      </c>
      <c r="E363" s="7">
        <v>0.62777777777777777</v>
      </c>
      <c r="G363" s="2">
        <v>1</v>
      </c>
      <c r="I363" s="74">
        <v>1</v>
      </c>
      <c r="J363" s="74">
        <f t="shared" ref="J363:J368" si="195">ROUNDDOWN(M363*24,0)</f>
        <v>0</v>
      </c>
      <c r="K363" s="75">
        <f t="shared" ref="K363:K369" si="196">(M363*24-J363)*60</f>
        <v>14.999999999999947</v>
      </c>
      <c r="L363" s="7">
        <f t="shared" ref="L363:L369" si="197">E363-D363</f>
        <v>1.041666666666663E-2</v>
      </c>
      <c r="M363" s="22">
        <f t="shared" ref="M363:M369" si="198">L363</f>
        <v>1.041666666666663E-2</v>
      </c>
      <c r="N363" s="14">
        <v>5933.9</v>
      </c>
      <c r="O363" s="310">
        <v>186</v>
      </c>
      <c r="P363" s="267"/>
      <c r="Q363" s="263">
        <v>1.0416666666666666E-2</v>
      </c>
    </row>
    <row r="364" spans="1:17" x14ac:dyDescent="0.35">
      <c r="A364" s="34">
        <v>43485</v>
      </c>
      <c r="C364" s="40">
        <v>0</v>
      </c>
      <c r="D364" s="7">
        <v>0.44375000000000003</v>
      </c>
      <c r="E364" s="7">
        <v>0.44791666666666669</v>
      </c>
      <c r="G364" s="2">
        <v>1</v>
      </c>
      <c r="I364" s="74">
        <v>1</v>
      </c>
      <c r="J364" s="74">
        <f t="shared" si="195"/>
        <v>0</v>
      </c>
      <c r="K364" s="75">
        <f t="shared" si="196"/>
        <v>5.9999999999999787</v>
      </c>
      <c r="L364" s="7">
        <f t="shared" si="197"/>
        <v>4.1666666666666519E-3</v>
      </c>
      <c r="M364" s="22">
        <f t="shared" si="198"/>
        <v>4.1666666666666519E-3</v>
      </c>
      <c r="N364" s="14">
        <v>5934.1</v>
      </c>
      <c r="O364" s="310">
        <v>186.4</v>
      </c>
      <c r="P364" s="267" t="s">
        <v>315</v>
      </c>
      <c r="Q364" s="263">
        <f t="shared" ref="Q364:Q369" si="199">IF(L364=0,0,L364+$Q$2)</f>
        <v>7.6388888888888739E-3</v>
      </c>
    </row>
    <row r="365" spans="1:17" x14ac:dyDescent="0.35">
      <c r="A365" s="34">
        <v>43497</v>
      </c>
      <c r="C365" s="40">
        <v>1</v>
      </c>
      <c r="D365" s="7">
        <v>0.77222222222222225</v>
      </c>
      <c r="E365" s="7">
        <v>0.78680555555555554</v>
      </c>
      <c r="G365" s="2">
        <v>2</v>
      </c>
      <c r="I365" s="74">
        <v>2</v>
      </c>
      <c r="J365" s="74">
        <f t="shared" si="195"/>
        <v>0</v>
      </c>
      <c r="K365" s="75">
        <f t="shared" si="196"/>
        <v>20.999999999999925</v>
      </c>
      <c r="L365" s="7">
        <f t="shared" si="197"/>
        <v>1.4583333333333282E-2</v>
      </c>
      <c r="M365" s="22">
        <f t="shared" si="198"/>
        <v>1.4583333333333282E-2</v>
      </c>
      <c r="N365" s="14">
        <v>5934.5</v>
      </c>
      <c r="O365" s="310">
        <v>186.5</v>
      </c>
      <c r="P365" s="267"/>
      <c r="Q365" s="263">
        <f t="shared" si="199"/>
        <v>1.8055555555555505E-2</v>
      </c>
    </row>
    <row r="366" spans="1:17" x14ac:dyDescent="0.35">
      <c r="A366" s="34">
        <v>43498</v>
      </c>
      <c r="C366" s="40">
        <v>9</v>
      </c>
      <c r="D366" s="7">
        <v>0.56388888888888888</v>
      </c>
      <c r="E366" s="7">
        <v>0.62569444444444444</v>
      </c>
      <c r="G366" s="2">
        <v>3</v>
      </c>
      <c r="I366" s="74">
        <v>3</v>
      </c>
      <c r="J366" s="74">
        <f t="shared" si="195"/>
        <v>1</v>
      </c>
      <c r="K366" s="75">
        <f t="shared" si="196"/>
        <v>29.000000000000004</v>
      </c>
      <c r="L366" s="7">
        <f t="shared" si="197"/>
        <v>6.1805555555555558E-2</v>
      </c>
      <c r="M366" s="22">
        <f t="shared" si="198"/>
        <v>6.1805555555555558E-2</v>
      </c>
      <c r="N366" s="14">
        <v>5936</v>
      </c>
      <c r="O366" s="310">
        <v>188.3</v>
      </c>
      <c r="P366" s="294" t="s">
        <v>316</v>
      </c>
      <c r="Q366" s="263">
        <f t="shared" si="199"/>
        <v>6.5277777777777782E-2</v>
      </c>
    </row>
    <row r="367" spans="1:17" x14ac:dyDescent="0.35">
      <c r="A367" s="34">
        <v>43515</v>
      </c>
      <c r="C367" s="40">
        <v>30</v>
      </c>
      <c r="D367" s="7">
        <v>0.40069444444444446</v>
      </c>
      <c r="E367" s="7">
        <v>0.41250000000000003</v>
      </c>
      <c r="G367" s="2">
        <v>3</v>
      </c>
      <c r="I367" s="74">
        <v>3</v>
      </c>
      <c r="J367" s="74">
        <f t="shared" si="195"/>
        <v>0</v>
      </c>
      <c r="K367" s="75">
        <f t="shared" si="196"/>
        <v>17.000000000000021</v>
      </c>
      <c r="L367" s="7">
        <f t="shared" si="197"/>
        <v>1.1805555555555569E-2</v>
      </c>
      <c r="M367" s="22">
        <f t="shared" si="198"/>
        <v>1.1805555555555569E-2</v>
      </c>
      <c r="N367" s="14">
        <v>5936.3</v>
      </c>
      <c r="O367" s="310">
        <v>188.7</v>
      </c>
      <c r="P367" s="267"/>
      <c r="Q367" s="263">
        <f t="shared" si="199"/>
        <v>1.5277777777777791E-2</v>
      </c>
    </row>
    <row r="368" spans="1:17" x14ac:dyDescent="0.35">
      <c r="A368" s="272">
        <v>43515</v>
      </c>
      <c r="C368" s="40">
        <v>30</v>
      </c>
      <c r="D368" s="7">
        <v>0.43055555555555558</v>
      </c>
      <c r="E368" s="7">
        <v>0.47222222222222227</v>
      </c>
      <c r="G368" s="2">
        <v>0</v>
      </c>
      <c r="H368" s="3" t="s">
        <v>164</v>
      </c>
      <c r="I368" s="74">
        <v>1</v>
      </c>
      <c r="J368" s="74">
        <f t="shared" si="195"/>
        <v>1</v>
      </c>
      <c r="K368" s="75">
        <f t="shared" si="196"/>
        <v>2.6645352591003757E-14</v>
      </c>
      <c r="L368" s="7">
        <f t="shared" si="197"/>
        <v>4.1666666666666685E-2</v>
      </c>
      <c r="M368" s="22">
        <f t="shared" si="198"/>
        <v>4.1666666666666685E-2</v>
      </c>
      <c r="N368" s="14">
        <v>5937.3</v>
      </c>
      <c r="O368" s="310">
        <v>189.9</v>
      </c>
      <c r="P368" s="267"/>
      <c r="Q368" s="263">
        <f t="shared" si="199"/>
        <v>4.5138888888888909E-2</v>
      </c>
    </row>
    <row r="369" spans="1:19" ht="13.15" thickBot="1" x14ac:dyDescent="0.4">
      <c r="A369" s="38">
        <v>43515</v>
      </c>
      <c r="B369" s="24"/>
      <c r="C369" s="41">
        <v>30</v>
      </c>
      <c r="D369" s="9">
        <v>0.52986111111111112</v>
      </c>
      <c r="E369" s="9">
        <v>0.54236111111111118</v>
      </c>
      <c r="F369" s="25"/>
      <c r="G369" s="269">
        <v>0</v>
      </c>
      <c r="H369" s="28" t="s">
        <v>160</v>
      </c>
      <c r="I369" s="76">
        <v>1</v>
      </c>
      <c r="J369" s="76">
        <f>ROUNDDOWN(M369*24,0)</f>
        <v>0</v>
      </c>
      <c r="K369" s="77">
        <f t="shared" si="196"/>
        <v>18.000000000000096</v>
      </c>
      <c r="L369" s="9">
        <f t="shared" si="197"/>
        <v>1.2500000000000067E-2</v>
      </c>
      <c r="M369" s="26">
        <f t="shared" si="198"/>
        <v>1.2500000000000067E-2</v>
      </c>
      <c r="N369" s="27">
        <v>5937.6</v>
      </c>
      <c r="O369" s="311">
        <v>190.3</v>
      </c>
      <c r="P369" s="24"/>
      <c r="Q369" s="263">
        <f t="shared" si="199"/>
        <v>1.597222222222229E-2</v>
      </c>
    </row>
    <row r="370" spans="1:19" ht="13.5" hidden="1" thickBot="1" x14ac:dyDescent="0.45">
      <c r="A370" s="6"/>
      <c r="B370" s="6"/>
      <c r="C370" s="42"/>
      <c r="D370" s="6"/>
      <c r="E370" s="6"/>
      <c r="F370" s="6"/>
      <c r="G370" s="266"/>
      <c r="H370" s="12"/>
      <c r="I370" s="78"/>
      <c r="J370" s="79">
        <f>SUM(J362:J369)</f>
        <v>14943.4</v>
      </c>
      <c r="K370" s="80">
        <f>SUM(K362:K369)</f>
        <v>151.99999999999997</v>
      </c>
      <c r="L370" s="10">
        <f>SUM(L363:L369)</f>
        <v>0.15694444444444444</v>
      </c>
      <c r="M370" s="10"/>
      <c r="N370" s="13">
        <f>MAX(N363:N369)</f>
        <v>5937.6</v>
      </c>
      <c r="O370" s="312">
        <f>MAX(O363:O369)</f>
        <v>190.3</v>
      </c>
      <c r="P370" s="6"/>
      <c r="Q370" s="162">
        <f>IF(L370=0,0,L370+$Q$2)</f>
        <v>0.16041666666666665</v>
      </c>
    </row>
    <row r="371" spans="1:19" ht="13.5" thickBot="1" x14ac:dyDescent="0.45">
      <c r="A371" s="87" t="s">
        <v>16</v>
      </c>
      <c r="B371" s="89"/>
      <c r="C371" s="90"/>
      <c r="D371" s="89"/>
      <c r="E371" s="89"/>
      <c r="F371" s="91"/>
      <c r="G371" s="81"/>
      <c r="H371" s="92"/>
      <c r="I371" s="81">
        <f>SUM(I362:I369)</f>
        <v>20492</v>
      </c>
      <c r="J371" s="81">
        <f>ROUNDDOWN(K370/60,0)+J370</f>
        <v>14945.4</v>
      </c>
      <c r="K371" s="82">
        <f>ROUND(K370-(ROUNDDOWN(K370/60,0)*60),0)</f>
        <v>32</v>
      </c>
      <c r="L371" s="271">
        <f>L370</f>
        <v>0.15694444444444444</v>
      </c>
      <c r="M371" s="93"/>
      <c r="N371" s="94">
        <f>N370-N361</f>
        <v>4</v>
      </c>
      <c r="O371" s="94">
        <f>IF(OR(O362="N/A",O362="N / A", O362="N/ A",O362="N /A"),"N / A", O370-O361)</f>
        <v>4.3000000000000114</v>
      </c>
      <c r="P371" s="371"/>
      <c r="Q371" s="162">
        <f>SUM(Q363:Q369)</f>
        <v>0.17777777777777781</v>
      </c>
    </row>
    <row r="372" spans="1:19" x14ac:dyDescent="0.35">
      <c r="A372" s="34">
        <v>43515</v>
      </c>
      <c r="C372" s="40">
        <v>30</v>
      </c>
      <c r="D372" s="7">
        <v>0.55347222222222225</v>
      </c>
      <c r="E372" s="7">
        <v>0.61249999999999993</v>
      </c>
      <c r="G372" s="2">
        <v>1</v>
      </c>
      <c r="I372" s="74">
        <v>1</v>
      </c>
      <c r="J372" s="74">
        <f t="shared" ref="J372:J377" si="200">ROUNDDOWN(M372*24,0)</f>
        <v>1</v>
      </c>
      <c r="K372" s="75">
        <f t="shared" ref="K372:K378" si="201">(M372*24-J372)*60</f>
        <v>24.999999999999858</v>
      </c>
      <c r="L372" s="7">
        <f t="shared" ref="L372:L378" si="202">E372-D372</f>
        <v>5.9027777777777679E-2</v>
      </c>
      <c r="M372" s="22">
        <f t="shared" ref="M372:M378" si="203">L372</f>
        <v>5.9027777777777679E-2</v>
      </c>
      <c r="N372" s="14">
        <v>5939</v>
      </c>
      <c r="O372" s="310">
        <v>191.9</v>
      </c>
      <c r="P372" s="267"/>
      <c r="Q372" s="263">
        <f t="shared" ref="Q372:Q378" si="204">IF(L372=0,0,L372+$Q$2)</f>
        <v>6.2499999999999903E-2</v>
      </c>
    </row>
    <row r="373" spans="1:19" x14ac:dyDescent="0.35">
      <c r="A373" s="34">
        <v>43519</v>
      </c>
      <c r="C373" s="40">
        <v>2</v>
      </c>
      <c r="D373" s="7">
        <v>0.46388888888888885</v>
      </c>
      <c r="E373" s="7">
        <v>0.59375</v>
      </c>
      <c r="G373" s="2">
        <v>0</v>
      </c>
      <c r="H373" s="3" t="s">
        <v>322</v>
      </c>
      <c r="I373" s="74">
        <v>1</v>
      </c>
      <c r="J373" s="74">
        <f t="shared" si="200"/>
        <v>3</v>
      </c>
      <c r="K373" s="75">
        <f t="shared" si="201"/>
        <v>7.0000000000000551</v>
      </c>
      <c r="L373" s="7">
        <f t="shared" si="202"/>
        <v>0.12986111111111115</v>
      </c>
      <c r="M373" s="22">
        <f t="shared" si="203"/>
        <v>0.12986111111111115</v>
      </c>
      <c r="N373" s="14">
        <v>5942.1</v>
      </c>
      <c r="O373" s="310">
        <v>195.2</v>
      </c>
      <c r="P373" s="294" t="s">
        <v>323</v>
      </c>
      <c r="Q373" s="263">
        <f t="shared" si="204"/>
        <v>0.13333333333333336</v>
      </c>
    </row>
    <row r="374" spans="1:19" x14ac:dyDescent="0.35">
      <c r="A374" s="34">
        <v>43520</v>
      </c>
      <c r="C374" s="40">
        <v>2</v>
      </c>
      <c r="D374" s="7">
        <v>0.49722222222222223</v>
      </c>
      <c r="E374" s="7">
        <v>0.66319444444444442</v>
      </c>
      <c r="G374" s="2">
        <v>0</v>
      </c>
      <c r="H374" s="3" t="s">
        <v>167</v>
      </c>
      <c r="I374" s="74">
        <v>1</v>
      </c>
      <c r="J374" s="74">
        <f t="shared" si="200"/>
        <v>3</v>
      </c>
      <c r="K374" s="75">
        <f t="shared" si="201"/>
        <v>58.99999999999995</v>
      </c>
      <c r="L374" s="7">
        <f t="shared" si="202"/>
        <v>0.16597222222222219</v>
      </c>
      <c r="M374" s="22">
        <f t="shared" si="203"/>
        <v>0.16597222222222219</v>
      </c>
      <c r="N374" s="14">
        <v>5946.1</v>
      </c>
      <c r="O374" s="310">
        <v>199.5</v>
      </c>
      <c r="P374" s="294" t="s">
        <v>324</v>
      </c>
      <c r="Q374" s="263">
        <f t="shared" si="204"/>
        <v>0.1694444444444444</v>
      </c>
    </row>
    <row r="375" spans="1:19" x14ac:dyDescent="0.35">
      <c r="A375" s="34">
        <v>43520</v>
      </c>
      <c r="C375" s="40">
        <v>2</v>
      </c>
      <c r="D375" s="7">
        <v>0.67569444444444438</v>
      </c>
      <c r="E375" s="7">
        <v>0.7006944444444444</v>
      </c>
      <c r="G375" s="2">
        <v>1</v>
      </c>
      <c r="I375" s="74">
        <v>1</v>
      </c>
      <c r="J375" s="74">
        <f t="shared" si="200"/>
        <v>0</v>
      </c>
      <c r="K375" s="75">
        <f t="shared" si="201"/>
        <v>36.000000000000028</v>
      </c>
      <c r="L375" s="7">
        <f t="shared" si="202"/>
        <v>2.5000000000000022E-2</v>
      </c>
      <c r="M375" s="22">
        <f t="shared" si="203"/>
        <v>2.5000000000000022E-2</v>
      </c>
      <c r="N375" s="14">
        <v>5946.6</v>
      </c>
      <c r="O375" s="310">
        <v>200.3</v>
      </c>
      <c r="P375" s="267"/>
      <c r="Q375" s="263">
        <f t="shared" si="204"/>
        <v>2.8472222222222246E-2</v>
      </c>
    </row>
    <row r="376" spans="1:19" x14ac:dyDescent="0.35">
      <c r="A376" s="34">
        <v>43537</v>
      </c>
      <c r="C376" s="40">
        <v>1</v>
      </c>
      <c r="D376" s="7">
        <v>0.75416666666666676</v>
      </c>
      <c r="E376" s="7">
        <v>0.7597222222222223</v>
      </c>
      <c r="G376" s="2">
        <v>1</v>
      </c>
      <c r="I376" s="74">
        <v>1</v>
      </c>
      <c r="J376" s="74">
        <f t="shared" si="200"/>
        <v>0</v>
      </c>
      <c r="K376" s="75">
        <f t="shared" si="201"/>
        <v>7.9999999999999716</v>
      </c>
      <c r="L376" s="7">
        <f t="shared" si="202"/>
        <v>5.5555555555555358E-3</v>
      </c>
      <c r="M376" s="22">
        <f t="shared" si="203"/>
        <v>5.5555555555555358E-3</v>
      </c>
      <c r="N376" s="14">
        <v>5946.8</v>
      </c>
      <c r="O376" s="310">
        <v>200.4</v>
      </c>
      <c r="P376" s="267"/>
      <c r="Q376" s="162">
        <f t="shared" si="204"/>
        <v>9.0277777777777578E-3</v>
      </c>
    </row>
    <row r="377" spans="1:19" x14ac:dyDescent="0.35">
      <c r="A377" s="272">
        <v>43541</v>
      </c>
      <c r="C377" s="40">
        <v>6</v>
      </c>
      <c r="D377" s="7"/>
      <c r="E377" s="7"/>
      <c r="G377" s="2">
        <v>0</v>
      </c>
      <c r="H377" s="3" t="s">
        <v>110</v>
      </c>
      <c r="I377" s="74"/>
      <c r="J377" s="74">
        <f t="shared" si="200"/>
        <v>0</v>
      </c>
      <c r="K377" s="75">
        <f t="shared" si="201"/>
        <v>0</v>
      </c>
      <c r="L377" s="7">
        <f t="shared" si="202"/>
        <v>0</v>
      </c>
      <c r="M377" s="22">
        <f t="shared" si="203"/>
        <v>0</v>
      </c>
      <c r="O377" s="310"/>
      <c r="P377" s="267"/>
      <c r="Q377" s="162">
        <f t="shared" si="204"/>
        <v>0</v>
      </c>
    </row>
    <row r="378" spans="1:19" x14ac:dyDescent="0.35">
      <c r="A378" s="38">
        <v>43541</v>
      </c>
      <c r="B378" s="24"/>
      <c r="C378" s="41">
        <v>6</v>
      </c>
      <c r="D378" s="9"/>
      <c r="E378" s="9"/>
      <c r="F378" s="25"/>
      <c r="G378" s="269"/>
      <c r="H378" s="28"/>
      <c r="I378" s="76"/>
      <c r="J378" s="76">
        <f>ROUNDDOWN(M378*24,0)</f>
        <v>0</v>
      </c>
      <c r="K378" s="77">
        <f t="shared" si="201"/>
        <v>0</v>
      </c>
      <c r="L378" s="9">
        <f t="shared" si="202"/>
        <v>0</v>
      </c>
      <c r="M378" s="26">
        <f t="shared" si="203"/>
        <v>0</v>
      </c>
      <c r="N378" s="27"/>
      <c r="O378" s="311"/>
      <c r="P378" s="24"/>
      <c r="Q378" s="162">
        <f t="shared" si="204"/>
        <v>0</v>
      </c>
    </row>
    <row r="379" spans="1:19" ht="13.5" thickBot="1" x14ac:dyDescent="0.45">
      <c r="A379" s="6"/>
      <c r="B379" s="6"/>
      <c r="C379" s="42"/>
      <c r="D379" s="6"/>
      <c r="E379" s="6"/>
      <c r="F379" s="6"/>
      <c r="G379" s="266"/>
      <c r="H379" s="12"/>
      <c r="I379" s="78"/>
      <c r="J379" s="79">
        <f>SUM(J371:J378)</f>
        <v>14952.4</v>
      </c>
      <c r="K379" s="80">
        <f>SUM(K371:K378)</f>
        <v>166.99999999999986</v>
      </c>
      <c r="L379" s="10">
        <f>SUM(L372:L378)</f>
        <v>0.38541666666666657</v>
      </c>
      <c r="M379" s="10"/>
      <c r="N379" s="13">
        <f>MAX(N372:N378)</f>
        <v>5946.8</v>
      </c>
      <c r="O379" s="312">
        <f>MAX(O372:O378)</f>
        <v>200.4</v>
      </c>
      <c r="P379" s="6"/>
      <c r="Q379" s="162">
        <f>IF(L379=0,0,L379+$Q$2)</f>
        <v>0.38888888888888878</v>
      </c>
    </row>
    <row r="380" spans="1:19" ht="13.5" thickBot="1" x14ac:dyDescent="0.45">
      <c r="A380" s="87" t="s">
        <v>16</v>
      </c>
      <c r="B380" s="89"/>
      <c r="C380" s="90"/>
      <c r="D380" s="89"/>
      <c r="E380" s="89"/>
      <c r="F380" s="91"/>
      <c r="G380" s="81"/>
      <c r="H380" s="92"/>
      <c r="I380" s="81">
        <f>SUM(I371:I378)</f>
        <v>20497</v>
      </c>
      <c r="J380" s="81">
        <f>ROUNDDOWN(K379/60,0)+J379</f>
        <v>14954.4</v>
      </c>
      <c r="K380" s="82">
        <f>ROUND(K379-(ROUNDDOWN(K379/60,0)*60),0)</f>
        <v>47</v>
      </c>
      <c r="L380" s="271">
        <f>L379</f>
        <v>0.38541666666666657</v>
      </c>
      <c r="M380" s="93"/>
      <c r="N380" s="94">
        <f>N379-N370</f>
        <v>9.1999999999998181</v>
      </c>
      <c r="O380" s="94">
        <f>IF(OR(O371="N/A",O371="N / A", O371="N/ A",O371="N /A"),"N / A", O379-O370)</f>
        <v>10.099999999999994</v>
      </c>
      <c r="P380" s="371"/>
      <c r="Q380" s="162">
        <f>SUM(Q372:Q378)</f>
        <v>0.40277777777777762</v>
      </c>
    </row>
    <row r="381" spans="1:19" x14ac:dyDescent="0.35">
      <c r="A381" s="34"/>
      <c r="D381" s="7"/>
      <c r="E381" s="7"/>
      <c r="G381" s="2"/>
      <c r="I381" s="74"/>
      <c r="J381" s="74">
        <f t="shared" ref="J381:J386" si="205">ROUNDDOWN(M381*24,0)</f>
        <v>0</v>
      </c>
      <c r="K381" s="75">
        <f t="shared" ref="K381:K387" si="206">(M381*24-J381)*60</f>
        <v>0</v>
      </c>
      <c r="L381" s="7">
        <f t="shared" ref="L381:L387" si="207">E381-D381</f>
        <v>0</v>
      </c>
      <c r="M381" s="22">
        <f t="shared" ref="M381:M387" si="208">L381</f>
        <v>0</v>
      </c>
      <c r="O381" s="310"/>
      <c r="P381" s="267"/>
      <c r="Q381" s="162">
        <f t="shared" ref="Q381:Q387" si="209">IF(L381=0,0,L381+$Q$2)</f>
        <v>0</v>
      </c>
    </row>
    <row r="382" spans="1:19" x14ac:dyDescent="0.35">
      <c r="A382" s="34"/>
      <c r="D382" s="7"/>
      <c r="E382" s="7"/>
      <c r="G382" s="2"/>
      <c r="I382" s="74"/>
      <c r="J382" s="74">
        <f t="shared" si="205"/>
        <v>0</v>
      </c>
      <c r="K382" s="75">
        <f t="shared" si="206"/>
        <v>0</v>
      </c>
      <c r="L382" s="7">
        <f t="shared" si="207"/>
        <v>0</v>
      </c>
      <c r="M382" s="22">
        <f t="shared" si="208"/>
        <v>0</v>
      </c>
      <c r="O382" s="310"/>
      <c r="P382" s="267"/>
      <c r="Q382" s="162">
        <f t="shared" si="209"/>
        <v>0</v>
      </c>
    </row>
    <row r="383" spans="1:19" x14ac:dyDescent="0.35">
      <c r="A383" s="34"/>
      <c r="D383" s="7"/>
      <c r="E383" s="7"/>
      <c r="G383" s="2"/>
      <c r="I383" s="74"/>
      <c r="J383" s="74">
        <f t="shared" si="205"/>
        <v>0</v>
      </c>
      <c r="K383" s="75">
        <f t="shared" si="206"/>
        <v>0</v>
      </c>
      <c r="L383" s="7">
        <f t="shared" si="207"/>
        <v>0</v>
      </c>
      <c r="M383" s="22">
        <f t="shared" si="208"/>
        <v>0</v>
      </c>
      <c r="O383" s="310"/>
      <c r="P383" s="267"/>
      <c r="Q383" s="162">
        <f t="shared" si="209"/>
        <v>0</v>
      </c>
      <c r="R383" s="1" t="s">
        <v>27</v>
      </c>
    </row>
    <row r="384" spans="1:19" ht="13.15" x14ac:dyDescent="0.4">
      <c r="A384" s="34"/>
      <c r="D384" s="7"/>
      <c r="E384" s="7"/>
      <c r="G384" s="2"/>
      <c r="I384" s="74"/>
      <c r="J384" s="74">
        <f t="shared" si="205"/>
        <v>0</v>
      </c>
      <c r="K384" s="75">
        <f t="shared" si="206"/>
        <v>0</v>
      </c>
      <c r="L384" s="7">
        <f t="shared" si="207"/>
        <v>0</v>
      </c>
      <c r="M384" s="22">
        <f t="shared" si="208"/>
        <v>0</v>
      </c>
      <c r="O384" s="310"/>
      <c r="P384" s="267"/>
      <c r="Q384" s="162">
        <f t="shared" si="209"/>
        <v>0</v>
      </c>
      <c r="R384" s="266">
        <f>D1</f>
        <v>14976</v>
      </c>
      <c r="S384" s="372">
        <v>0</v>
      </c>
    </row>
    <row r="385" spans="1:19" ht="13.15" x14ac:dyDescent="0.4">
      <c r="A385" s="34"/>
      <c r="D385" s="7"/>
      <c r="E385" s="7"/>
      <c r="G385" s="2"/>
      <c r="I385" s="74"/>
      <c r="J385" s="74">
        <f t="shared" si="205"/>
        <v>0</v>
      </c>
      <c r="K385" s="75">
        <f t="shared" si="206"/>
        <v>0</v>
      </c>
      <c r="L385" s="7">
        <f t="shared" si="207"/>
        <v>0</v>
      </c>
      <c r="M385" s="22">
        <f t="shared" si="208"/>
        <v>0</v>
      </c>
      <c r="O385" s="310"/>
      <c r="P385" s="267"/>
      <c r="Q385" s="162">
        <f t="shared" si="209"/>
        <v>0</v>
      </c>
      <c r="R385" s="266">
        <f>J425</f>
        <v>14954.4</v>
      </c>
      <c r="S385" s="372">
        <f>K425</f>
        <v>47</v>
      </c>
    </row>
    <row r="386" spans="1:19" ht="13.15" x14ac:dyDescent="0.4">
      <c r="A386" s="272"/>
      <c r="D386" s="7"/>
      <c r="E386" s="7"/>
      <c r="G386" s="2"/>
      <c r="I386" s="74"/>
      <c r="J386" s="74">
        <f t="shared" si="205"/>
        <v>0</v>
      </c>
      <c r="K386" s="75">
        <f t="shared" si="206"/>
        <v>0</v>
      </c>
      <c r="L386" s="7">
        <f t="shared" si="207"/>
        <v>0</v>
      </c>
      <c r="M386" s="22">
        <f t="shared" si="208"/>
        <v>0</v>
      </c>
      <c r="O386" s="310"/>
      <c r="P386" s="267"/>
      <c r="Q386" s="162">
        <f t="shared" si="209"/>
        <v>0</v>
      </c>
      <c r="R386" s="503">
        <f>IF(R384&gt;R385,IF(S385=0,R384-R385,R384-R385-1),R384-R385)</f>
        <v>20.600000000000364</v>
      </c>
      <c r="S386" s="504">
        <f>IF(R384&gt;R385,IF(S385=0,0,60-S385),-S385)</f>
        <v>13</v>
      </c>
    </row>
    <row r="387" spans="1:19" x14ac:dyDescent="0.35">
      <c r="A387" s="38"/>
      <c r="B387" s="24"/>
      <c r="C387" s="41"/>
      <c r="D387" s="9"/>
      <c r="E387" s="9"/>
      <c r="F387" s="25"/>
      <c r="G387" s="269"/>
      <c r="H387" s="28"/>
      <c r="I387" s="76"/>
      <c r="J387" s="76">
        <f>ROUNDDOWN(M387*24,0)</f>
        <v>0</v>
      </c>
      <c r="K387" s="77">
        <f t="shared" si="206"/>
        <v>0</v>
      </c>
      <c r="L387" s="9">
        <f t="shared" si="207"/>
        <v>0</v>
      </c>
      <c r="M387" s="26">
        <f t="shared" si="208"/>
        <v>0</v>
      </c>
      <c r="N387" s="27"/>
      <c r="O387" s="311"/>
      <c r="P387" s="24"/>
      <c r="Q387" s="162">
        <f t="shared" si="209"/>
        <v>0</v>
      </c>
    </row>
    <row r="388" spans="1:19" ht="13.5" thickBot="1" x14ac:dyDescent="0.45">
      <c r="A388" s="6"/>
      <c r="B388" s="6"/>
      <c r="C388" s="42"/>
      <c r="D388" s="6"/>
      <c r="E388" s="6"/>
      <c r="F388" s="6"/>
      <c r="G388" s="266"/>
      <c r="H388" s="12"/>
      <c r="I388" s="78"/>
      <c r="J388" s="79">
        <f>SUM(J380:J387)</f>
        <v>14954.4</v>
      </c>
      <c r="K388" s="80">
        <f>SUM(K380:K387)</f>
        <v>47</v>
      </c>
      <c r="L388" s="10">
        <f>SUM(L381:L387)</f>
        <v>0</v>
      </c>
      <c r="M388" s="10"/>
      <c r="N388" s="13">
        <f>MAX(N381:N387)</f>
        <v>0</v>
      </c>
      <c r="O388" s="312">
        <f>MAX(O381:O387)</f>
        <v>0</v>
      </c>
      <c r="P388" s="6"/>
      <c r="Q388" s="162">
        <f>IF(L388=0,0,L388+$Q$2)</f>
        <v>0</v>
      </c>
    </row>
    <row r="389" spans="1:19" ht="13.5" thickBot="1" x14ac:dyDescent="0.45">
      <c r="A389" s="87" t="s">
        <v>16</v>
      </c>
      <c r="B389" s="89"/>
      <c r="C389" s="90"/>
      <c r="D389" s="89"/>
      <c r="E389" s="89"/>
      <c r="F389" s="91"/>
      <c r="G389" s="81"/>
      <c r="H389" s="92"/>
      <c r="I389" s="81">
        <f>SUM(I380:I387)</f>
        <v>20497</v>
      </c>
      <c r="J389" s="81">
        <f>ROUNDDOWN(K388/60,0)+J388</f>
        <v>14954.4</v>
      </c>
      <c r="K389" s="82">
        <f>ROUND(K388-(ROUNDDOWN(K388/60,0)*60),0)</f>
        <v>47</v>
      </c>
      <c r="L389" s="271">
        <f>L388</f>
        <v>0</v>
      </c>
      <c r="M389" s="93"/>
      <c r="N389" s="94">
        <f>N388-N379</f>
        <v>-5946.8</v>
      </c>
      <c r="O389" s="94">
        <f>IF(OR(O380="N/A",O380="N / A", O380="N/ A",O380="N /A"),"N / A", O388-O379)</f>
        <v>-200.4</v>
      </c>
      <c r="P389" s="371"/>
      <c r="Q389" s="162">
        <f>SUM(Q381:Q387)</f>
        <v>0</v>
      </c>
    </row>
    <row r="390" spans="1:19" x14ac:dyDescent="0.35">
      <c r="A390" s="34"/>
      <c r="D390" s="7"/>
      <c r="E390" s="7"/>
      <c r="G390" s="2"/>
      <c r="I390" s="74"/>
      <c r="J390" s="74">
        <f t="shared" ref="J390:J395" si="210">ROUNDDOWN(M390*24,0)</f>
        <v>0</v>
      </c>
      <c r="K390" s="75">
        <f t="shared" ref="K390:K396" si="211">(M390*24-J390)*60</f>
        <v>0</v>
      </c>
      <c r="L390" s="7">
        <f t="shared" ref="L390:L396" si="212">E390-D390</f>
        <v>0</v>
      </c>
      <c r="M390" s="22">
        <f t="shared" ref="M390:M396" si="213">L390</f>
        <v>0</v>
      </c>
      <c r="O390" s="310"/>
      <c r="P390" s="267"/>
      <c r="Q390" s="162">
        <f t="shared" ref="Q390:Q396" si="214">IF(L390=0,0,L390+$Q$2)</f>
        <v>0</v>
      </c>
    </row>
    <row r="391" spans="1:19" x14ac:dyDescent="0.35">
      <c r="A391" s="34"/>
      <c r="D391" s="7"/>
      <c r="E391" s="7"/>
      <c r="G391" s="2"/>
      <c r="I391" s="74"/>
      <c r="J391" s="74">
        <f t="shared" si="210"/>
        <v>0</v>
      </c>
      <c r="K391" s="75">
        <f t="shared" si="211"/>
        <v>0</v>
      </c>
      <c r="L391" s="7">
        <f t="shared" si="212"/>
        <v>0</v>
      </c>
      <c r="M391" s="22">
        <f t="shared" si="213"/>
        <v>0</v>
      </c>
      <c r="O391" s="310"/>
      <c r="P391" s="267"/>
      <c r="Q391" s="162">
        <f t="shared" si="214"/>
        <v>0</v>
      </c>
    </row>
    <row r="392" spans="1:19" x14ac:dyDescent="0.35">
      <c r="A392" s="34"/>
      <c r="D392" s="7"/>
      <c r="E392" s="7"/>
      <c r="G392" s="2"/>
      <c r="I392" s="74"/>
      <c r="J392" s="74">
        <f t="shared" si="210"/>
        <v>0</v>
      </c>
      <c r="K392" s="75">
        <f t="shared" si="211"/>
        <v>0</v>
      </c>
      <c r="L392" s="7">
        <f t="shared" si="212"/>
        <v>0</v>
      </c>
      <c r="M392" s="22">
        <f t="shared" si="213"/>
        <v>0</v>
      </c>
      <c r="O392" s="310"/>
      <c r="P392" s="267"/>
      <c r="Q392" s="162">
        <f t="shared" si="214"/>
        <v>0</v>
      </c>
    </row>
    <row r="393" spans="1:19" x14ac:dyDescent="0.35">
      <c r="A393" s="34"/>
      <c r="D393" s="7"/>
      <c r="E393" s="7"/>
      <c r="G393" s="2"/>
      <c r="I393" s="74"/>
      <c r="J393" s="74">
        <f t="shared" si="210"/>
        <v>0</v>
      </c>
      <c r="K393" s="75">
        <f t="shared" si="211"/>
        <v>0</v>
      </c>
      <c r="L393" s="7">
        <f t="shared" si="212"/>
        <v>0</v>
      </c>
      <c r="M393" s="22">
        <f t="shared" si="213"/>
        <v>0</v>
      </c>
      <c r="O393" s="310"/>
      <c r="P393" s="267"/>
      <c r="Q393" s="162">
        <f t="shared" si="214"/>
        <v>0</v>
      </c>
    </row>
    <row r="394" spans="1:19" x14ac:dyDescent="0.35">
      <c r="A394" s="34"/>
      <c r="D394" s="7"/>
      <c r="E394" s="7"/>
      <c r="G394" s="2"/>
      <c r="I394" s="74"/>
      <c r="J394" s="74">
        <f t="shared" si="210"/>
        <v>0</v>
      </c>
      <c r="K394" s="75">
        <f t="shared" si="211"/>
        <v>0</v>
      </c>
      <c r="L394" s="7">
        <f t="shared" si="212"/>
        <v>0</v>
      </c>
      <c r="M394" s="22">
        <f t="shared" si="213"/>
        <v>0</v>
      </c>
      <c r="O394" s="310"/>
      <c r="P394" s="267"/>
      <c r="Q394" s="162">
        <f t="shared" si="214"/>
        <v>0</v>
      </c>
    </row>
    <row r="395" spans="1:19" x14ac:dyDescent="0.35">
      <c r="A395" s="272"/>
      <c r="D395" s="7"/>
      <c r="E395" s="7"/>
      <c r="G395" s="2"/>
      <c r="I395" s="74"/>
      <c r="J395" s="74">
        <f t="shared" si="210"/>
        <v>0</v>
      </c>
      <c r="K395" s="75">
        <f t="shared" si="211"/>
        <v>0</v>
      </c>
      <c r="L395" s="7">
        <f t="shared" si="212"/>
        <v>0</v>
      </c>
      <c r="M395" s="22">
        <f t="shared" si="213"/>
        <v>0</v>
      </c>
      <c r="O395" s="310"/>
      <c r="P395" s="267"/>
      <c r="Q395" s="162">
        <f t="shared" si="214"/>
        <v>0</v>
      </c>
    </row>
    <row r="396" spans="1:19" x14ac:dyDescent="0.35">
      <c r="A396" s="38"/>
      <c r="B396" s="24"/>
      <c r="C396" s="41"/>
      <c r="D396" s="9"/>
      <c r="E396" s="9"/>
      <c r="F396" s="25"/>
      <c r="G396" s="269"/>
      <c r="H396" s="28"/>
      <c r="I396" s="76"/>
      <c r="J396" s="76">
        <f>ROUNDDOWN(M396*24,0)</f>
        <v>0</v>
      </c>
      <c r="K396" s="77">
        <f t="shared" si="211"/>
        <v>0</v>
      </c>
      <c r="L396" s="9">
        <f t="shared" si="212"/>
        <v>0</v>
      </c>
      <c r="M396" s="26">
        <f t="shared" si="213"/>
        <v>0</v>
      </c>
      <c r="N396" s="27"/>
      <c r="O396" s="311"/>
      <c r="P396" s="24"/>
      <c r="Q396" s="162">
        <f t="shared" si="214"/>
        <v>0</v>
      </c>
    </row>
    <row r="397" spans="1:19" ht="13.5" thickBot="1" x14ac:dyDescent="0.45">
      <c r="A397" s="6"/>
      <c r="B397" s="6"/>
      <c r="C397" s="42"/>
      <c r="D397" s="6"/>
      <c r="E397" s="6"/>
      <c r="F397" s="6"/>
      <c r="G397" s="266"/>
      <c r="H397" s="12"/>
      <c r="I397" s="78"/>
      <c r="J397" s="79">
        <f>SUM(J389:J396)</f>
        <v>14954.4</v>
      </c>
      <c r="K397" s="80">
        <f>SUM(K389:K396)</f>
        <v>47</v>
      </c>
      <c r="L397" s="10">
        <f>SUM(L390:L396)</f>
        <v>0</v>
      </c>
      <c r="M397" s="10"/>
      <c r="N397" s="13">
        <f>MAX(N390:N396)</f>
        <v>0</v>
      </c>
      <c r="O397" s="312">
        <f>MAX(O390:O396)</f>
        <v>0</v>
      </c>
      <c r="P397" s="6"/>
      <c r="Q397" s="162">
        <f>IF(L397=0,0,L397+$Q$2)</f>
        <v>0</v>
      </c>
    </row>
    <row r="398" spans="1:19" ht="13.5" thickBot="1" x14ac:dyDescent="0.45">
      <c r="A398" s="87" t="s">
        <v>16</v>
      </c>
      <c r="B398" s="89"/>
      <c r="C398" s="90"/>
      <c r="D398" s="89"/>
      <c r="E398" s="89"/>
      <c r="F398" s="91"/>
      <c r="G398" s="81"/>
      <c r="H398" s="92"/>
      <c r="I398" s="81">
        <f>SUM(I389:I396)</f>
        <v>20497</v>
      </c>
      <c r="J398" s="81">
        <f>ROUNDDOWN(K397/60,0)+J397</f>
        <v>14954.4</v>
      </c>
      <c r="K398" s="82">
        <f>ROUND(K397-(ROUNDDOWN(K397/60,0)*60),0)</f>
        <v>47</v>
      </c>
      <c r="L398" s="271">
        <f>L397</f>
        <v>0</v>
      </c>
      <c r="M398" s="93"/>
      <c r="N398" s="94">
        <f>N397-N388</f>
        <v>0</v>
      </c>
      <c r="O398" s="94">
        <f>IF(OR(O389="N/A",O335="N / A", O389="N/ A",O389="N /A"),"N / A", O397-O388)</f>
        <v>0</v>
      </c>
      <c r="P398" s="371"/>
      <c r="Q398" s="162">
        <f>SUM(Q390:Q396)</f>
        <v>0</v>
      </c>
    </row>
    <row r="399" spans="1:19" x14ac:dyDescent="0.35">
      <c r="A399" s="34"/>
      <c r="D399" s="7"/>
      <c r="E399" s="7"/>
      <c r="G399" s="2"/>
      <c r="I399" s="74"/>
      <c r="J399" s="74">
        <f t="shared" ref="J399:J404" si="215">ROUNDDOWN(M399*24,0)</f>
        <v>0</v>
      </c>
      <c r="K399" s="75">
        <f t="shared" ref="K399:K405" si="216">(M399*24-J399)*60</f>
        <v>0</v>
      </c>
      <c r="L399" s="7">
        <f t="shared" ref="L399:L405" si="217">E399-D399</f>
        <v>0</v>
      </c>
      <c r="M399" s="22">
        <f t="shared" ref="M399:M405" si="218">L399</f>
        <v>0</v>
      </c>
      <c r="O399" s="310"/>
      <c r="P399" s="267"/>
      <c r="Q399" s="162">
        <f t="shared" ref="Q399:Q405" si="219">IF(L399=0,0,L399+$Q$2)</f>
        <v>0</v>
      </c>
    </row>
    <row r="400" spans="1:19" x14ac:dyDescent="0.35">
      <c r="A400" s="34"/>
      <c r="D400" s="7"/>
      <c r="E400" s="7"/>
      <c r="G400" s="2"/>
      <c r="I400" s="74"/>
      <c r="J400" s="74">
        <f t="shared" si="215"/>
        <v>0</v>
      </c>
      <c r="K400" s="75">
        <f t="shared" si="216"/>
        <v>0</v>
      </c>
      <c r="L400" s="7">
        <f t="shared" si="217"/>
        <v>0</v>
      </c>
      <c r="M400" s="22">
        <f t="shared" si="218"/>
        <v>0</v>
      </c>
      <c r="O400" s="310"/>
      <c r="P400" s="267"/>
      <c r="Q400" s="162">
        <f t="shared" si="219"/>
        <v>0</v>
      </c>
    </row>
    <row r="401" spans="1:17" x14ac:dyDescent="0.35">
      <c r="A401" s="34"/>
      <c r="D401" s="7"/>
      <c r="E401" s="7"/>
      <c r="G401" s="2"/>
      <c r="I401" s="74"/>
      <c r="J401" s="74">
        <f t="shared" si="215"/>
        <v>0</v>
      </c>
      <c r="K401" s="75">
        <f t="shared" si="216"/>
        <v>0</v>
      </c>
      <c r="L401" s="7">
        <f t="shared" si="217"/>
        <v>0</v>
      </c>
      <c r="M401" s="22">
        <f t="shared" si="218"/>
        <v>0</v>
      </c>
      <c r="O401" s="310"/>
      <c r="P401" s="267"/>
      <c r="Q401" s="162">
        <f t="shared" si="219"/>
        <v>0</v>
      </c>
    </row>
    <row r="402" spans="1:17" x14ac:dyDescent="0.35">
      <c r="A402" s="34"/>
      <c r="D402" s="7"/>
      <c r="E402" s="7"/>
      <c r="G402" s="2"/>
      <c r="I402" s="74"/>
      <c r="J402" s="74">
        <f t="shared" si="215"/>
        <v>0</v>
      </c>
      <c r="K402" s="75">
        <f t="shared" si="216"/>
        <v>0</v>
      </c>
      <c r="L402" s="7">
        <f t="shared" si="217"/>
        <v>0</v>
      </c>
      <c r="M402" s="22">
        <f t="shared" si="218"/>
        <v>0</v>
      </c>
      <c r="O402" s="310"/>
      <c r="P402" s="267"/>
      <c r="Q402" s="162">
        <f t="shared" si="219"/>
        <v>0</v>
      </c>
    </row>
    <row r="403" spans="1:17" x14ac:dyDescent="0.35">
      <c r="A403" s="34"/>
      <c r="D403" s="7"/>
      <c r="E403" s="7"/>
      <c r="G403" s="2"/>
      <c r="I403" s="74"/>
      <c r="J403" s="74">
        <f t="shared" si="215"/>
        <v>0</v>
      </c>
      <c r="K403" s="75">
        <f t="shared" si="216"/>
        <v>0</v>
      </c>
      <c r="L403" s="7">
        <f t="shared" si="217"/>
        <v>0</v>
      </c>
      <c r="M403" s="22">
        <f t="shared" si="218"/>
        <v>0</v>
      </c>
      <c r="O403" s="310"/>
      <c r="P403" s="267"/>
      <c r="Q403" s="162">
        <f t="shared" si="219"/>
        <v>0</v>
      </c>
    </row>
    <row r="404" spans="1:17" x14ac:dyDescent="0.35">
      <c r="A404" s="272"/>
      <c r="D404" s="7"/>
      <c r="E404" s="7"/>
      <c r="G404" s="2"/>
      <c r="I404" s="74"/>
      <c r="J404" s="74">
        <f t="shared" si="215"/>
        <v>0</v>
      </c>
      <c r="K404" s="75">
        <f t="shared" si="216"/>
        <v>0</v>
      </c>
      <c r="L404" s="7">
        <f t="shared" si="217"/>
        <v>0</v>
      </c>
      <c r="M404" s="22">
        <f t="shared" si="218"/>
        <v>0</v>
      </c>
      <c r="O404" s="310"/>
      <c r="P404" s="267"/>
      <c r="Q404" s="162">
        <f t="shared" si="219"/>
        <v>0</v>
      </c>
    </row>
    <row r="405" spans="1:17" x14ac:dyDescent="0.35">
      <c r="A405" s="38"/>
      <c r="B405" s="24"/>
      <c r="C405" s="41"/>
      <c r="D405" s="9"/>
      <c r="E405" s="9"/>
      <c r="F405" s="25"/>
      <c r="G405" s="269"/>
      <c r="H405" s="28"/>
      <c r="I405" s="76"/>
      <c r="J405" s="76">
        <f>ROUNDDOWN(M405*24,0)</f>
        <v>0</v>
      </c>
      <c r="K405" s="77">
        <f t="shared" si="216"/>
        <v>0</v>
      </c>
      <c r="L405" s="9">
        <f t="shared" si="217"/>
        <v>0</v>
      </c>
      <c r="M405" s="26">
        <f t="shared" si="218"/>
        <v>0</v>
      </c>
      <c r="N405" s="27"/>
      <c r="O405" s="311"/>
      <c r="P405" s="24"/>
      <c r="Q405" s="162">
        <f t="shared" si="219"/>
        <v>0</v>
      </c>
    </row>
    <row r="406" spans="1:17" ht="13.5" thickBot="1" x14ac:dyDescent="0.45">
      <c r="A406" s="6"/>
      <c r="B406" s="402"/>
      <c r="C406" s="42"/>
      <c r="D406" s="6"/>
      <c r="E406" s="6"/>
      <c r="F406" s="6"/>
      <c r="G406" s="266"/>
      <c r="H406" s="12"/>
      <c r="I406" s="78"/>
      <c r="J406" s="79">
        <f>SUM(J398:J405)</f>
        <v>14954.4</v>
      </c>
      <c r="K406" s="80">
        <f>SUM(K398:K405)</f>
        <v>47</v>
      </c>
      <c r="L406" s="10">
        <f>SUM(L399:L405)</f>
        <v>0</v>
      </c>
      <c r="M406" s="10"/>
      <c r="N406" s="13">
        <f>MAX(N399:N405)</f>
        <v>0</v>
      </c>
      <c r="O406" s="312">
        <f>MAX(O399:O405)</f>
        <v>0</v>
      </c>
      <c r="P406" s="6"/>
      <c r="Q406" s="162">
        <f>IF(L406=0,0,L406+$Q$2)</f>
        <v>0</v>
      </c>
    </row>
    <row r="407" spans="1:17" ht="13.5" thickBot="1" x14ac:dyDescent="0.45">
      <c r="A407" s="87" t="s">
        <v>16</v>
      </c>
      <c r="B407" s="89"/>
      <c r="C407" s="90"/>
      <c r="D407" s="89"/>
      <c r="E407" s="89"/>
      <c r="F407" s="91"/>
      <c r="G407" s="81"/>
      <c r="H407" s="92"/>
      <c r="I407" s="81">
        <f>SUM(I398:I405)</f>
        <v>20497</v>
      </c>
      <c r="J407" s="81">
        <f>ROUNDDOWN(K406/60,0)+J406</f>
        <v>14954.4</v>
      </c>
      <c r="K407" s="82">
        <f>ROUND(K406-(ROUNDDOWN(K406/60,0)*60),0)</f>
        <v>47</v>
      </c>
      <c r="L407" s="271">
        <f>L406</f>
        <v>0</v>
      </c>
      <c r="M407" s="93"/>
      <c r="N407" s="94">
        <f>N406-N397</f>
        <v>0</v>
      </c>
      <c r="O407" s="94">
        <f>IF(OR(O398="N/A",O398="N / A", O398="N/ A",O398="N /A"),"N / A", O406-O397)</f>
        <v>0</v>
      </c>
      <c r="P407" s="371"/>
      <c r="Q407" s="162">
        <f>SUM(Q399:Q405)</f>
        <v>0</v>
      </c>
    </row>
    <row r="408" spans="1:17" x14ac:dyDescent="0.35">
      <c r="A408" s="34"/>
      <c r="B408" s="152"/>
      <c r="D408" s="7"/>
      <c r="E408" s="7"/>
      <c r="G408" s="2"/>
      <c r="I408" s="74"/>
      <c r="J408" s="74">
        <f t="shared" ref="J408:J413" si="220">ROUNDDOWN(M408*24,0)</f>
        <v>0</v>
      </c>
      <c r="K408" s="75">
        <f t="shared" ref="K408:K414" si="221">(M408*24-J408)*60</f>
        <v>0</v>
      </c>
      <c r="L408" s="7">
        <f t="shared" ref="L408:L414" si="222">E408-D408</f>
        <v>0</v>
      </c>
      <c r="M408" s="22">
        <f t="shared" ref="M408:M414" si="223">L408</f>
        <v>0</v>
      </c>
      <c r="O408" s="310"/>
      <c r="P408" s="267"/>
      <c r="Q408" s="162">
        <f t="shared" ref="Q408:Q414" si="224">IF(L408=0,0,L408+$Q$2)</f>
        <v>0</v>
      </c>
    </row>
    <row r="409" spans="1:17" x14ac:dyDescent="0.35">
      <c r="A409" s="34"/>
      <c r="B409" s="152"/>
      <c r="D409" s="7"/>
      <c r="E409" s="7"/>
      <c r="G409" s="2"/>
      <c r="I409" s="74"/>
      <c r="J409" s="74">
        <f t="shared" si="220"/>
        <v>0</v>
      </c>
      <c r="K409" s="75">
        <f t="shared" si="221"/>
        <v>0</v>
      </c>
      <c r="L409" s="7">
        <f t="shared" si="222"/>
        <v>0</v>
      </c>
      <c r="M409" s="22">
        <f t="shared" si="223"/>
        <v>0</v>
      </c>
      <c r="O409" s="310"/>
      <c r="P409" s="267"/>
      <c r="Q409" s="162">
        <f t="shared" si="224"/>
        <v>0</v>
      </c>
    </row>
    <row r="410" spans="1:17" x14ac:dyDescent="0.35">
      <c r="A410" s="34"/>
      <c r="B410" s="152" t="s">
        <v>192</v>
      </c>
      <c r="D410" s="7"/>
      <c r="E410" s="7"/>
      <c r="G410" s="2"/>
      <c r="I410" s="74"/>
      <c r="J410" s="74">
        <f t="shared" si="220"/>
        <v>0</v>
      </c>
      <c r="K410" s="75">
        <f t="shared" si="221"/>
        <v>0</v>
      </c>
      <c r="L410" s="7">
        <f t="shared" si="222"/>
        <v>0</v>
      </c>
      <c r="M410" s="22">
        <f t="shared" si="223"/>
        <v>0</v>
      </c>
      <c r="O410" s="310"/>
      <c r="P410" s="267"/>
      <c r="Q410" s="162">
        <f t="shared" si="224"/>
        <v>0</v>
      </c>
    </row>
    <row r="411" spans="1:17" x14ac:dyDescent="0.35">
      <c r="A411" s="34"/>
      <c r="B411" s="152"/>
      <c r="D411" s="7"/>
      <c r="E411" s="7"/>
      <c r="G411" s="2"/>
      <c r="I411" s="74"/>
      <c r="J411" s="74">
        <f t="shared" si="220"/>
        <v>0</v>
      </c>
      <c r="K411" s="75">
        <f t="shared" si="221"/>
        <v>0</v>
      </c>
      <c r="L411" s="7">
        <f t="shared" si="222"/>
        <v>0</v>
      </c>
      <c r="M411" s="22">
        <f t="shared" si="223"/>
        <v>0</v>
      </c>
      <c r="O411" s="310"/>
      <c r="P411" s="267"/>
      <c r="Q411" s="162">
        <f t="shared" si="224"/>
        <v>0</v>
      </c>
    </row>
    <row r="412" spans="1:17" x14ac:dyDescent="0.35">
      <c r="A412" s="34"/>
      <c r="B412" s="152"/>
      <c r="D412" s="7"/>
      <c r="E412" s="7"/>
      <c r="G412" s="2"/>
      <c r="I412" s="74"/>
      <c r="J412" s="74">
        <f t="shared" si="220"/>
        <v>0</v>
      </c>
      <c r="K412" s="75">
        <f t="shared" si="221"/>
        <v>0</v>
      </c>
      <c r="L412" s="7">
        <f t="shared" si="222"/>
        <v>0</v>
      </c>
      <c r="M412" s="22">
        <f t="shared" si="223"/>
        <v>0</v>
      </c>
      <c r="O412" s="310"/>
      <c r="P412" s="267"/>
      <c r="Q412" s="162">
        <f t="shared" si="224"/>
        <v>0</v>
      </c>
    </row>
    <row r="413" spans="1:17" x14ac:dyDescent="0.35">
      <c r="A413" s="272"/>
      <c r="B413" s="152"/>
      <c r="D413" s="7"/>
      <c r="E413" s="7"/>
      <c r="G413" s="2"/>
      <c r="I413" s="74"/>
      <c r="J413" s="74">
        <f t="shared" si="220"/>
        <v>0</v>
      </c>
      <c r="K413" s="75">
        <f t="shared" si="221"/>
        <v>0</v>
      </c>
      <c r="L413" s="7">
        <f t="shared" si="222"/>
        <v>0</v>
      </c>
      <c r="M413" s="22">
        <f t="shared" si="223"/>
        <v>0</v>
      </c>
      <c r="O413" s="310"/>
      <c r="P413" s="267"/>
      <c r="Q413" s="162">
        <f t="shared" si="224"/>
        <v>0</v>
      </c>
    </row>
    <row r="414" spans="1:17" x14ac:dyDescent="0.35">
      <c r="A414" s="38"/>
      <c r="B414" s="404"/>
      <c r="C414" s="41"/>
      <c r="D414" s="9"/>
      <c r="E414" s="9"/>
      <c r="F414" s="25"/>
      <c r="G414" s="269"/>
      <c r="H414" s="28"/>
      <c r="I414" s="76"/>
      <c r="J414" s="76">
        <f>ROUNDDOWN(M414*24,0)</f>
        <v>0</v>
      </c>
      <c r="K414" s="77">
        <f t="shared" si="221"/>
        <v>0</v>
      </c>
      <c r="L414" s="9">
        <f t="shared" si="222"/>
        <v>0</v>
      </c>
      <c r="M414" s="26">
        <f t="shared" si="223"/>
        <v>0</v>
      </c>
      <c r="N414" s="27"/>
      <c r="O414" s="311"/>
      <c r="P414" s="24"/>
      <c r="Q414" s="162">
        <f t="shared" si="224"/>
        <v>0</v>
      </c>
    </row>
    <row r="415" spans="1:17" ht="13.5" thickBot="1" x14ac:dyDescent="0.45">
      <c r="A415" s="6"/>
      <c r="B415" s="6"/>
      <c r="C415" s="42"/>
      <c r="D415" s="6"/>
      <c r="E415" s="6"/>
      <c r="F415" s="6"/>
      <c r="G415" s="266"/>
      <c r="H415" s="12"/>
      <c r="I415" s="78"/>
      <c r="J415" s="79">
        <f>SUM(J407:J414)</f>
        <v>14954.4</v>
      </c>
      <c r="K415" s="80">
        <f>SUM(K407:K414)</f>
        <v>47</v>
      </c>
      <c r="L415" s="10">
        <f>SUM(L408:L414)</f>
        <v>0</v>
      </c>
      <c r="M415" s="10"/>
      <c r="N415" s="13">
        <f>MAX(N408:N414)</f>
        <v>0</v>
      </c>
      <c r="O415" s="312">
        <f>MAX(O408:O414)</f>
        <v>0</v>
      </c>
      <c r="P415" s="6"/>
      <c r="Q415" s="162">
        <f>IF(L415=0,0,L415+$Q$2)</f>
        <v>0</v>
      </c>
    </row>
    <row r="416" spans="1:17" ht="13.5" thickBot="1" x14ac:dyDescent="0.45">
      <c r="A416" s="87" t="s">
        <v>16</v>
      </c>
      <c r="B416" s="89"/>
      <c r="C416" s="90"/>
      <c r="D416" s="89"/>
      <c r="E416" s="89"/>
      <c r="F416" s="91"/>
      <c r="G416" s="81"/>
      <c r="H416" s="92"/>
      <c r="I416" s="81">
        <f>SUM(I407:I414)</f>
        <v>20497</v>
      </c>
      <c r="J416" s="81">
        <f>ROUNDDOWN(K415/60,0)+J415</f>
        <v>14954.4</v>
      </c>
      <c r="K416" s="82">
        <f>ROUND(K415-(ROUNDDOWN(K415/60,0)*60),0)</f>
        <v>47</v>
      </c>
      <c r="L416" s="271">
        <f>L415</f>
        <v>0</v>
      </c>
      <c r="M416" s="93"/>
      <c r="N416" s="94">
        <f>N415-N406</f>
        <v>0</v>
      </c>
      <c r="O416" s="94">
        <f>IF(OR(O407="N/A",O407="N / A", O407="N/ A",O407="N /A"),"N / A", O415-O406)</f>
        <v>0</v>
      </c>
      <c r="P416" s="371"/>
      <c r="Q416" s="162">
        <f>SUM(Q408:Q414)</f>
        <v>0</v>
      </c>
    </row>
    <row r="417" spans="1:17" x14ac:dyDescent="0.35">
      <c r="A417" s="34"/>
      <c r="D417" s="7"/>
      <c r="E417" s="7"/>
      <c r="G417" s="2"/>
      <c r="I417" s="74"/>
      <c r="J417" s="74">
        <f t="shared" ref="J417:J422" si="225">ROUNDDOWN(M417*24,0)</f>
        <v>0</v>
      </c>
      <c r="K417" s="75">
        <f t="shared" ref="K417:K423" si="226">(M417*24-J417)*60</f>
        <v>0</v>
      </c>
      <c r="L417" s="7">
        <f t="shared" ref="L417:L423" si="227">E417-D417</f>
        <v>0</v>
      </c>
      <c r="M417" s="22">
        <f t="shared" ref="M417:M423" si="228">L417</f>
        <v>0</v>
      </c>
      <c r="O417" s="310"/>
      <c r="P417" s="267"/>
      <c r="Q417" s="162">
        <f t="shared" ref="Q417:Q423" si="229">IF(L417=0,0,L417+$Q$2)</f>
        <v>0</v>
      </c>
    </row>
    <row r="418" spans="1:17" x14ac:dyDescent="0.35">
      <c r="A418" s="34"/>
      <c r="D418" s="7"/>
      <c r="E418" s="7"/>
      <c r="G418" s="2"/>
      <c r="I418" s="74"/>
      <c r="J418" s="74">
        <f t="shared" si="225"/>
        <v>0</v>
      </c>
      <c r="K418" s="75">
        <f t="shared" si="226"/>
        <v>0</v>
      </c>
      <c r="L418" s="7">
        <f t="shared" si="227"/>
        <v>0</v>
      </c>
      <c r="M418" s="22">
        <f t="shared" si="228"/>
        <v>0</v>
      </c>
      <c r="O418" s="310"/>
      <c r="P418" s="267"/>
      <c r="Q418" s="162">
        <f t="shared" si="229"/>
        <v>0</v>
      </c>
    </row>
    <row r="419" spans="1:17" x14ac:dyDescent="0.35">
      <c r="A419" s="34"/>
      <c r="D419" s="7"/>
      <c r="E419" s="7"/>
      <c r="G419" s="2"/>
      <c r="I419" s="74"/>
      <c r="J419" s="74">
        <f t="shared" si="225"/>
        <v>0</v>
      </c>
      <c r="K419" s="75">
        <f t="shared" si="226"/>
        <v>0</v>
      </c>
      <c r="L419" s="7">
        <f t="shared" si="227"/>
        <v>0</v>
      </c>
      <c r="M419" s="22">
        <f t="shared" si="228"/>
        <v>0</v>
      </c>
      <c r="O419" s="310"/>
      <c r="P419" s="267"/>
      <c r="Q419" s="162">
        <f t="shared" si="229"/>
        <v>0</v>
      </c>
    </row>
    <row r="420" spans="1:17" x14ac:dyDescent="0.35">
      <c r="A420" s="34"/>
      <c r="D420" s="7"/>
      <c r="E420" s="7"/>
      <c r="G420" s="2"/>
      <c r="I420" s="74"/>
      <c r="J420" s="74">
        <f t="shared" si="225"/>
        <v>0</v>
      </c>
      <c r="K420" s="75">
        <f t="shared" si="226"/>
        <v>0</v>
      </c>
      <c r="L420" s="7">
        <f t="shared" si="227"/>
        <v>0</v>
      </c>
      <c r="M420" s="22">
        <f t="shared" si="228"/>
        <v>0</v>
      </c>
      <c r="O420" s="310"/>
      <c r="P420" s="267"/>
      <c r="Q420" s="162">
        <f t="shared" si="229"/>
        <v>0</v>
      </c>
    </row>
    <row r="421" spans="1:17" x14ac:dyDescent="0.35">
      <c r="A421" s="34"/>
      <c r="D421" s="7"/>
      <c r="E421" s="7"/>
      <c r="G421" s="2"/>
      <c r="I421" s="74"/>
      <c r="J421" s="74">
        <f t="shared" si="225"/>
        <v>0</v>
      </c>
      <c r="K421" s="75">
        <f t="shared" si="226"/>
        <v>0</v>
      </c>
      <c r="L421" s="7">
        <f t="shared" si="227"/>
        <v>0</v>
      </c>
      <c r="M421" s="22">
        <f t="shared" si="228"/>
        <v>0</v>
      </c>
      <c r="O421" s="310"/>
      <c r="P421" s="267"/>
      <c r="Q421" s="162">
        <f t="shared" si="229"/>
        <v>0</v>
      </c>
    </row>
    <row r="422" spans="1:17" x14ac:dyDescent="0.35">
      <c r="A422" s="272"/>
      <c r="D422" s="7"/>
      <c r="E422" s="7"/>
      <c r="G422" s="2"/>
      <c r="I422" s="74"/>
      <c r="J422" s="74">
        <f t="shared" si="225"/>
        <v>0</v>
      </c>
      <c r="K422" s="75">
        <f t="shared" si="226"/>
        <v>0</v>
      </c>
      <c r="L422" s="7">
        <f t="shared" si="227"/>
        <v>0</v>
      </c>
      <c r="M422" s="22">
        <f t="shared" si="228"/>
        <v>0</v>
      </c>
      <c r="O422" s="310"/>
      <c r="P422" s="267"/>
      <c r="Q422" s="162">
        <f t="shared" si="229"/>
        <v>0</v>
      </c>
    </row>
    <row r="423" spans="1:17" x14ac:dyDescent="0.35">
      <c r="A423" s="38"/>
      <c r="B423" s="24"/>
      <c r="C423" s="41"/>
      <c r="D423" s="9"/>
      <c r="E423" s="9"/>
      <c r="F423" s="25"/>
      <c r="G423" s="269"/>
      <c r="H423" s="28"/>
      <c r="I423" s="76"/>
      <c r="J423" s="76">
        <f>ROUNDDOWN(M423*24,0)</f>
        <v>0</v>
      </c>
      <c r="K423" s="77">
        <f t="shared" si="226"/>
        <v>0</v>
      </c>
      <c r="L423" s="9">
        <f t="shared" si="227"/>
        <v>0</v>
      </c>
      <c r="M423" s="26">
        <f t="shared" si="228"/>
        <v>0</v>
      </c>
      <c r="N423" s="27"/>
      <c r="O423" s="311"/>
      <c r="P423" s="24"/>
      <c r="Q423" s="162">
        <f t="shared" si="229"/>
        <v>0</v>
      </c>
    </row>
    <row r="424" spans="1:17" ht="13.5" thickBot="1" x14ac:dyDescent="0.45">
      <c r="A424" s="6"/>
      <c r="B424" s="6"/>
      <c r="C424" s="42"/>
      <c r="D424" s="6"/>
      <c r="E424" s="6"/>
      <c r="F424" s="6"/>
      <c r="G424" s="266"/>
      <c r="H424" s="12"/>
      <c r="I424" s="78"/>
      <c r="J424" s="79">
        <f>SUM(J416:J423)</f>
        <v>14954.4</v>
      </c>
      <c r="K424" s="80">
        <f>SUM(K416:K423)</f>
        <v>47</v>
      </c>
      <c r="L424" s="10">
        <f>SUM(L417:L423)</f>
        <v>0</v>
      </c>
      <c r="M424" s="10"/>
      <c r="N424" s="13">
        <f>MAX(N417:N423)</f>
        <v>0</v>
      </c>
      <c r="O424" s="312">
        <f>MAX(O417:O423)</f>
        <v>0</v>
      </c>
      <c r="P424" s="6"/>
      <c r="Q424" s="162">
        <f>IF(L424=0,0,L424+$Q$2)</f>
        <v>0</v>
      </c>
    </row>
    <row r="425" spans="1:17" ht="13.5" thickBot="1" x14ac:dyDescent="0.45">
      <c r="A425" s="87" t="s">
        <v>16</v>
      </c>
      <c r="B425" s="89"/>
      <c r="C425" s="90"/>
      <c r="D425" s="89"/>
      <c r="E425" s="89"/>
      <c r="F425" s="91"/>
      <c r="G425" s="81"/>
      <c r="H425" s="92"/>
      <c r="I425" s="81">
        <f>SUM(I416:I423)</f>
        <v>20497</v>
      </c>
      <c r="J425" s="81">
        <f>ROUNDDOWN(K424/60,0)+J424</f>
        <v>14954.4</v>
      </c>
      <c r="K425" s="82">
        <f>ROUND(K424-(ROUNDDOWN(K424/60,0)*60),0)</f>
        <v>47</v>
      </c>
      <c r="L425" s="271">
        <f>L424</f>
        <v>0</v>
      </c>
      <c r="M425" s="93"/>
      <c r="N425" s="94">
        <f>N424-N415</f>
        <v>0</v>
      </c>
      <c r="O425" s="94">
        <f>IF(OR(O416="N/A",O416="N / A", O416="N/ A",O416="N /A"),"N / A", O424-O415)</f>
        <v>0</v>
      </c>
      <c r="P425" s="371"/>
      <c r="Q425" s="162">
        <f>SUM(Q417:Q423)</f>
        <v>0</v>
      </c>
    </row>
    <row r="426" spans="1:17" ht="13.15" x14ac:dyDescent="0.4">
      <c r="I426" s="186" t="s">
        <v>130</v>
      </c>
      <c r="J426" s="185">
        <f>L11+L20+L29+L38+L47+L56+L65+L74+L83+L92+L101+L110+L119+L128+L137+L146+L155+L164+L173+L182+L191+L200+L209+L218+L227+L236+L245+L254+L263+L272+L281+L290+L344+L407+L416+L425</f>
        <v>9.9645833333333336</v>
      </c>
    </row>
    <row r="427" spans="1:17" ht="13.15" x14ac:dyDescent="0.4">
      <c r="J427" s="185"/>
    </row>
    <row r="428" spans="1:17" ht="13.15" x14ac:dyDescent="0.4">
      <c r="J428" s="185"/>
    </row>
  </sheetData>
  <mergeCells count="7">
    <mergeCell ref="S294:T294"/>
    <mergeCell ref="U294:V294"/>
    <mergeCell ref="J1:K1"/>
    <mergeCell ref="R190:S190"/>
    <mergeCell ref="R51:S51"/>
    <mergeCell ref="R169:S169"/>
    <mergeCell ref="R171:S171"/>
  </mergeCells>
  <pageMargins left="0.70866141732283472" right="0.70866141732283472" top="0.78740157480314965" bottom="0.78740157480314965" header="0.31496062992125984" footer="0.31496062992125984"/>
  <pageSetup paperSize="9" scale="11" orientation="landscape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R30"/>
  <sheetViews>
    <sheetView workbookViewId="0">
      <pane ySplit="2" topLeftCell="A3" activePane="bottomLeft" state="frozen"/>
      <selection activeCell="A40" sqref="A40"/>
      <selection pane="bottomLeft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bestFit="1" customWidth="1"/>
    <col min="4" max="5" width="11.3984375" style="1"/>
    <col min="6" max="6" width="9.73046875" style="4" bestFit="1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3" width="5.59765625" style="7" hidden="1" customWidth="1"/>
    <col min="14" max="14" width="7.86328125" style="14" customWidth="1"/>
    <col min="15" max="15" width="7.86328125" style="1" customWidth="1"/>
    <col min="16" max="16" width="25.3984375" style="1" customWidth="1"/>
    <col min="17" max="17" width="5.1328125" style="1" customWidth="1"/>
    <col min="18" max="18" width="3.59765625" style="1" customWidth="1"/>
    <col min="19" max="16384" width="11.3984375" style="1"/>
  </cols>
  <sheetData>
    <row r="1" spans="1:18" s="5" customFormat="1" ht="13.15" x14ac:dyDescent="0.45">
      <c r="A1" s="104" t="s">
        <v>56</v>
      </c>
      <c r="B1" s="35" t="s">
        <v>27</v>
      </c>
      <c r="C1" s="36" t="s">
        <v>55</v>
      </c>
      <c r="D1" s="37">
        <v>0</v>
      </c>
      <c r="E1" s="105"/>
      <c r="F1" s="106" t="s">
        <v>13</v>
      </c>
      <c r="G1" s="107" t="s">
        <v>10</v>
      </c>
      <c r="H1" s="107" t="s">
        <v>24</v>
      </c>
      <c r="I1" s="69" t="s">
        <v>15</v>
      </c>
      <c r="J1" s="656" t="s">
        <v>14</v>
      </c>
      <c r="K1" s="652"/>
      <c r="L1" s="108" t="s">
        <v>17</v>
      </c>
      <c r="M1" s="108"/>
      <c r="N1" s="109" t="s">
        <v>6</v>
      </c>
      <c r="O1" s="110" t="s">
        <v>7</v>
      </c>
      <c r="P1" s="110" t="s">
        <v>19</v>
      </c>
      <c r="Q1" s="665" t="s">
        <v>31</v>
      </c>
      <c r="R1" s="666"/>
    </row>
    <row r="2" spans="1:18" s="6" customFormat="1" ht="13.15" x14ac:dyDescent="0.4">
      <c r="A2" s="96" t="s">
        <v>0</v>
      </c>
      <c r="B2" s="97" t="s">
        <v>1</v>
      </c>
      <c r="C2" s="111" t="s">
        <v>33</v>
      </c>
      <c r="D2" s="99" t="s">
        <v>2</v>
      </c>
      <c r="E2" s="99" t="s">
        <v>3</v>
      </c>
      <c r="F2" s="100" t="s">
        <v>12</v>
      </c>
      <c r="G2" s="99" t="s">
        <v>11</v>
      </c>
      <c r="H2" s="99" t="s">
        <v>25</v>
      </c>
      <c r="I2" s="70"/>
      <c r="J2" s="71"/>
      <c r="K2" s="72"/>
      <c r="L2" s="101" t="s">
        <v>18</v>
      </c>
      <c r="M2" s="101"/>
      <c r="N2" s="102"/>
      <c r="O2" s="102"/>
      <c r="P2" s="103" t="s">
        <v>26</v>
      </c>
      <c r="Q2" s="667" t="s">
        <v>32</v>
      </c>
      <c r="R2" s="668"/>
    </row>
    <row r="3" spans="1:18" x14ac:dyDescent="0.35">
      <c r="A3" s="33"/>
      <c r="B3" s="15"/>
      <c r="C3" s="39"/>
      <c r="D3" s="16"/>
      <c r="E3" s="16"/>
      <c r="F3" s="17"/>
      <c r="G3" s="15"/>
      <c r="H3" s="20"/>
      <c r="I3" s="73"/>
      <c r="J3" s="74">
        <f>ROUNDDOWN(M3*24,0)</f>
        <v>0</v>
      </c>
      <c r="K3" s="75">
        <f>(M3*24-J3)*60</f>
        <v>0</v>
      </c>
      <c r="L3" s="16">
        <f>E3-D3</f>
        <v>0</v>
      </c>
      <c r="M3" s="18">
        <f>L3</f>
        <v>0</v>
      </c>
      <c r="N3" s="19"/>
      <c r="O3" s="29"/>
      <c r="P3" s="15"/>
      <c r="Q3" s="83"/>
      <c r="R3" s="84"/>
    </row>
    <row r="4" spans="1:18" x14ac:dyDescent="0.35">
      <c r="A4" s="34"/>
      <c r="D4" s="7"/>
      <c r="E4" s="7"/>
      <c r="I4" s="74"/>
      <c r="J4" s="74">
        <f t="shared" ref="J4:J9" si="0">ROUNDDOWN(M4*24,0)</f>
        <v>0</v>
      </c>
      <c r="K4" s="75">
        <f t="shared" ref="K4:K9" si="1">(M4*24-J4)*60</f>
        <v>0</v>
      </c>
      <c r="L4" s="7">
        <f t="shared" ref="L4:L9" si="2">E4-D4</f>
        <v>0</v>
      </c>
      <c r="M4" s="22">
        <f t="shared" ref="M4:M9" si="3">L4</f>
        <v>0</v>
      </c>
      <c r="O4" s="30"/>
      <c r="Q4" s="83"/>
      <c r="R4" s="84"/>
    </row>
    <row r="5" spans="1:18" x14ac:dyDescent="0.35">
      <c r="A5" s="34"/>
      <c r="D5" s="7"/>
      <c r="E5" s="7"/>
      <c r="I5" s="74"/>
      <c r="J5" s="74">
        <f t="shared" si="0"/>
        <v>0</v>
      </c>
      <c r="K5" s="75">
        <f t="shared" si="1"/>
        <v>0</v>
      </c>
      <c r="L5" s="7">
        <f t="shared" si="2"/>
        <v>0</v>
      </c>
      <c r="M5" s="22">
        <f t="shared" si="3"/>
        <v>0</v>
      </c>
      <c r="O5" s="30"/>
      <c r="Q5" s="83"/>
      <c r="R5" s="84"/>
    </row>
    <row r="6" spans="1:18" x14ac:dyDescent="0.35">
      <c r="A6" s="34"/>
      <c r="B6" s="152" t="s">
        <v>121</v>
      </c>
      <c r="C6" s="153"/>
      <c r="D6" s="154"/>
      <c r="E6" s="154"/>
      <c r="F6" s="155"/>
      <c r="I6" s="74"/>
      <c r="J6" s="74">
        <f t="shared" si="0"/>
        <v>0</v>
      </c>
      <c r="K6" s="75">
        <f t="shared" si="1"/>
        <v>0</v>
      </c>
      <c r="L6" s="7">
        <f t="shared" si="2"/>
        <v>0</v>
      </c>
      <c r="M6" s="22">
        <f t="shared" si="3"/>
        <v>0</v>
      </c>
      <c r="O6" s="30"/>
      <c r="Q6" s="83"/>
      <c r="R6" s="84"/>
    </row>
    <row r="7" spans="1:18" x14ac:dyDescent="0.35">
      <c r="A7" s="34"/>
      <c r="D7" s="7"/>
      <c r="E7" s="7"/>
      <c r="I7" s="74"/>
      <c r="J7" s="74">
        <f t="shared" si="0"/>
        <v>0</v>
      </c>
      <c r="K7" s="75">
        <f t="shared" si="1"/>
        <v>0</v>
      </c>
      <c r="L7" s="7">
        <f t="shared" si="2"/>
        <v>0</v>
      </c>
      <c r="M7" s="22">
        <f t="shared" si="3"/>
        <v>0</v>
      </c>
      <c r="O7" s="30"/>
      <c r="Q7" s="83"/>
      <c r="R7" s="84"/>
    </row>
    <row r="8" spans="1:18" x14ac:dyDescent="0.35">
      <c r="A8" s="34"/>
      <c r="D8" s="7"/>
      <c r="E8" s="7"/>
      <c r="I8" s="74"/>
      <c r="J8" s="74">
        <f t="shared" si="0"/>
        <v>0</v>
      </c>
      <c r="K8" s="75">
        <f t="shared" si="1"/>
        <v>0</v>
      </c>
      <c r="L8" s="7">
        <f t="shared" si="2"/>
        <v>0</v>
      </c>
      <c r="M8" s="22">
        <f t="shared" si="3"/>
        <v>0</v>
      </c>
      <c r="O8" s="30"/>
      <c r="Q8" s="83"/>
      <c r="R8" s="84"/>
    </row>
    <row r="9" spans="1:18" ht="13.15" thickBot="1" x14ac:dyDescent="0.4">
      <c r="A9" s="38"/>
      <c r="B9" s="24"/>
      <c r="C9" s="41"/>
      <c r="D9" s="9"/>
      <c r="E9" s="9"/>
      <c r="F9" s="25"/>
      <c r="G9" s="24"/>
      <c r="H9" s="28"/>
      <c r="I9" s="76"/>
      <c r="J9" s="76">
        <f t="shared" si="0"/>
        <v>0</v>
      </c>
      <c r="K9" s="77">
        <f t="shared" si="1"/>
        <v>0</v>
      </c>
      <c r="L9" s="9">
        <f t="shared" si="2"/>
        <v>0</v>
      </c>
      <c r="M9" s="26">
        <f t="shared" si="3"/>
        <v>0</v>
      </c>
      <c r="N9" s="27"/>
      <c r="O9" s="31"/>
      <c r="P9" s="24"/>
      <c r="Q9" s="83"/>
      <c r="R9" s="84"/>
    </row>
    <row r="10" spans="1:18" s="6" customFormat="1" ht="13.5" hidden="1" thickBot="1" x14ac:dyDescent="0.45">
      <c r="C10" s="42"/>
      <c r="H10" s="12"/>
      <c r="I10" s="78"/>
      <c r="J10" s="79">
        <f>SUM(J2:J9)</f>
        <v>0</v>
      </c>
      <c r="K10" s="80">
        <f>SUM(K2:K9)</f>
        <v>0</v>
      </c>
      <c r="L10" s="10">
        <f>SUM(L3:L9)</f>
        <v>0</v>
      </c>
      <c r="M10" s="10"/>
      <c r="N10" s="11">
        <f>MAX(N3:N9)</f>
        <v>0</v>
      </c>
      <c r="O10" s="32">
        <f>MAX(O3:O9)</f>
        <v>0</v>
      </c>
      <c r="Q10" s="85"/>
      <c r="R10" s="86"/>
    </row>
    <row r="11" spans="1:18" ht="13.5" thickBot="1" x14ac:dyDescent="0.45">
      <c r="A11" s="87" t="s">
        <v>16</v>
      </c>
      <c r="B11" s="89"/>
      <c r="C11" s="90"/>
      <c r="D11" s="89"/>
      <c r="E11" s="89"/>
      <c r="F11" s="91"/>
      <c r="G11" s="89"/>
      <c r="H11" s="92"/>
      <c r="I11" s="81">
        <f>I2+I3+I4+I5+I6+I7+I8+I9</f>
        <v>0</v>
      </c>
      <c r="J11" s="81">
        <f>ROUNDDOWN(K10/60,0)+J10</f>
        <v>0</v>
      </c>
      <c r="K11" s="82">
        <f>ROUND(K10-(ROUNDDOWN(K10/60,0)*60),0)</f>
        <v>0</v>
      </c>
      <c r="L11" s="93"/>
      <c r="M11" s="93"/>
      <c r="N11" s="94">
        <f>N10-N2</f>
        <v>0</v>
      </c>
      <c r="O11" s="94">
        <f>IF(OR(O2="N/A",O2="N / A", O2="N/ A",O2="N /A"),"N / A", O10-O2)</f>
        <v>0</v>
      </c>
      <c r="P11" s="95">
        <f>$D$1-(K11/60+J11)</f>
        <v>0</v>
      </c>
      <c r="Q11" s="87">
        <f>ROUNDDOWN($D$1-(K11/60+J11),0)</f>
        <v>0</v>
      </c>
      <c r="R11" s="88">
        <f>(($D$1-(K11/60+J11)-ROUNDDOWN(($D$1-(K11/60+J11)),0))*60)</f>
        <v>0</v>
      </c>
    </row>
    <row r="12" spans="1:18" x14ac:dyDescent="0.35">
      <c r="A12" s="34"/>
      <c r="D12" s="7"/>
      <c r="E12" s="7"/>
      <c r="I12" s="74"/>
      <c r="J12" s="74">
        <f>ROUNDDOWN(M12*24,0)</f>
        <v>0</v>
      </c>
      <c r="K12" s="75">
        <f>(M12*24-J12)*60</f>
        <v>0</v>
      </c>
      <c r="L12" s="7">
        <f>E12-D12</f>
        <v>0</v>
      </c>
      <c r="M12" s="22">
        <f>L12</f>
        <v>0</v>
      </c>
      <c r="O12" s="30"/>
      <c r="Q12" s="83"/>
      <c r="R12" s="84"/>
    </row>
    <row r="13" spans="1:18" x14ac:dyDescent="0.35">
      <c r="A13" s="34"/>
      <c r="D13" s="7"/>
      <c r="E13" s="7"/>
      <c r="I13" s="74"/>
      <c r="J13" s="74">
        <f t="shared" ref="J13:J18" si="4">ROUNDDOWN(M13*24,0)</f>
        <v>0</v>
      </c>
      <c r="K13" s="75">
        <f t="shared" ref="K13:K18" si="5">(M13*24-J13)*60</f>
        <v>0</v>
      </c>
      <c r="L13" s="7">
        <f t="shared" ref="L13:L18" si="6">E13-D13</f>
        <v>0</v>
      </c>
      <c r="M13" s="22">
        <f t="shared" ref="M13:M18" si="7">L13</f>
        <v>0</v>
      </c>
      <c r="O13" s="30"/>
      <c r="Q13" s="83"/>
      <c r="R13" s="84"/>
    </row>
    <row r="14" spans="1:18" x14ac:dyDescent="0.35">
      <c r="A14" s="34"/>
      <c r="D14" s="7"/>
      <c r="E14" s="7"/>
      <c r="I14" s="74"/>
      <c r="J14" s="74">
        <f t="shared" si="4"/>
        <v>0</v>
      </c>
      <c r="K14" s="75">
        <f t="shared" si="5"/>
        <v>0</v>
      </c>
      <c r="L14" s="7">
        <f t="shared" si="6"/>
        <v>0</v>
      </c>
      <c r="M14" s="22">
        <f t="shared" si="7"/>
        <v>0</v>
      </c>
      <c r="O14" s="30"/>
      <c r="Q14" s="83"/>
      <c r="R14" s="84"/>
    </row>
    <row r="15" spans="1:18" x14ac:dyDescent="0.35">
      <c r="A15" s="21"/>
      <c r="D15" s="7"/>
      <c r="E15" s="7"/>
      <c r="I15" s="74"/>
      <c r="J15" s="74">
        <f t="shared" si="4"/>
        <v>0</v>
      </c>
      <c r="K15" s="75">
        <f t="shared" si="5"/>
        <v>0</v>
      </c>
      <c r="L15" s="7">
        <f t="shared" si="6"/>
        <v>0</v>
      </c>
      <c r="M15" s="22">
        <f t="shared" si="7"/>
        <v>0</v>
      </c>
      <c r="O15" s="30"/>
      <c r="Q15" s="83"/>
      <c r="R15" s="84"/>
    </row>
    <row r="16" spans="1:18" x14ac:dyDescent="0.35">
      <c r="A16" s="21"/>
      <c r="D16" s="7"/>
      <c r="E16" s="7"/>
      <c r="I16" s="74"/>
      <c r="J16" s="74">
        <f t="shared" si="4"/>
        <v>0</v>
      </c>
      <c r="K16" s="75">
        <f t="shared" si="5"/>
        <v>0</v>
      </c>
      <c r="L16" s="7">
        <f t="shared" si="6"/>
        <v>0</v>
      </c>
      <c r="M16" s="22">
        <f t="shared" si="7"/>
        <v>0</v>
      </c>
      <c r="O16" s="30"/>
      <c r="Q16" s="83"/>
      <c r="R16" s="84"/>
    </row>
    <row r="17" spans="1:18" x14ac:dyDescent="0.35">
      <c r="A17" s="21"/>
      <c r="D17" s="7"/>
      <c r="E17" s="7"/>
      <c r="I17" s="74"/>
      <c r="J17" s="74">
        <f t="shared" si="4"/>
        <v>0</v>
      </c>
      <c r="K17" s="75">
        <f t="shared" si="5"/>
        <v>0</v>
      </c>
      <c r="L17" s="7">
        <f t="shared" si="6"/>
        <v>0</v>
      </c>
      <c r="M17" s="22">
        <f t="shared" si="7"/>
        <v>0</v>
      </c>
      <c r="O17" s="30"/>
      <c r="Q17" s="83"/>
      <c r="R17" s="84"/>
    </row>
    <row r="18" spans="1:18" ht="13.15" thickBot="1" x14ac:dyDescent="0.4">
      <c r="A18" s="23"/>
      <c r="B18" s="24"/>
      <c r="C18" s="41"/>
      <c r="D18" s="9"/>
      <c r="E18" s="9"/>
      <c r="F18" s="25"/>
      <c r="G18" s="24"/>
      <c r="H18" s="28"/>
      <c r="I18" s="76"/>
      <c r="J18" s="76">
        <f t="shared" si="4"/>
        <v>0</v>
      </c>
      <c r="K18" s="77">
        <f t="shared" si="5"/>
        <v>0</v>
      </c>
      <c r="L18" s="9">
        <f t="shared" si="6"/>
        <v>0</v>
      </c>
      <c r="M18" s="26">
        <f t="shared" si="7"/>
        <v>0</v>
      </c>
      <c r="N18" s="27"/>
      <c r="O18" s="31"/>
      <c r="P18" s="24"/>
      <c r="Q18" s="83"/>
      <c r="R18" s="84"/>
    </row>
    <row r="19" spans="1:18" ht="13.5" hidden="1" thickBot="1" x14ac:dyDescent="0.45">
      <c r="A19" s="6"/>
      <c r="B19" s="6"/>
      <c r="C19" s="42"/>
      <c r="D19" s="6"/>
      <c r="E19" s="6"/>
      <c r="F19" s="6"/>
      <c r="G19" s="6"/>
      <c r="H19" s="12"/>
      <c r="I19" s="78"/>
      <c r="J19" s="79">
        <f>SUM(J11:J18)</f>
        <v>0</v>
      </c>
      <c r="K19" s="80">
        <f>SUM(K11:K18)</f>
        <v>0</v>
      </c>
      <c r="L19" s="10">
        <f>SUM(L12:L18)</f>
        <v>0</v>
      </c>
      <c r="M19" s="10"/>
      <c r="N19" s="11">
        <f>MAX(N12:N18)</f>
        <v>0</v>
      </c>
      <c r="O19" s="32">
        <f>MAX(O12:O18)</f>
        <v>0</v>
      </c>
      <c r="P19" s="6"/>
      <c r="Q19" s="83"/>
      <c r="R19" s="84"/>
    </row>
    <row r="20" spans="1:18" ht="13.5" thickBot="1" x14ac:dyDescent="0.45">
      <c r="A20" s="87" t="s">
        <v>16</v>
      </c>
      <c r="B20" s="89"/>
      <c r="C20" s="90"/>
      <c r="D20" s="89"/>
      <c r="E20" s="89"/>
      <c r="F20" s="91"/>
      <c r="G20" s="89"/>
      <c r="H20" s="92"/>
      <c r="I20" s="81">
        <f>I11+I12+I13+I14+I15+I16+I17+I18</f>
        <v>0</v>
      </c>
      <c r="J20" s="81">
        <f>ROUNDDOWN(K19/60,0)+J19</f>
        <v>0</v>
      </c>
      <c r="K20" s="82">
        <f>ROUND(K19-(ROUNDDOWN(K19/60,0)*60),0)</f>
        <v>0</v>
      </c>
      <c r="L20" s="93"/>
      <c r="M20" s="93"/>
      <c r="N20" s="94">
        <f>N19-N10</f>
        <v>0</v>
      </c>
      <c r="O20" s="94">
        <f>IF(OR(O11="N/A",O11="N / A", O11="N/ A",O11="N /A"),"N / A",O19-O10)</f>
        <v>0</v>
      </c>
      <c r="P20" s="95">
        <f>$D$1-(K20/60+J20)</f>
        <v>0</v>
      </c>
      <c r="Q20" s="87">
        <f>ROUNDDOWN($D$1-(K20/60+J20),0)</f>
        <v>0</v>
      </c>
      <c r="R20" s="88">
        <f>(($D$1-(K20/60+J20)-ROUNDDOWN(($D$1-(K20/60+J20)),0))*60)</f>
        <v>0</v>
      </c>
    </row>
    <row r="21" spans="1:18" x14ac:dyDescent="0.35">
      <c r="A21" s="21"/>
      <c r="D21" s="7"/>
      <c r="E21" s="7"/>
      <c r="I21" s="74"/>
      <c r="J21" s="74">
        <f>ROUNDDOWN(M21*24,0)</f>
        <v>0</v>
      </c>
      <c r="K21" s="75">
        <f>(M21*24-J21)*60</f>
        <v>0</v>
      </c>
      <c r="L21" s="7">
        <f>E21-D21</f>
        <v>0</v>
      </c>
      <c r="M21" s="22">
        <f>L21</f>
        <v>0</v>
      </c>
      <c r="O21" s="30"/>
      <c r="Q21" s="83"/>
      <c r="R21" s="84"/>
    </row>
    <row r="22" spans="1:18" x14ac:dyDescent="0.35">
      <c r="A22" s="21"/>
      <c r="D22" s="7"/>
      <c r="E22" s="7"/>
      <c r="I22" s="74"/>
      <c r="J22" s="74">
        <f t="shared" ref="J22:J27" si="8">ROUNDDOWN(M22*24,0)</f>
        <v>0</v>
      </c>
      <c r="K22" s="75">
        <f t="shared" ref="K22:K27" si="9">(M22*24-J22)*60</f>
        <v>0</v>
      </c>
      <c r="L22" s="7">
        <f t="shared" ref="L22:L27" si="10">E22-D22</f>
        <v>0</v>
      </c>
      <c r="M22" s="22">
        <f t="shared" ref="M22:M27" si="11">L22</f>
        <v>0</v>
      </c>
      <c r="O22" s="30"/>
      <c r="Q22" s="83"/>
      <c r="R22" s="84"/>
    </row>
    <row r="23" spans="1:18" x14ac:dyDescent="0.35">
      <c r="A23" s="21"/>
      <c r="D23" s="7"/>
      <c r="E23" s="7"/>
      <c r="I23" s="74"/>
      <c r="J23" s="74">
        <f t="shared" si="8"/>
        <v>0</v>
      </c>
      <c r="K23" s="75">
        <f t="shared" si="9"/>
        <v>0</v>
      </c>
      <c r="L23" s="7">
        <f t="shared" si="10"/>
        <v>0</v>
      </c>
      <c r="M23" s="22">
        <f t="shared" si="11"/>
        <v>0</v>
      </c>
      <c r="O23" s="30"/>
      <c r="Q23" s="83"/>
      <c r="R23" s="84"/>
    </row>
    <row r="24" spans="1:18" x14ac:dyDescent="0.35">
      <c r="A24" s="21"/>
      <c r="D24" s="7"/>
      <c r="E24" s="7"/>
      <c r="I24" s="74"/>
      <c r="J24" s="74">
        <f t="shared" si="8"/>
        <v>0</v>
      </c>
      <c r="K24" s="75">
        <f t="shared" si="9"/>
        <v>0</v>
      </c>
      <c r="L24" s="7">
        <f t="shared" si="10"/>
        <v>0</v>
      </c>
      <c r="M24" s="22">
        <f t="shared" si="11"/>
        <v>0</v>
      </c>
      <c r="O24" s="30"/>
      <c r="Q24" s="83"/>
      <c r="R24" s="84"/>
    </row>
    <row r="25" spans="1:18" x14ac:dyDescent="0.35">
      <c r="A25" s="21"/>
      <c r="D25" s="7"/>
      <c r="E25" s="7"/>
      <c r="I25" s="74"/>
      <c r="J25" s="74">
        <f t="shared" si="8"/>
        <v>0</v>
      </c>
      <c r="K25" s="75">
        <f t="shared" si="9"/>
        <v>0</v>
      </c>
      <c r="L25" s="7">
        <f t="shared" si="10"/>
        <v>0</v>
      </c>
      <c r="M25" s="22">
        <f t="shared" si="11"/>
        <v>0</v>
      </c>
      <c r="O25" s="30"/>
      <c r="Q25" s="83"/>
      <c r="R25" s="84"/>
    </row>
    <row r="26" spans="1:18" x14ac:dyDescent="0.35">
      <c r="A26" s="21"/>
      <c r="D26" s="7"/>
      <c r="E26" s="7"/>
      <c r="I26" s="74"/>
      <c r="J26" s="74">
        <f t="shared" si="8"/>
        <v>0</v>
      </c>
      <c r="K26" s="75">
        <f t="shared" si="9"/>
        <v>0</v>
      </c>
      <c r="L26" s="7">
        <f t="shared" si="10"/>
        <v>0</v>
      </c>
      <c r="M26" s="22">
        <f t="shared" si="11"/>
        <v>0</v>
      </c>
      <c r="O26" s="30"/>
      <c r="Q26" s="83"/>
      <c r="R26" s="84"/>
    </row>
    <row r="27" spans="1:18" x14ac:dyDescent="0.35">
      <c r="A27" s="23"/>
      <c r="B27" s="24"/>
      <c r="C27" s="41"/>
      <c r="D27" s="9"/>
      <c r="E27" s="9"/>
      <c r="F27" s="25"/>
      <c r="G27" s="24"/>
      <c r="H27" s="28"/>
      <c r="I27" s="76"/>
      <c r="J27" s="76">
        <f t="shared" si="8"/>
        <v>0</v>
      </c>
      <c r="K27" s="77">
        <f t="shared" si="9"/>
        <v>0</v>
      </c>
      <c r="L27" s="9">
        <f t="shared" si="10"/>
        <v>0</v>
      </c>
      <c r="M27" s="26">
        <f t="shared" si="11"/>
        <v>0</v>
      </c>
      <c r="N27" s="27"/>
      <c r="O27" s="31"/>
      <c r="P27" s="24"/>
      <c r="Q27" s="83"/>
      <c r="R27" s="84"/>
    </row>
    <row r="28" spans="1:18" ht="13.5" thickBot="1" x14ac:dyDescent="0.45">
      <c r="A28" s="6"/>
      <c r="B28" s="6"/>
      <c r="C28" s="42"/>
      <c r="D28" s="6"/>
      <c r="E28" s="6"/>
      <c r="F28" s="6"/>
      <c r="G28" s="6"/>
      <c r="H28" s="12"/>
      <c r="I28" s="78"/>
      <c r="J28" s="79">
        <f>SUM(J20:J27)</f>
        <v>0</v>
      </c>
      <c r="K28" s="80">
        <f>SUM(K20:K27)</f>
        <v>0</v>
      </c>
      <c r="L28" s="10">
        <f>SUM(L21:L27)</f>
        <v>0</v>
      </c>
      <c r="M28" s="10"/>
      <c r="N28" s="13">
        <f>MAX(N21:N27)</f>
        <v>0</v>
      </c>
      <c r="O28" s="13">
        <f>MAX(O21:O27)</f>
        <v>0</v>
      </c>
      <c r="P28" s="6"/>
      <c r="Q28" s="83"/>
      <c r="R28" s="84"/>
    </row>
    <row r="29" spans="1:18" ht="13.5" thickBot="1" x14ac:dyDescent="0.45">
      <c r="A29" s="87" t="s">
        <v>16</v>
      </c>
      <c r="B29" s="89"/>
      <c r="C29" s="90"/>
      <c r="D29" s="89"/>
      <c r="E29" s="89"/>
      <c r="F29" s="91"/>
      <c r="G29" s="89"/>
      <c r="H29" s="92"/>
      <c r="I29" s="81">
        <f>I20+I21+I22+I23+I24+I25+I26+I27</f>
        <v>0</v>
      </c>
      <c r="J29" s="81">
        <f>ROUNDDOWN(K28/60,0)+J28</f>
        <v>0</v>
      </c>
      <c r="K29" s="82">
        <f>ROUND(K28-(ROUNDDOWN(K28/60,0)*60),0)</f>
        <v>0</v>
      </c>
      <c r="L29" s="93"/>
      <c r="M29" s="93"/>
      <c r="N29" s="94">
        <f>N28-N19</f>
        <v>0</v>
      </c>
      <c r="O29" s="94">
        <f>IF(OR(O20="N/A",O20="N / A", O20="N/ A",O20="N /A"),"N / A", O28-O19)</f>
        <v>0</v>
      </c>
      <c r="P29" s="95">
        <f>$D$1-(K20/60+J20)</f>
        <v>0</v>
      </c>
      <c r="Q29" s="87">
        <f>ROUNDDOWN($D$1-(K29/60+J29),0)</f>
        <v>0</v>
      </c>
      <c r="R29" s="88">
        <f>(($D$1-(K29/60+J29)-ROUNDDOWN(($D$1-(K29/60+J29)),0))*60)</f>
        <v>0</v>
      </c>
    </row>
    <row r="30" spans="1:18" ht="13.15" x14ac:dyDescent="0.4">
      <c r="I30" s="186" t="s">
        <v>130</v>
      </c>
      <c r="J30" s="185">
        <f>SUM(L3:L28)</f>
        <v>0</v>
      </c>
    </row>
  </sheetData>
  <mergeCells count="3">
    <mergeCell ref="J1:K1"/>
    <mergeCell ref="Q1:R1"/>
    <mergeCell ref="Q2:R2"/>
  </mergeCells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Z3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V3" sqref="V3"/>
    </sheetView>
  </sheetViews>
  <sheetFormatPr baseColWidth="10" defaultRowHeight="13.15" x14ac:dyDescent="0.4"/>
  <cols>
    <col min="1" max="1" width="7.59765625" style="68" bestFit="1" customWidth="1"/>
    <col min="2" max="2" width="19.265625" style="59" customWidth="1"/>
    <col min="3" max="3" width="15" style="59" customWidth="1"/>
    <col min="4" max="4" width="12.1328125" style="60" bestFit="1" customWidth="1"/>
    <col min="5" max="5" width="8.1328125" style="62" customWidth="1"/>
    <col min="6" max="6" width="8.1328125" style="59" bestFit="1" customWidth="1"/>
    <col min="7" max="7" width="8.1328125" style="63" bestFit="1" customWidth="1"/>
    <col min="8" max="8" width="8.1328125" style="62" bestFit="1" customWidth="1"/>
    <col min="9" max="9" width="8.1328125" style="59" bestFit="1" customWidth="1"/>
    <col min="10" max="10" width="8.1328125" style="63" customWidth="1"/>
    <col min="11" max="11" width="8.1328125" style="62" bestFit="1" customWidth="1"/>
    <col min="12" max="12" width="8.1328125" style="59" bestFit="1" customWidth="1"/>
    <col min="13" max="13" width="8.1328125" style="63" bestFit="1" customWidth="1"/>
    <col min="14" max="14" width="8.1328125" style="62" customWidth="1"/>
    <col min="15" max="15" width="8.1328125" style="59" customWidth="1"/>
    <col min="16" max="16" width="8.1328125" style="63" customWidth="1"/>
    <col min="17" max="17" width="10" style="61" bestFit="1" customWidth="1"/>
    <col min="18" max="18" width="10" style="50" customWidth="1"/>
    <col min="19" max="21" width="10" style="64" customWidth="1"/>
    <col min="22" max="23" width="11.3984375" style="59" customWidth="1"/>
    <col min="24" max="24" width="11.3984375" style="63" customWidth="1"/>
    <col min="25" max="25" width="15.59765625" style="146" bestFit="1" customWidth="1"/>
    <col min="26" max="26" width="11.3984375" style="143"/>
    <col min="27" max="254" width="11.3984375" style="59"/>
    <col min="255" max="255" width="7.59765625" style="59" bestFit="1" customWidth="1"/>
    <col min="256" max="256" width="17.1328125" style="59" customWidth="1"/>
    <col min="257" max="257" width="13.86328125" style="59" customWidth="1"/>
    <col min="258" max="258" width="12.1328125" style="59" bestFit="1" customWidth="1"/>
    <col min="259" max="270" width="5.59765625" style="59" bestFit="1" customWidth="1"/>
    <col min="271" max="271" width="10" style="59" bestFit="1" customWidth="1"/>
    <col min="272" max="275" width="10" style="59" customWidth="1"/>
    <col min="276" max="510" width="11.3984375" style="59"/>
    <col min="511" max="511" width="7.59765625" style="59" bestFit="1" customWidth="1"/>
    <col min="512" max="512" width="17.1328125" style="59" customWidth="1"/>
    <col min="513" max="513" width="13.86328125" style="59" customWidth="1"/>
    <col min="514" max="514" width="12.1328125" style="59" bestFit="1" customWidth="1"/>
    <col min="515" max="526" width="5.59765625" style="59" bestFit="1" customWidth="1"/>
    <col min="527" max="527" width="10" style="59" bestFit="1" customWidth="1"/>
    <col min="528" max="531" width="10" style="59" customWidth="1"/>
    <col min="532" max="766" width="11.3984375" style="59"/>
    <col min="767" max="767" width="7.59765625" style="59" bestFit="1" customWidth="1"/>
    <col min="768" max="768" width="17.1328125" style="59" customWidth="1"/>
    <col min="769" max="769" width="13.86328125" style="59" customWidth="1"/>
    <col min="770" max="770" width="12.1328125" style="59" bestFit="1" customWidth="1"/>
    <col min="771" max="782" width="5.59765625" style="59" bestFit="1" customWidth="1"/>
    <col min="783" max="783" width="10" style="59" bestFit="1" customWidth="1"/>
    <col min="784" max="787" width="10" style="59" customWidth="1"/>
    <col min="788" max="1022" width="11.3984375" style="59"/>
    <col min="1023" max="1023" width="7.59765625" style="59" bestFit="1" customWidth="1"/>
    <col min="1024" max="1024" width="17.1328125" style="59" customWidth="1"/>
    <col min="1025" max="1025" width="13.86328125" style="59" customWidth="1"/>
    <col min="1026" max="1026" width="12.1328125" style="59" bestFit="1" customWidth="1"/>
    <col min="1027" max="1038" width="5.59765625" style="59" bestFit="1" customWidth="1"/>
    <col min="1039" max="1039" width="10" style="59" bestFit="1" customWidth="1"/>
    <col min="1040" max="1043" width="10" style="59" customWidth="1"/>
    <col min="1044" max="1278" width="11.3984375" style="59"/>
    <col min="1279" max="1279" width="7.59765625" style="59" bestFit="1" customWidth="1"/>
    <col min="1280" max="1280" width="17.1328125" style="59" customWidth="1"/>
    <col min="1281" max="1281" width="13.86328125" style="59" customWidth="1"/>
    <col min="1282" max="1282" width="12.1328125" style="59" bestFit="1" customWidth="1"/>
    <col min="1283" max="1294" width="5.59765625" style="59" bestFit="1" customWidth="1"/>
    <col min="1295" max="1295" width="10" style="59" bestFit="1" customWidth="1"/>
    <col min="1296" max="1299" width="10" style="59" customWidth="1"/>
    <col min="1300" max="1534" width="11.3984375" style="59"/>
    <col min="1535" max="1535" width="7.59765625" style="59" bestFit="1" customWidth="1"/>
    <col min="1536" max="1536" width="17.1328125" style="59" customWidth="1"/>
    <col min="1537" max="1537" width="13.86328125" style="59" customWidth="1"/>
    <col min="1538" max="1538" width="12.1328125" style="59" bestFit="1" customWidth="1"/>
    <col min="1539" max="1550" width="5.59765625" style="59" bestFit="1" customWidth="1"/>
    <col min="1551" max="1551" width="10" style="59" bestFit="1" customWidth="1"/>
    <col min="1552" max="1555" width="10" style="59" customWidth="1"/>
    <col min="1556" max="1790" width="11.3984375" style="59"/>
    <col min="1791" max="1791" width="7.59765625" style="59" bestFit="1" customWidth="1"/>
    <col min="1792" max="1792" width="17.1328125" style="59" customWidth="1"/>
    <col min="1793" max="1793" width="13.86328125" style="59" customWidth="1"/>
    <col min="1794" max="1794" width="12.1328125" style="59" bestFit="1" customWidth="1"/>
    <col min="1795" max="1806" width="5.59765625" style="59" bestFit="1" customWidth="1"/>
    <col min="1807" max="1807" width="10" style="59" bestFit="1" customWidth="1"/>
    <col min="1808" max="1811" width="10" style="59" customWidth="1"/>
    <col min="1812" max="2046" width="11.3984375" style="59"/>
    <col min="2047" max="2047" width="7.59765625" style="59" bestFit="1" customWidth="1"/>
    <col min="2048" max="2048" width="17.1328125" style="59" customWidth="1"/>
    <col min="2049" max="2049" width="13.86328125" style="59" customWidth="1"/>
    <col min="2050" max="2050" width="12.1328125" style="59" bestFit="1" customWidth="1"/>
    <col min="2051" max="2062" width="5.59765625" style="59" bestFit="1" customWidth="1"/>
    <col min="2063" max="2063" width="10" style="59" bestFit="1" customWidth="1"/>
    <col min="2064" max="2067" width="10" style="59" customWidth="1"/>
    <col min="2068" max="2302" width="11.3984375" style="59"/>
    <col min="2303" max="2303" width="7.59765625" style="59" bestFit="1" customWidth="1"/>
    <col min="2304" max="2304" width="17.1328125" style="59" customWidth="1"/>
    <col min="2305" max="2305" width="13.86328125" style="59" customWidth="1"/>
    <col min="2306" max="2306" width="12.1328125" style="59" bestFit="1" customWidth="1"/>
    <col min="2307" max="2318" width="5.59765625" style="59" bestFit="1" customWidth="1"/>
    <col min="2319" max="2319" width="10" style="59" bestFit="1" customWidth="1"/>
    <col min="2320" max="2323" width="10" style="59" customWidth="1"/>
    <col min="2324" max="2558" width="11.3984375" style="59"/>
    <col min="2559" max="2559" width="7.59765625" style="59" bestFit="1" customWidth="1"/>
    <col min="2560" max="2560" width="17.1328125" style="59" customWidth="1"/>
    <col min="2561" max="2561" width="13.86328125" style="59" customWidth="1"/>
    <col min="2562" max="2562" width="12.1328125" style="59" bestFit="1" customWidth="1"/>
    <col min="2563" max="2574" width="5.59765625" style="59" bestFit="1" customWidth="1"/>
    <col min="2575" max="2575" width="10" style="59" bestFit="1" customWidth="1"/>
    <col min="2576" max="2579" width="10" style="59" customWidth="1"/>
    <col min="2580" max="2814" width="11.3984375" style="59"/>
    <col min="2815" max="2815" width="7.59765625" style="59" bestFit="1" customWidth="1"/>
    <col min="2816" max="2816" width="17.1328125" style="59" customWidth="1"/>
    <col min="2817" max="2817" width="13.86328125" style="59" customWidth="1"/>
    <col min="2818" max="2818" width="12.1328125" style="59" bestFit="1" customWidth="1"/>
    <col min="2819" max="2830" width="5.59765625" style="59" bestFit="1" customWidth="1"/>
    <col min="2831" max="2831" width="10" style="59" bestFit="1" customWidth="1"/>
    <col min="2832" max="2835" width="10" style="59" customWidth="1"/>
    <col min="2836" max="3070" width="11.3984375" style="59"/>
    <col min="3071" max="3071" width="7.59765625" style="59" bestFit="1" customWidth="1"/>
    <col min="3072" max="3072" width="17.1328125" style="59" customWidth="1"/>
    <col min="3073" max="3073" width="13.86328125" style="59" customWidth="1"/>
    <col min="3074" max="3074" width="12.1328125" style="59" bestFit="1" customWidth="1"/>
    <col min="3075" max="3086" width="5.59765625" style="59" bestFit="1" customWidth="1"/>
    <col min="3087" max="3087" width="10" style="59" bestFit="1" customWidth="1"/>
    <col min="3088" max="3091" width="10" style="59" customWidth="1"/>
    <col min="3092" max="3326" width="11.3984375" style="59"/>
    <col min="3327" max="3327" width="7.59765625" style="59" bestFit="1" customWidth="1"/>
    <col min="3328" max="3328" width="17.1328125" style="59" customWidth="1"/>
    <col min="3329" max="3329" width="13.86328125" style="59" customWidth="1"/>
    <col min="3330" max="3330" width="12.1328125" style="59" bestFit="1" customWidth="1"/>
    <col min="3331" max="3342" width="5.59765625" style="59" bestFit="1" customWidth="1"/>
    <col min="3343" max="3343" width="10" style="59" bestFit="1" customWidth="1"/>
    <col min="3344" max="3347" width="10" style="59" customWidth="1"/>
    <col min="3348" max="3582" width="11.3984375" style="59"/>
    <col min="3583" max="3583" width="7.59765625" style="59" bestFit="1" customWidth="1"/>
    <col min="3584" max="3584" width="17.1328125" style="59" customWidth="1"/>
    <col min="3585" max="3585" width="13.86328125" style="59" customWidth="1"/>
    <col min="3586" max="3586" width="12.1328125" style="59" bestFit="1" customWidth="1"/>
    <col min="3587" max="3598" width="5.59765625" style="59" bestFit="1" customWidth="1"/>
    <col min="3599" max="3599" width="10" style="59" bestFit="1" customWidth="1"/>
    <col min="3600" max="3603" width="10" style="59" customWidth="1"/>
    <col min="3604" max="3838" width="11.3984375" style="59"/>
    <col min="3839" max="3839" width="7.59765625" style="59" bestFit="1" customWidth="1"/>
    <col min="3840" max="3840" width="17.1328125" style="59" customWidth="1"/>
    <col min="3841" max="3841" width="13.86328125" style="59" customWidth="1"/>
    <col min="3842" max="3842" width="12.1328125" style="59" bestFit="1" customWidth="1"/>
    <col min="3843" max="3854" width="5.59765625" style="59" bestFit="1" customWidth="1"/>
    <col min="3855" max="3855" width="10" style="59" bestFit="1" customWidth="1"/>
    <col min="3856" max="3859" width="10" style="59" customWidth="1"/>
    <col min="3860" max="4094" width="11.3984375" style="59"/>
    <col min="4095" max="4095" width="7.59765625" style="59" bestFit="1" customWidth="1"/>
    <col min="4096" max="4096" width="17.1328125" style="59" customWidth="1"/>
    <col min="4097" max="4097" width="13.86328125" style="59" customWidth="1"/>
    <col min="4098" max="4098" width="12.1328125" style="59" bestFit="1" customWidth="1"/>
    <col min="4099" max="4110" width="5.59765625" style="59" bestFit="1" customWidth="1"/>
    <col min="4111" max="4111" width="10" style="59" bestFit="1" customWidth="1"/>
    <col min="4112" max="4115" width="10" style="59" customWidth="1"/>
    <col min="4116" max="4350" width="11.3984375" style="59"/>
    <col min="4351" max="4351" width="7.59765625" style="59" bestFit="1" customWidth="1"/>
    <col min="4352" max="4352" width="17.1328125" style="59" customWidth="1"/>
    <col min="4353" max="4353" width="13.86328125" style="59" customWidth="1"/>
    <col min="4354" max="4354" width="12.1328125" style="59" bestFit="1" customWidth="1"/>
    <col min="4355" max="4366" width="5.59765625" style="59" bestFit="1" customWidth="1"/>
    <col min="4367" max="4367" width="10" style="59" bestFit="1" customWidth="1"/>
    <col min="4368" max="4371" width="10" style="59" customWidth="1"/>
    <col min="4372" max="4606" width="11.3984375" style="59"/>
    <col min="4607" max="4607" width="7.59765625" style="59" bestFit="1" customWidth="1"/>
    <col min="4608" max="4608" width="17.1328125" style="59" customWidth="1"/>
    <col min="4609" max="4609" width="13.86328125" style="59" customWidth="1"/>
    <col min="4610" max="4610" width="12.1328125" style="59" bestFit="1" customWidth="1"/>
    <col min="4611" max="4622" width="5.59765625" style="59" bestFit="1" customWidth="1"/>
    <col min="4623" max="4623" width="10" style="59" bestFit="1" customWidth="1"/>
    <col min="4624" max="4627" width="10" style="59" customWidth="1"/>
    <col min="4628" max="4862" width="11.3984375" style="59"/>
    <col min="4863" max="4863" width="7.59765625" style="59" bestFit="1" customWidth="1"/>
    <col min="4864" max="4864" width="17.1328125" style="59" customWidth="1"/>
    <col min="4865" max="4865" width="13.86328125" style="59" customWidth="1"/>
    <col min="4866" max="4866" width="12.1328125" style="59" bestFit="1" customWidth="1"/>
    <col min="4867" max="4878" width="5.59765625" style="59" bestFit="1" customWidth="1"/>
    <col min="4879" max="4879" width="10" style="59" bestFit="1" customWidth="1"/>
    <col min="4880" max="4883" width="10" style="59" customWidth="1"/>
    <col min="4884" max="5118" width="11.3984375" style="59"/>
    <col min="5119" max="5119" width="7.59765625" style="59" bestFit="1" customWidth="1"/>
    <col min="5120" max="5120" width="17.1328125" style="59" customWidth="1"/>
    <col min="5121" max="5121" width="13.86328125" style="59" customWidth="1"/>
    <col min="5122" max="5122" width="12.1328125" style="59" bestFit="1" customWidth="1"/>
    <col min="5123" max="5134" width="5.59765625" style="59" bestFit="1" customWidth="1"/>
    <col min="5135" max="5135" width="10" style="59" bestFit="1" customWidth="1"/>
    <col min="5136" max="5139" width="10" style="59" customWidth="1"/>
    <col min="5140" max="5374" width="11.3984375" style="59"/>
    <col min="5375" max="5375" width="7.59765625" style="59" bestFit="1" customWidth="1"/>
    <col min="5376" max="5376" width="17.1328125" style="59" customWidth="1"/>
    <col min="5377" max="5377" width="13.86328125" style="59" customWidth="1"/>
    <col min="5378" max="5378" width="12.1328125" style="59" bestFit="1" customWidth="1"/>
    <col min="5379" max="5390" width="5.59765625" style="59" bestFit="1" customWidth="1"/>
    <col min="5391" max="5391" width="10" style="59" bestFit="1" customWidth="1"/>
    <col min="5392" max="5395" width="10" style="59" customWidth="1"/>
    <col min="5396" max="5630" width="11.3984375" style="59"/>
    <col min="5631" max="5631" width="7.59765625" style="59" bestFit="1" customWidth="1"/>
    <col min="5632" max="5632" width="17.1328125" style="59" customWidth="1"/>
    <col min="5633" max="5633" width="13.86328125" style="59" customWidth="1"/>
    <col min="5634" max="5634" width="12.1328125" style="59" bestFit="1" customWidth="1"/>
    <col min="5635" max="5646" width="5.59765625" style="59" bestFit="1" customWidth="1"/>
    <col min="5647" max="5647" width="10" style="59" bestFit="1" customWidth="1"/>
    <col min="5648" max="5651" width="10" style="59" customWidth="1"/>
    <col min="5652" max="5886" width="11.3984375" style="59"/>
    <col min="5887" max="5887" width="7.59765625" style="59" bestFit="1" customWidth="1"/>
    <col min="5888" max="5888" width="17.1328125" style="59" customWidth="1"/>
    <col min="5889" max="5889" width="13.86328125" style="59" customWidth="1"/>
    <col min="5890" max="5890" width="12.1328125" style="59" bestFit="1" customWidth="1"/>
    <col min="5891" max="5902" width="5.59765625" style="59" bestFit="1" customWidth="1"/>
    <col min="5903" max="5903" width="10" style="59" bestFit="1" customWidth="1"/>
    <col min="5904" max="5907" width="10" style="59" customWidth="1"/>
    <col min="5908" max="6142" width="11.3984375" style="59"/>
    <col min="6143" max="6143" width="7.59765625" style="59" bestFit="1" customWidth="1"/>
    <col min="6144" max="6144" width="17.1328125" style="59" customWidth="1"/>
    <col min="6145" max="6145" width="13.86328125" style="59" customWidth="1"/>
    <col min="6146" max="6146" width="12.1328125" style="59" bestFit="1" customWidth="1"/>
    <col min="6147" max="6158" width="5.59765625" style="59" bestFit="1" customWidth="1"/>
    <col min="6159" max="6159" width="10" style="59" bestFit="1" customWidth="1"/>
    <col min="6160" max="6163" width="10" style="59" customWidth="1"/>
    <col min="6164" max="6398" width="11.3984375" style="59"/>
    <col min="6399" max="6399" width="7.59765625" style="59" bestFit="1" customWidth="1"/>
    <col min="6400" max="6400" width="17.1328125" style="59" customWidth="1"/>
    <col min="6401" max="6401" width="13.86328125" style="59" customWidth="1"/>
    <col min="6402" max="6402" width="12.1328125" style="59" bestFit="1" customWidth="1"/>
    <col min="6403" max="6414" width="5.59765625" style="59" bestFit="1" customWidth="1"/>
    <col min="6415" max="6415" width="10" style="59" bestFit="1" customWidth="1"/>
    <col min="6416" max="6419" width="10" style="59" customWidth="1"/>
    <col min="6420" max="6654" width="11.3984375" style="59"/>
    <col min="6655" max="6655" width="7.59765625" style="59" bestFit="1" customWidth="1"/>
    <col min="6656" max="6656" width="17.1328125" style="59" customWidth="1"/>
    <col min="6657" max="6657" width="13.86328125" style="59" customWidth="1"/>
    <col min="6658" max="6658" width="12.1328125" style="59" bestFit="1" customWidth="1"/>
    <col min="6659" max="6670" width="5.59765625" style="59" bestFit="1" customWidth="1"/>
    <col min="6671" max="6671" width="10" style="59" bestFit="1" customWidth="1"/>
    <col min="6672" max="6675" width="10" style="59" customWidth="1"/>
    <col min="6676" max="6910" width="11.3984375" style="59"/>
    <col min="6911" max="6911" width="7.59765625" style="59" bestFit="1" customWidth="1"/>
    <col min="6912" max="6912" width="17.1328125" style="59" customWidth="1"/>
    <col min="6913" max="6913" width="13.86328125" style="59" customWidth="1"/>
    <col min="6914" max="6914" width="12.1328125" style="59" bestFit="1" customWidth="1"/>
    <col min="6915" max="6926" width="5.59765625" style="59" bestFit="1" customWidth="1"/>
    <col min="6927" max="6927" width="10" style="59" bestFit="1" customWidth="1"/>
    <col min="6928" max="6931" width="10" style="59" customWidth="1"/>
    <col min="6932" max="7166" width="11.3984375" style="59"/>
    <col min="7167" max="7167" width="7.59765625" style="59" bestFit="1" customWidth="1"/>
    <col min="7168" max="7168" width="17.1328125" style="59" customWidth="1"/>
    <col min="7169" max="7169" width="13.86328125" style="59" customWidth="1"/>
    <col min="7170" max="7170" width="12.1328125" style="59" bestFit="1" customWidth="1"/>
    <col min="7171" max="7182" width="5.59765625" style="59" bestFit="1" customWidth="1"/>
    <col min="7183" max="7183" width="10" style="59" bestFit="1" customWidth="1"/>
    <col min="7184" max="7187" width="10" style="59" customWidth="1"/>
    <col min="7188" max="7422" width="11.3984375" style="59"/>
    <col min="7423" max="7423" width="7.59765625" style="59" bestFit="1" customWidth="1"/>
    <col min="7424" max="7424" width="17.1328125" style="59" customWidth="1"/>
    <col min="7425" max="7425" width="13.86328125" style="59" customWidth="1"/>
    <col min="7426" max="7426" width="12.1328125" style="59" bestFit="1" customWidth="1"/>
    <col min="7427" max="7438" width="5.59765625" style="59" bestFit="1" customWidth="1"/>
    <col min="7439" max="7439" width="10" style="59" bestFit="1" customWidth="1"/>
    <col min="7440" max="7443" width="10" style="59" customWidth="1"/>
    <col min="7444" max="7678" width="11.3984375" style="59"/>
    <col min="7679" max="7679" width="7.59765625" style="59" bestFit="1" customWidth="1"/>
    <col min="7680" max="7680" width="17.1328125" style="59" customWidth="1"/>
    <col min="7681" max="7681" width="13.86328125" style="59" customWidth="1"/>
    <col min="7682" max="7682" width="12.1328125" style="59" bestFit="1" customWidth="1"/>
    <col min="7683" max="7694" width="5.59765625" style="59" bestFit="1" customWidth="1"/>
    <col min="7695" max="7695" width="10" style="59" bestFit="1" customWidth="1"/>
    <col min="7696" max="7699" width="10" style="59" customWidth="1"/>
    <col min="7700" max="7934" width="11.3984375" style="59"/>
    <col min="7935" max="7935" width="7.59765625" style="59" bestFit="1" customWidth="1"/>
    <col min="7936" max="7936" width="17.1328125" style="59" customWidth="1"/>
    <col min="7937" max="7937" width="13.86328125" style="59" customWidth="1"/>
    <col min="7938" max="7938" width="12.1328125" style="59" bestFit="1" customWidth="1"/>
    <col min="7939" max="7950" width="5.59765625" style="59" bestFit="1" customWidth="1"/>
    <col min="7951" max="7951" width="10" style="59" bestFit="1" customWidth="1"/>
    <col min="7952" max="7955" width="10" style="59" customWidth="1"/>
    <col min="7956" max="8190" width="11.3984375" style="59"/>
    <col min="8191" max="8191" width="7.59765625" style="59" bestFit="1" customWidth="1"/>
    <col min="8192" max="8192" width="17.1328125" style="59" customWidth="1"/>
    <col min="8193" max="8193" width="13.86328125" style="59" customWidth="1"/>
    <col min="8194" max="8194" width="12.1328125" style="59" bestFit="1" customWidth="1"/>
    <col min="8195" max="8206" width="5.59765625" style="59" bestFit="1" customWidth="1"/>
    <col min="8207" max="8207" width="10" style="59" bestFit="1" customWidth="1"/>
    <col min="8208" max="8211" width="10" style="59" customWidth="1"/>
    <col min="8212" max="8446" width="11.3984375" style="59"/>
    <col min="8447" max="8447" width="7.59765625" style="59" bestFit="1" customWidth="1"/>
    <col min="8448" max="8448" width="17.1328125" style="59" customWidth="1"/>
    <col min="8449" max="8449" width="13.86328125" style="59" customWidth="1"/>
    <col min="8450" max="8450" width="12.1328125" style="59" bestFit="1" customWidth="1"/>
    <col min="8451" max="8462" width="5.59765625" style="59" bestFit="1" customWidth="1"/>
    <col min="8463" max="8463" width="10" style="59" bestFit="1" customWidth="1"/>
    <col min="8464" max="8467" width="10" style="59" customWidth="1"/>
    <col min="8468" max="8702" width="11.3984375" style="59"/>
    <col min="8703" max="8703" width="7.59765625" style="59" bestFit="1" customWidth="1"/>
    <col min="8704" max="8704" width="17.1328125" style="59" customWidth="1"/>
    <col min="8705" max="8705" width="13.86328125" style="59" customWidth="1"/>
    <col min="8706" max="8706" width="12.1328125" style="59" bestFit="1" customWidth="1"/>
    <col min="8707" max="8718" width="5.59765625" style="59" bestFit="1" customWidth="1"/>
    <col min="8719" max="8719" width="10" style="59" bestFit="1" customWidth="1"/>
    <col min="8720" max="8723" width="10" style="59" customWidth="1"/>
    <col min="8724" max="8958" width="11.3984375" style="59"/>
    <col min="8959" max="8959" width="7.59765625" style="59" bestFit="1" customWidth="1"/>
    <col min="8960" max="8960" width="17.1328125" style="59" customWidth="1"/>
    <col min="8961" max="8961" width="13.86328125" style="59" customWidth="1"/>
    <col min="8962" max="8962" width="12.1328125" style="59" bestFit="1" customWidth="1"/>
    <col min="8963" max="8974" width="5.59765625" style="59" bestFit="1" customWidth="1"/>
    <col min="8975" max="8975" width="10" style="59" bestFit="1" customWidth="1"/>
    <col min="8976" max="8979" width="10" style="59" customWidth="1"/>
    <col min="8980" max="9214" width="11.3984375" style="59"/>
    <col min="9215" max="9215" width="7.59765625" style="59" bestFit="1" customWidth="1"/>
    <col min="9216" max="9216" width="17.1328125" style="59" customWidth="1"/>
    <col min="9217" max="9217" width="13.86328125" style="59" customWidth="1"/>
    <col min="9218" max="9218" width="12.1328125" style="59" bestFit="1" customWidth="1"/>
    <col min="9219" max="9230" width="5.59765625" style="59" bestFit="1" customWidth="1"/>
    <col min="9231" max="9231" width="10" style="59" bestFit="1" customWidth="1"/>
    <col min="9232" max="9235" width="10" style="59" customWidth="1"/>
    <col min="9236" max="9470" width="11.3984375" style="59"/>
    <col min="9471" max="9471" width="7.59765625" style="59" bestFit="1" customWidth="1"/>
    <col min="9472" max="9472" width="17.1328125" style="59" customWidth="1"/>
    <col min="9473" max="9473" width="13.86328125" style="59" customWidth="1"/>
    <col min="9474" max="9474" width="12.1328125" style="59" bestFit="1" customWidth="1"/>
    <col min="9475" max="9486" width="5.59765625" style="59" bestFit="1" customWidth="1"/>
    <col min="9487" max="9487" width="10" style="59" bestFit="1" customWidth="1"/>
    <col min="9488" max="9491" width="10" style="59" customWidth="1"/>
    <col min="9492" max="9726" width="11.3984375" style="59"/>
    <col min="9727" max="9727" width="7.59765625" style="59" bestFit="1" customWidth="1"/>
    <col min="9728" max="9728" width="17.1328125" style="59" customWidth="1"/>
    <col min="9729" max="9729" width="13.86328125" style="59" customWidth="1"/>
    <col min="9730" max="9730" width="12.1328125" style="59" bestFit="1" customWidth="1"/>
    <col min="9731" max="9742" width="5.59765625" style="59" bestFit="1" customWidth="1"/>
    <col min="9743" max="9743" width="10" style="59" bestFit="1" customWidth="1"/>
    <col min="9744" max="9747" width="10" style="59" customWidth="1"/>
    <col min="9748" max="9982" width="11.3984375" style="59"/>
    <col min="9983" max="9983" width="7.59765625" style="59" bestFit="1" customWidth="1"/>
    <col min="9984" max="9984" width="17.1328125" style="59" customWidth="1"/>
    <col min="9985" max="9985" width="13.86328125" style="59" customWidth="1"/>
    <col min="9986" max="9986" width="12.1328125" style="59" bestFit="1" customWidth="1"/>
    <col min="9987" max="9998" width="5.59765625" style="59" bestFit="1" customWidth="1"/>
    <col min="9999" max="9999" width="10" style="59" bestFit="1" customWidth="1"/>
    <col min="10000" max="10003" width="10" style="59" customWidth="1"/>
    <col min="10004" max="10238" width="11.3984375" style="59"/>
    <col min="10239" max="10239" width="7.59765625" style="59" bestFit="1" customWidth="1"/>
    <col min="10240" max="10240" width="17.1328125" style="59" customWidth="1"/>
    <col min="10241" max="10241" width="13.86328125" style="59" customWidth="1"/>
    <col min="10242" max="10242" width="12.1328125" style="59" bestFit="1" customWidth="1"/>
    <col min="10243" max="10254" width="5.59765625" style="59" bestFit="1" customWidth="1"/>
    <col min="10255" max="10255" width="10" style="59" bestFit="1" customWidth="1"/>
    <col min="10256" max="10259" width="10" style="59" customWidth="1"/>
    <col min="10260" max="10494" width="11.3984375" style="59"/>
    <col min="10495" max="10495" width="7.59765625" style="59" bestFit="1" customWidth="1"/>
    <col min="10496" max="10496" width="17.1328125" style="59" customWidth="1"/>
    <col min="10497" max="10497" width="13.86328125" style="59" customWidth="1"/>
    <col min="10498" max="10498" width="12.1328125" style="59" bestFit="1" customWidth="1"/>
    <col min="10499" max="10510" width="5.59765625" style="59" bestFit="1" customWidth="1"/>
    <col min="10511" max="10511" width="10" style="59" bestFit="1" customWidth="1"/>
    <col min="10512" max="10515" width="10" style="59" customWidth="1"/>
    <col min="10516" max="10750" width="11.3984375" style="59"/>
    <col min="10751" max="10751" width="7.59765625" style="59" bestFit="1" customWidth="1"/>
    <col min="10752" max="10752" width="17.1328125" style="59" customWidth="1"/>
    <col min="10753" max="10753" width="13.86328125" style="59" customWidth="1"/>
    <col min="10754" max="10754" width="12.1328125" style="59" bestFit="1" customWidth="1"/>
    <col min="10755" max="10766" width="5.59765625" style="59" bestFit="1" customWidth="1"/>
    <col min="10767" max="10767" width="10" style="59" bestFit="1" customWidth="1"/>
    <col min="10768" max="10771" width="10" style="59" customWidth="1"/>
    <col min="10772" max="11006" width="11.3984375" style="59"/>
    <col min="11007" max="11007" width="7.59765625" style="59" bestFit="1" customWidth="1"/>
    <col min="11008" max="11008" width="17.1328125" style="59" customWidth="1"/>
    <col min="11009" max="11009" width="13.86328125" style="59" customWidth="1"/>
    <col min="11010" max="11010" width="12.1328125" style="59" bestFit="1" customWidth="1"/>
    <col min="11011" max="11022" width="5.59765625" style="59" bestFit="1" customWidth="1"/>
    <col min="11023" max="11023" width="10" style="59" bestFit="1" customWidth="1"/>
    <col min="11024" max="11027" width="10" style="59" customWidth="1"/>
    <col min="11028" max="11262" width="11.3984375" style="59"/>
    <col min="11263" max="11263" width="7.59765625" style="59" bestFit="1" customWidth="1"/>
    <col min="11264" max="11264" width="17.1328125" style="59" customWidth="1"/>
    <col min="11265" max="11265" width="13.86328125" style="59" customWidth="1"/>
    <col min="11266" max="11266" width="12.1328125" style="59" bestFit="1" customWidth="1"/>
    <col min="11267" max="11278" width="5.59765625" style="59" bestFit="1" customWidth="1"/>
    <col min="11279" max="11279" width="10" style="59" bestFit="1" customWidth="1"/>
    <col min="11280" max="11283" width="10" style="59" customWidth="1"/>
    <col min="11284" max="11518" width="11.3984375" style="59"/>
    <col min="11519" max="11519" width="7.59765625" style="59" bestFit="1" customWidth="1"/>
    <col min="11520" max="11520" width="17.1328125" style="59" customWidth="1"/>
    <col min="11521" max="11521" width="13.86328125" style="59" customWidth="1"/>
    <col min="11522" max="11522" width="12.1328125" style="59" bestFit="1" customWidth="1"/>
    <col min="11523" max="11534" width="5.59765625" style="59" bestFit="1" customWidth="1"/>
    <col min="11535" max="11535" width="10" style="59" bestFit="1" customWidth="1"/>
    <col min="11536" max="11539" width="10" style="59" customWidth="1"/>
    <col min="11540" max="11774" width="11.3984375" style="59"/>
    <col min="11775" max="11775" width="7.59765625" style="59" bestFit="1" customWidth="1"/>
    <col min="11776" max="11776" width="17.1328125" style="59" customWidth="1"/>
    <col min="11777" max="11777" width="13.86328125" style="59" customWidth="1"/>
    <col min="11778" max="11778" width="12.1328125" style="59" bestFit="1" customWidth="1"/>
    <col min="11779" max="11790" width="5.59765625" style="59" bestFit="1" customWidth="1"/>
    <col min="11791" max="11791" width="10" style="59" bestFit="1" customWidth="1"/>
    <col min="11792" max="11795" width="10" style="59" customWidth="1"/>
    <col min="11796" max="12030" width="11.3984375" style="59"/>
    <col min="12031" max="12031" width="7.59765625" style="59" bestFit="1" customWidth="1"/>
    <col min="12032" max="12032" width="17.1328125" style="59" customWidth="1"/>
    <col min="12033" max="12033" width="13.86328125" style="59" customWidth="1"/>
    <col min="12034" max="12034" width="12.1328125" style="59" bestFit="1" customWidth="1"/>
    <col min="12035" max="12046" width="5.59765625" style="59" bestFit="1" customWidth="1"/>
    <col min="12047" max="12047" width="10" style="59" bestFit="1" customWidth="1"/>
    <col min="12048" max="12051" width="10" style="59" customWidth="1"/>
    <col min="12052" max="12286" width="11.3984375" style="59"/>
    <col min="12287" max="12287" width="7.59765625" style="59" bestFit="1" customWidth="1"/>
    <col min="12288" max="12288" width="17.1328125" style="59" customWidth="1"/>
    <col min="12289" max="12289" width="13.86328125" style="59" customWidth="1"/>
    <col min="12290" max="12290" width="12.1328125" style="59" bestFit="1" customWidth="1"/>
    <col min="12291" max="12302" width="5.59765625" style="59" bestFit="1" customWidth="1"/>
    <col min="12303" max="12303" width="10" style="59" bestFit="1" customWidth="1"/>
    <col min="12304" max="12307" width="10" style="59" customWidth="1"/>
    <col min="12308" max="12542" width="11.3984375" style="59"/>
    <col min="12543" max="12543" width="7.59765625" style="59" bestFit="1" customWidth="1"/>
    <col min="12544" max="12544" width="17.1328125" style="59" customWidth="1"/>
    <col min="12545" max="12545" width="13.86328125" style="59" customWidth="1"/>
    <col min="12546" max="12546" width="12.1328125" style="59" bestFit="1" customWidth="1"/>
    <col min="12547" max="12558" width="5.59765625" style="59" bestFit="1" customWidth="1"/>
    <col min="12559" max="12559" width="10" style="59" bestFit="1" customWidth="1"/>
    <col min="12560" max="12563" width="10" style="59" customWidth="1"/>
    <col min="12564" max="12798" width="11.3984375" style="59"/>
    <col min="12799" max="12799" width="7.59765625" style="59" bestFit="1" customWidth="1"/>
    <col min="12800" max="12800" width="17.1328125" style="59" customWidth="1"/>
    <col min="12801" max="12801" width="13.86328125" style="59" customWidth="1"/>
    <col min="12802" max="12802" width="12.1328125" style="59" bestFit="1" customWidth="1"/>
    <col min="12803" max="12814" width="5.59765625" style="59" bestFit="1" customWidth="1"/>
    <col min="12815" max="12815" width="10" style="59" bestFit="1" customWidth="1"/>
    <col min="12816" max="12819" width="10" style="59" customWidth="1"/>
    <col min="12820" max="13054" width="11.3984375" style="59"/>
    <col min="13055" max="13055" width="7.59765625" style="59" bestFit="1" customWidth="1"/>
    <col min="13056" max="13056" width="17.1328125" style="59" customWidth="1"/>
    <col min="13057" max="13057" width="13.86328125" style="59" customWidth="1"/>
    <col min="13058" max="13058" width="12.1328125" style="59" bestFit="1" customWidth="1"/>
    <col min="13059" max="13070" width="5.59765625" style="59" bestFit="1" customWidth="1"/>
    <col min="13071" max="13071" width="10" style="59" bestFit="1" customWidth="1"/>
    <col min="13072" max="13075" width="10" style="59" customWidth="1"/>
    <col min="13076" max="13310" width="11.3984375" style="59"/>
    <col min="13311" max="13311" width="7.59765625" style="59" bestFit="1" customWidth="1"/>
    <col min="13312" max="13312" width="17.1328125" style="59" customWidth="1"/>
    <col min="13313" max="13313" width="13.86328125" style="59" customWidth="1"/>
    <col min="13314" max="13314" width="12.1328125" style="59" bestFit="1" customWidth="1"/>
    <col min="13315" max="13326" width="5.59765625" style="59" bestFit="1" customWidth="1"/>
    <col min="13327" max="13327" width="10" style="59" bestFit="1" customWidth="1"/>
    <col min="13328" max="13331" width="10" style="59" customWidth="1"/>
    <col min="13332" max="13566" width="11.3984375" style="59"/>
    <col min="13567" max="13567" width="7.59765625" style="59" bestFit="1" customWidth="1"/>
    <col min="13568" max="13568" width="17.1328125" style="59" customWidth="1"/>
    <col min="13569" max="13569" width="13.86328125" style="59" customWidth="1"/>
    <col min="13570" max="13570" width="12.1328125" style="59" bestFit="1" customWidth="1"/>
    <col min="13571" max="13582" width="5.59765625" style="59" bestFit="1" customWidth="1"/>
    <col min="13583" max="13583" width="10" style="59" bestFit="1" customWidth="1"/>
    <col min="13584" max="13587" width="10" style="59" customWidth="1"/>
    <col min="13588" max="13822" width="11.3984375" style="59"/>
    <col min="13823" max="13823" width="7.59765625" style="59" bestFit="1" customWidth="1"/>
    <col min="13824" max="13824" width="17.1328125" style="59" customWidth="1"/>
    <col min="13825" max="13825" width="13.86328125" style="59" customWidth="1"/>
    <col min="13826" max="13826" width="12.1328125" style="59" bestFit="1" customWidth="1"/>
    <col min="13827" max="13838" width="5.59765625" style="59" bestFit="1" customWidth="1"/>
    <col min="13839" max="13839" width="10" style="59" bestFit="1" customWidth="1"/>
    <col min="13840" max="13843" width="10" style="59" customWidth="1"/>
    <col min="13844" max="14078" width="11.3984375" style="59"/>
    <col min="14079" max="14079" width="7.59765625" style="59" bestFit="1" customWidth="1"/>
    <col min="14080" max="14080" width="17.1328125" style="59" customWidth="1"/>
    <col min="14081" max="14081" width="13.86328125" style="59" customWidth="1"/>
    <col min="14082" max="14082" width="12.1328125" style="59" bestFit="1" customWidth="1"/>
    <col min="14083" max="14094" width="5.59765625" style="59" bestFit="1" customWidth="1"/>
    <col min="14095" max="14095" width="10" style="59" bestFit="1" customWidth="1"/>
    <col min="14096" max="14099" width="10" style="59" customWidth="1"/>
    <col min="14100" max="14334" width="11.3984375" style="59"/>
    <col min="14335" max="14335" width="7.59765625" style="59" bestFit="1" customWidth="1"/>
    <col min="14336" max="14336" width="17.1328125" style="59" customWidth="1"/>
    <col min="14337" max="14337" width="13.86328125" style="59" customWidth="1"/>
    <col min="14338" max="14338" width="12.1328125" style="59" bestFit="1" customWidth="1"/>
    <col min="14339" max="14350" width="5.59765625" style="59" bestFit="1" customWidth="1"/>
    <col min="14351" max="14351" width="10" style="59" bestFit="1" customWidth="1"/>
    <col min="14352" max="14355" width="10" style="59" customWidth="1"/>
    <col min="14356" max="14590" width="11.3984375" style="59"/>
    <col min="14591" max="14591" width="7.59765625" style="59" bestFit="1" customWidth="1"/>
    <col min="14592" max="14592" width="17.1328125" style="59" customWidth="1"/>
    <col min="14593" max="14593" width="13.86328125" style="59" customWidth="1"/>
    <col min="14594" max="14594" width="12.1328125" style="59" bestFit="1" customWidth="1"/>
    <col min="14595" max="14606" width="5.59765625" style="59" bestFit="1" customWidth="1"/>
    <col min="14607" max="14607" width="10" style="59" bestFit="1" customWidth="1"/>
    <col min="14608" max="14611" width="10" style="59" customWidth="1"/>
    <col min="14612" max="14846" width="11.3984375" style="59"/>
    <col min="14847" max="14847" width="7.59765625" style="59" bestFit="1" customWidth="1"/>
    <col min="14848" max="14848" width="17.1328125" style="59" customWidth="1"/>
    <col min="14849" max="14849" width="13.86328125" style="59" customWidth="1"/>
    <col min="14850" max="14850" width="12.1328125" style="59" bestFit="1" customWidth="1"/>
    <col min="14851" max="14862" width="5.59765625" style="59" bestFit="1" customWidth="1"/>
    <col min="14863" max="14863" width="10" style="59" bestFit="1" customWidth="1"/>
    <col min="14864" max="14867" width="10" style="59" customWidth="1"/>
    <col min="14868" max="15102" width="11.3984375" style="59"/>
    <col min="15103" max="15103" width="7.59765625" style="59" bestFit="1" customWidth="1"/>
    <col min="15104" max="15104" width="17.1328125" style="59" customWidth="1"/>
    <col min="15105" max="15105" width="13.86328125" style="59" customWidth="1"/>
    <col min="15106" max="15106" width="12.1328125" style="59" bestFit="1" customWidth="1"/>
    <col min="15107" max="15118" width="5.59765625" style="59" bestFit="1" customWidth="1"/>
    <col min="15119" max="15119" width="10" style="59" bestFit="1" customWidth="1"/>
    <col min="15120" max="15123" width="10" style="59" customWidth="1"/>
    <col min="15124" max="15358" width="11.3984375" style="59"/>
    <col min="15359" max="15359" width="7.59765625" style="59" bestFit="1" customWidth="1"/>
    <col min="15360" max="15360" width="17.1328125" style="59" customWidth="1"/>
    <col min="15361" max="15361" width="13.86328125" style="59" customWidth="1"/>
    <col min="15362" max="15362" width="12.1328125" style="59" bestFit="1" customWidth="1"/>
    <col min="15363" max="15374" width="5.59765625" style="59" bestFit="1" customWidth="1"/>
    <col min="15375" max="15375" width="10" style="59" bestFit="1" customWidth="1"/>
    <col min="15376" max="15379" width="10" style="59" customWidth="1"/>
    <col min="15380" max="15614" width="11.3984375" style="59"/>
    <col min="15615" max="15615" width="7.59765625" style="59" bestFit="1" customWidth="1"/>
    <col min="15616" max="15616" width="17.1328125" style="59" customWidth="1"/>
    <col min="15617" max="15617" width="13.86328125" style="59" customWidth="1"/>
    <col min="15618" max="15618" width="12.1328125" style="59" bestFit="1" customWidth="1"/>
    <col min="15619" max="15630" width="5.59765625" style="59" bestFit="1" customWidth="1"/>
    <col min="15631" max="15631" width="10" style="59" bestFit="1" customWidth="1"/>
    <col min="15632" max="15635" width="10" style="59" customWidth="1"/>
    <col min="15636" max="15870" width="11.3984375" style="59"/>
    <col min="15871" max="15871" width="7.59765625" style="59" bestFit="1" customWidth="1"/>
    <col min="15872" max="15872" width="17.1328125" style="59" customWidth="1"/>
    <col min="15873" max="15873" width="13.86328125" style="59" customWidth="1"/>
    <col min="15874" max="15874" width="12.1328125" style="59" bestFit="1" customWidth="1"/>
    <col min="15875" max="15886" width="5.59765625" style="59" bestFit="1" customWidth="1"/>
    <col min="15887" max="15887" width="10" style="59" bestFit="1" customWidth="1"/>
    <col min="15888" max="15891" width="10" style="59" customWidth="1"/>
    <col min="15892" max="16126" width="11.3984375" style="59"/>
    <col min="16127" max="16127" width="7.59765625" style="59" bestFit="1" customWidth="1"/>
    <col min="16128" max="16128" width="17.1328125" style="59" customWidth="1"/>
    <col min="16129" max="16129" width="13.86328125" style="59" customWidth="1"/>
    <col min="16130" max="16130" width="12.1328125" style="59" bestFit="1" customWidth="1"/>
    <col min="16131" max="16142" width="5.59765625" style="59" bestFit="1" customWidth="1"/>
    <col min="16143" max="16143" width="10" style="59" bestFit="1" customWidth="1"/>
    <col min="16144" max="16147" width="10" style="59" customWidth="1"/>
    <col min="16148" max="16384" width="11.3984375" style="59"/>
  </cols>
  <sheetData>
    <row r="1" spans="1:26" s="49" customFormat="1" x14ac:dyDescent="0.4">
      <c r="A1" s="66" t="s">
        <v>34</v>
      </c>
      <c r="B1" s="49" t="s">
        <v>45</v>
      </c>
      <c r="C1" s="49" t="s">
        <v>35</v>
      </c>
      <c r="D1" s="49" t="s">
        <v>58</v>
      </c>
      <c r="E1" s="669" t="s">
        <v>59</v>
      </c>
      <c r="F1" s="670"/>
      <c r="G1" s="671"/>
      <c r="H1" s="669" t="s">
        <v>60</v>
      </c>
      <c r="I1" s="670"/>
      <c r="J1" s="671"/>
      <c r="K1" s="669" t="s">
        <v>61</v>
      </c>
      <c r="L1" s="670"/>
      <c r="M1" s="671"/>
      <c r="N1" s="669" t="s">
        <v>62</v>
      </c>
      <c r="O1" s="670"/>
      <c r="P1" s="671"/>
      <c r="Q1" s="572" t="s">
        <v>63</v>
      </c>
      <c r="R1" s="50" t="s">
        <v>64</v>
      </c>
      <c r="S1" s="50" t="s">
        <v>65</v>
      </c>
      <c r="T1" s="50" t="s">
        <v>66</v>
      </c>
      <c r="U1" s="50" t="s">
        <v>67</v>
      </c>
      <c r="V1" s="672" t="s">
        <v>111</v>
      </c>
      <c r="W1" s="673"/>
      <c r="X1" s="674"/>
      <c r="Y1" s="144" t="s">
        <v>112</v>
      </c>
      <c r="Z1" s="139"/>
    </row>
    <row r="2" spans="1:26" s="49" customFormat="1" x14ac:dyDescent="0.4">
      <c r="A2" s="66"/>
      <c r="B2" s="139"/>
      <c r="E2" s="572" t="s">
        <v>68</v>
      </c>
      <c r="F2" s="49" t="s">
        <v>69</v>
      </c>
      <c r="G2" s="573" t="s">
        <v>70</v>
      </c>
      <c r="H2" s="572" t="s">
        <v>71</v>
      </c>
      <c r="I2" s="49" t="s">
        <v>72</v>
      </c>
      <c r="J2" s="573" t="s">
        <v>73</v>
      </c>
      <c r="K2" s="572" t="s">
        <v>74</v>
      </c>
      <c r="L2" s="49" t="s">
        <v>75</v>
      </c>
      <c r="M2" s="573" t="s">
        <v>76</v>
      </c>
      <c r="N2" s="572" t="s">
        <v>77</v>
      </c>
      <c r="O2" s="49" t="s">
        <v>78</v>
      </c>
      <c r="P2" s="573" t="s">
        <v>79</v>
      </c>
      <c r="Q2" s="572" t="s">
        <v>80</v>
      </c>
      <c r="R2" s="50"/>
      <c r="S2" s="51">
        <v>0.41666666666666669</v>
      </c>
      <c r="T2" s="51">
        <v>0.83333333333333337</v>
      </c>
      <c r="U2" s="50"/>
      <c r="V2" s="49" t="s">
        <v>81</v>
      </c>
      <c r="W2" s="49" t="s">
        <v>82</v>
      </c>
      <c r="X2" s="573" t="s">
        <v>83</v>
      </c>
      <c r="Y2" s="145" t="s">
        <v>106</v>
      </c>
      <c r="Z2" s="141">
        <f>9.2*1.19</f>
        <v>10.947999999999999</v>
      </c>
    </row>
    <row r="3" spans="1:26" x14ac:dyDescent="0.4">
      <c r="A3" s="67"/>
      <c r="B3" s="140"/>
      <c r="C3" s="53"/>
      <c r="D3" s="52"/>
      <c r="E3" s="54"/>
      <c r="F3" s="53"/>
      <c r="G3" s="55"/>
      <c r="H3" s="54"/>
      <c r="J3" s="55"/>
      <c r="K3" s="54"/>
      <c r="L3" s="53"/>
      <c r="M3" s="55"/>
      <c r="N3" s="54"/>
      <c r="O3" s="53"/>
      <c r="P3" s="55"/>
      <c r="Q3" s="56"/>
      <c r="R3" s="57"/>
      <c r="S3" s="58"/>
      <c r="T3" s="58"/>
      <c r="U3" s="58"/>
      <c r="V3" s="368">
        <v>200</v>
      </c>
      <c r="W3" s="356">
        <f>V3-10</f>
        <v>190</v>
      </c>
      <c r="X3" s="357">
        <f>V3-20</f>
        <v>180</v>
      </c>
      <c r="Y3" s="146" t="s">
        <v>113</v>
      </c>
      <c r="Z3" s="142">
        <f>3*1.19</f>
        <v>3.57</v>
      </c>
    </row>
    <row r="4" spans="1:26" ht="12.75" x14ac:dyDescent="0.35">
      <c r="A4" s="68">
        <f>Charterer!A3</f>
        <v>0</v>
      </c>
      <c r="B4" s="65" t="str">
        <f>Charterer!B3</f>
        <v>Gaudl</v>
      </c>
      <c r="C4" s="65" t="str">
        <f>Charterer!C3</f>
        <v>Manfred (H)</v>
      </c>
      <c r="D4" s="284">
        <v>0</v>
      </c>
      <c r="E4" s="379">
        <v>1.5277777777777777E-2</v>
      </c>
      <c r="F4" s="457"/>
      <c r="G4" s="382"/>
      <c r="H4" s="379"/>
      <c r="I4" s="158"/>
      <c r="J4" s="381"/>
      <c r="K4" s="379">
        <v>0.36805555555555558</v>
      </c>
      <c r="L4" s="380"/>
      <c r="M4" s="382">
        <v>6.25E-2</v>
      </c>
      <c r="N4" s="379"/>
      <c r="O4" s="380"/>
      <c r="P4" s="380"/>
      <c r="Q4" s="675">
        <v>1</v>
      </c>
      <c r="R4" s="685">
        <f>E4+E5+F4+F5+G4+G5+H4+H5+I4+I5+J4+J5+K4+K5+L4+L5+M4+M5+N4+N5+O4+O5+P4+P5</f>
        <v>0.84930555555555554</v>
      </c>
      <c r="S4" s="686">
        <f>IF(MIN(W4,$S$2)&gt;R4,R4,MIN(W4,$S$2))</f>
        <v>0.41666666666666669</v>
      </c>
      <c r="T4" s="686">
        <f>IF(MIN(X4,$T$2)&gt;R4,IF(MIN(W4,$S$2)&lt;R4,R4-MIN(W4,$S$2),0),MIN(W4,$S$2))</f>
        <v>0.41666666666666669</v>
      </c>
      <c r="U4" s="687">
        <f>IF(R4&gt;MIN(X4,$T$2),R4-MIN(X4,$T$2),0)</f>
        <v>1.5972222222222165E-2</v>
      </c>
      <c r="V4" s="676"/>
      <c r="W4" s="677">
        <f>IF(Q4=0,0,10/24*(5-Q4)/4)</f>
        <v>0.41666666666666669</v>
      </c>
      <c r="X4" s="678">
        <f>IF(Q4=0,0,20/24*(5-Q4)/4)</f>
        <v>0.83333333333333337</v>
      </c>
      <c r="Y4" s="147" t="s">
        <v>114</v>
      </c>
      <c r="Z4" s="141">
        <v>8</v>
      </c>
    </row>
    <row r="5" spans="1:26" ht="12.75" x14ac:dyDescent="0.35">
      <c r="A5" s="68">
        <f>Charterer!A4</f>
        <v>1</v>
      </c>
      <c r="B5" s="65" t="str">
        <f>Charterer!B4</f>
        <v>Gaudl</v>
      </c>
      <c r="C5" s="65" t="str">
        <f>Charterer!C4</f>
        <v>Manfred (N)</v>
      </c>
      <c r="D5" s="284">
        <f>X3</f>
        <v>180</v>
      </c>
      <c r="E5" s="355"/>
      <c r="F5" s="317">
        <v>1.8055555555555557E-2</v>
      </c>
      <c r="G5" s="158"/>
      <c r="H5" s="355"/>
      <c r="I5" s="158">
        <v>0.38194444444444442</v>
      </c>
      <c r="J5" s="317">
        <v>3.472222222222222E-3</v>
      </c>
      <c r="K5" s="355"/>
      <c r="L5" s="158"/>
      <c r="M5" s="158"/>
      <c r="N5" s="355"/>
      <c r="O5" s="158"/>
      <c r="P5" s="158"/>
      <c r="Q5" s="675"/>
      <c r="R5" s="685"/>
      <c r="S5" s="686"/>
      <c r="T5" s="686"/>
      <c r="U5" s="687"/>
      <c r="V5" s="676"/>
      <c r="W5" s="677"/>
      <c r="X5" s="678"/>
      <c r="Y5" s="147" t="s">
        <v>115</v>
      </c>
      <c r="Z5" s="141"/>
    </row>
    <row r="6" spans="1:26" ht="12.75" x14ac:dyDescent="0.35">
      <c r="A6" s="68">
        <f>Charterer!A5</f>
        <v>2</v>
      </c>
      <c r="B6" s="65">
        <f>Charterer!B5</f>
        <v>0</v>
      </c>
      <c r="C6" s="65">
        <f>Charterer!C5</f>
        <v>0</v>
      </c>
      <c r="D6" s="284">
        <f>IF(R6&gt;X6,$X$3,IF(R6&gt;W6,$W$3,$V$3))</f>
        <v>180</v>
      </c>
      <c r="E6" s="679"/>
      <c r="F6" s="681">
        <v>0.33124999999999999</v>
      </c>
      <c r="G6" s="683"/>
      <c r="H6" s="679"/>
      <c r="I6" s="681">
        <v>0.14791666666666667</v>
      </c>
      <c r="J6" s="681">
        <v>0.19722222222222222</v>
      </c>
      <c r="K6" s="679"/>
      <c r="L6" s="681">
        <v>2.0833333333333332E-2</v>
      </c>
      <c r="M6" s="681"/>
      <c r="N6" s="688"/>
      <c r="O6" s="681"/>
      <c r="P6" s="681"/>
      <c r="Q6" s="675">
        <v>2</v>
      </c>
      <c r="R6" s="685">
        <f>E6+F6+G6+H6+I6+J6+K6+L6+M6+N6+O6+P6</f>
        <v>0.69722222222222219</v>
      </c>
      <c r="S6" s="686">
        <f>IF(MIN(W6,$S$2)&gt;R6,R6,MIN(W6,$S$2))</f>
        <v>0.3125</v>
      </c>
      <c r="T6" s="686">
        <f>IF(MIN(X6,$T$2)&gt;R6,IF(MIN(W6,$S$2)&lt;R6,R6-MIN(W6,$S$2),0),MIN(W6,$S$2))</f>
        <v>0.3125</v>
      </c>
      <c r="U6" s="687">
        <f>IF(R6&gt;MIN(X6,$T$2),R6-MIN(X6,$T$2),0)</f>
        <v>7.2222222222222188E-2</v>
      </c>
      <c r="V6" s="676"/>
      <c r="W6" s="677">
        <f>IF(Q6=0,0,10/24*(5-Q6)/4)</f>
        <v>0.3125</v>
      </c>
      <c r="X6" s="678">
        <f>IF(Q6=0,0,20/24*(5-Q6)/4)</f>
        <v>0.625</v>
      </c>
      <c r="Y6" s="314" t="s">
        <v>194</v>
      </c>
      <c r="Z6" s="141">
        <v>8</v>
      </c>
    </row>
    <row r="7" spans="1:26" ht="12.75" x14ac:dyDescent="0.35">
      <c r="A7" s="68">
        <f>Charterer!A6</f>
        <v>3</v>
      </c>
      <c r="B7" s="65">
        <f>Charterer!B6</f>
        <v>0</v>
      </c>
      <c r="C7" s="65">
        <f>Charterer!C6</f>
        <v>0</v>
      </c>
      <c r="D7" s="284">
        <f>D6</f>
        <v>180</v>
      </c>
      <c r="E7" s="680"/>
      <c r="F7" s="682"/>
      <c r="G7" s="684"/>
      <c r="H7" s="679"/>
      <c r="I7" s="682"/>
      <c r="J7" s="682"/>
      <c r="K7" s="679"/>
      <c r="L7" s="682"/>
      <c r="M7" s="682"/>
      <c r="N7" s="679"/>
      <c r="O7" s="682"/>
      <c r="P7" s="682"/>
      <c r="Q7" s="675"/>
      <c r="R7" s="685"/>
      <c r="S7" s="686"/>
      <c r="T7" s="686"/>
      <c r="U7" s="687"/>
      <c r="V7" s="676"/>
      <c r="W7" s="677"/>
      <c r="X7" s="678"/>
      <c r="Y7" s="315"/>
      <c r="Z7" s="141"/>
    </row>
    <row r="8" spans="1:26" x14ac:dyDescent="0.35">
      <c r="A8" s="68">
        <f>Charterer!A7</f>
        <v>4</v>
      </c>
      <c r="B8" s="65">
        <f>Charterer!B7</f>
        <v>0</v>
      </c>
      <c r="C8" s="65">
        <f>Charterer!C7</f>
        <v>0</v>
      </c>
      <c r="D8" s="284">
        <f>IF(R8&gt;X8,$X$3,IF(R8&gt;W8,$W$3,$V$3))</f>
        <v>180</v>
      </c>
      <c r="E8" s="574">
        <v>0.3743055555555555</v>
      </c>
      <c r="F8" s="575">
        <v>7.2222222222222229E-2</v>
      </c>
      <c r="G8" s="576"/>
      <c r="H8" s="574"/>
      <c r="I8" s="575"/>
      <c r="J8" s="576"/>
      <c r="K8" s="354"/>
      <c r="L8" s="575"/>
      <c r="M8" s="576"/>
      <c r="N8" s="574"/>
      <c r="O8" s="575"/>
      <c r="P8" s="576"/>
      <c r="Q8" s="275">
        <v>3</v>
      </c>
      <c r="R8" s="577">
        <f>E8+F8+G8+H8+I8+J8+K8+L8+M8+N8+O8+P8</f>
        <v>0.44652777777777775</v>
      </c>
      <c r="S8" s="578">
        <f>IF(MIN(W8,$S$2)&gt;R8,R8,MIN(W8,$S$2))</f>
        <v>0.20833333333333334</v>
      </c>
      <c r="T8" s="157">
        <f t="shared" ref="T8:T19" si="0">IF(MIN(X8,$T$2)&gt;R8,IF(MIN(W8,$S$2)&lt;R8,R8-MIN(W8,$S$2),0),MIN(W8,$S$2))</f>
        <v>0.20833333333333334</v>
      </c>
      <c r="U8" s="579">
        <f>IF(R8&gt;MIN(X8,$T$2),R8-MIN(X8,$T$2),0)</f>
        <v>2.9861111111111061E-2</v>
      </c>
      <c r="W8" s="159">
        <f>IF(Q8=0,0,10/24*(5-Q8)/4)</f>
        <v>0.20833333333333334</v>
      </c>
      <c r="X8" s="160">
        <f>IF(Q8=0,0,20/24*(5-Q8)/4)</f>
        <v>0.41666666666666669</v>
      </c>
      <c r="Y8" s="316"/>
      <c r="Z8" s="141"/>
    </row>
    <row r="9" spans="1:26" x14ac:dyDescent="0.35">
      <c r="A9" s="68">
        <f>Charterer!A8</f>
        <v>5</v>
      </c>
      <c r="B9" s="65">
        <f>Charterer!B8</f>
        <v>0</v>
      </c>
      <c r="C9" s="65">
        <f>Charterer!C8</f>
        <v>0</v>
      </c>
      <c r="D9" s="284">
        <f t="shared" ref="D9:D19" si="1">IF(R9&gt;X9,$X$3,IF(R9&gt;W9,$W$3,$V$3))</f>
        <v>200</v>
      </c>
      <c r="E9" s="574"/>
      <c r="F9" s="575"/>
      <c r="G9" s="576"/>
      <c r="H9" s="574"/>
      <c r="I9" s="575"/>
      <c r="J9" s="576"/>
      <c r="K9" s="574"/>
      <c r="L9" s="575"/>
      <c r="M9" s="576"/>
      <c r="N9" s="574"/>
      <c r="O9" s="575"/>
      <c r="P9" s="576"/>
      <c r="Q9" s="275">
        <v>4</v>
      </c>
      <c r="R9" s="577">
        <f t="shared" ref="R9:R19" si="2">E9+F9+G9+H9+I9+J9+K9+L9+M9+N9+O9+P9</f>
        <v>0</v>
      </c>
      <c r="S9" s="578">
        <f t="shared" ref="S9:S19" si="3">IF(MIN(W9,$S$2)&gt;R9,R9,MIN(W9,$S$2))</f>
        <v>0</v>
      </c>
      <c r="T9" s="157">
        <f t="shared" si="0"/>
        <v>0</v>
      </c>
      <c r="U9" s="579">
        <f t="shared" ref="U9:U19" si="4">IF(R9&gt;MIN(X9,$T$2),R9-MIN(X9,$T$2),0)</f>
        <v>0</v>
      </c>
      <c r="W9" s="159">
        <f t="shared" ref="W9:W19" si="5">IF(Q9=0,0,10/24*(5-Q9)/4)</f>
        <v>0.10416666666666667</v>
      </c>
      <c r="X9" s="160">
        <f t="shared" ref="X9:X19" si="6">IF(Q9=0,0,20/24*(5-Q9)/4)</f>
        <v>0.20833333333333334</v>
      </c>
      <c r="Y9" s="317"/>
      <c r="Z9" s="141"/>
    </row>
    <row r="10" spans="1:26" x14ac:dyDescent="0.35">
      <c r="A10" s="68">
        <f>Charterer!A9</f>
        <v>6</v>
      </c>
      <c r="B10" s="65">
        <f>Charterer!B9</f>
        <v>0</v>
      </c>
      <c r="C10" s="65">
        <f>Charterer!C9</f>
        <v>0</v>
      </c>
      <c r="D10" s="284">
        <f t="shared" si="1"/>
        <v>190</v>
      </c>
      <c r="E10" s="574"/>
      <c r="F10" s="575">
        <v>0.53125</v>
      </c>
      <c r="G10" s="576"/>
      <c r="H10" s="574"/>
      <c r="I10" s="575"/>
      <c r="J10" s="576"/>
      <c r="K10" s="574"/>
      <c r="L10" s="575"/>
      <c r="M10" s="576"/>
      <c r="N10" s="574"/>
      <c r="O10" s="575"/>
      <c r="P10" s="576"/>
      <c r="Q10" s="275">
        <v>1</v>
      </c>
      <c r="R10" s="577">
        <f t="shared" si="2"/>
        <v>0.53125</v>
      </c>
      <c r="S10" s="578">
        <f t="shared" si="3"/>
        <v>0.41666666666666669</v>
      </c>
      <c r="T10" s="157">
        <f t="shared" si="0"/>
        <v>0.11458333333333331</v>
      </c>
      <c r="U10" s="579">
        <f t="shared" si="4"/>
        <v>0</v>
      </c>
      <c r="V10" s="60"/>
      <c r="W10" s="159">
        <f t="shared" si="5"/>
        <v>0.41666666666666669</v>
      </c>
      <c r="X10" s="160">
        <f t="shared" si="6"/>
        <v>0.83333333333333337</v>
      </c>
      <c r="Y10" s="158"/>
      <c r="Z10" s="141"/>
    </row>
    <row r="11" spans="1:26" x14ac:dyDescent="0.35">
      <c r="A11" s="68">
        <f>Charterer!A10</f>
        <v>7</v>
      </c>
      <c r="B11" s="65"/>
      <c r="C11" s="65"/>
      <c r="D11" s="284">
        <f t="shared" si="1"/>
        <v>200</v>
      </c>
      <c r="E11" s="574"/>
      <c r="F11" s="575"/>
      <c r="G11" s="576"/>
      <c r="H11" s="574"/>
      <c r="I11" s="575"/>
      <c r="J11" s="576"/>
      <c r="K11" s="574"/>
      <c r="L11" s="575"/>
      <c r="M11" s="576"/>
      <c r="N11" s="574"/>
      <c r="O11" s="575"/>
      <c r="P11" s="576"/>
      <c r="Q11" s="275"/>
      <c r="R11" s="577">
        <f>E11+F11+G11+H11+I11+J11+K11+L11+M11+N11+O11+P11</f>
        <v>0</v>
      </c>
      <c r="S11" s="578">
        <f t="shared" si="3"/>
        <v>0</v>
      </c>
      <c r="T11" s="157">
        <f t="shared" si="0"/>
        <v>0</v>
      </c>
      <c r="U11" s="579">
        <f t="shared" si="4"/>
        <v>0</v>
      </c>
      <c r="V11" s="60"/>
      <c r="W11" s="159">
        <f t="shared" si="5"/>
        <v>0</v>
      </c>
      <c r="X11" s="160">
        <f t="shared" si="6"/>
        <v>0</v>
      </c>
      <c r="Y11" s="158"/>
      <c r="Z11" s="141"/>
    </row>
    <row r="12" spans="1:26" x14ac:dyDescent="0.35">
      <c r="B12" s="65"/>
      <c r="C12" s="65"/>
      <c r="D12" s="284">
        <f t="shared" si="1"/>
        <v>200</v>
      </c>
      <c r="E12" s="574"/>
      <c r="F12" s="575"/>
      <c r="G12" s="576"/>
      <c r="H12" s="574"/>
      <c r="I12" s="575"/>
      <c r="J12" s="576"/>
      <c r="K12" s="574"/>
      <c r="L12" s="575"/>
      <c r="M12" s="576"/>
      <c r="N12" s="574"/>
      <c r="O12" s="575"/>
      <c r="P12" s="576"/>
      <c r="Q12" s="275"/>
      <c r="R12" s="577">
        <f t="shared" si="2"/>
        <v>0</v>
      </c>
      <c r="S12" s="578">
        <f t="shared" si="3"/>
        <v>0</v>
      </c>
      <c r="T12" s="157">
        <f t="shared" si="0"/>
        <v>0</v>
      </c>
      <c r="U12" s="579">
        <f t="shared" si="4"/>
        <v>0</v>
      </c>
      <c r="W12" s="159">
        <f t="shared" si="5"/>
        <v>0</v>
      </c>
      <c r="X12" s="160">
        <f t="shared" si="6"/>
        <v>0</v>
      </c>
    </row>
    <row r="13" spans="1:26" x14ac:dyDescent="0.35">
      <c r="B13" s="65"/>
      <c r="C13" s="65"/>
      <c r="D13" s="284">
        <f t="shared" si="1"/>
        <v>200</v>
      </c>
      <c r="E13" s="574"/>
      <c r="F13" s="575"/>
      <c r="G13" s="576"/>
      <c r="H13" s="574"/>
      <c r="I13" s="575"/>
      <c r="J13" s="576"/>
      <c r="K13" s="574"/>
      <c r="L13" s="575"/>
      <c r="M13" s="576"/>
      <c r="N13" s="574"/>
      <c r="O13" s="575"/>
      <c r="P13" s="576"/>
      <c r="Q13" s="275"/>
      <c r="R13" s="577">
        <f t="shared" si="2"/>
        <v>0</v>
      </c>
      <c r="S13" s="578">
        <f t="shared" si="3"/>
        <v>0</v>
      </c>
      <c r="T13" s="157">
        <f t="shared" si="0"/>
        <v>0</v>
      </c>
      <c r="U13" s="579">
        <f t="shared" si="4"/>
        <v>0</v>
      </c>
      <c r="W13" s="159">
        <f t="shared" si="5"/>
        <v>0</v>
      </c>
      <c r="X13" s="160">
        <f t="shared" si="6"/>
        <v>0</v>
      </c>
    </row>
    <row r="14" spans="1:26" x14ac:dyDescent="0.35">
      <c r="B14" s="65"/>
      <c r="C14" s="65"/>
      <c r="D14" s="284">
        <f t="shared" si="1"/>
        <v>200</v>
      </c>
      <c r="E14" s="574"/>
      <c r="F14" s="575"/>
      <c r="G14" s="576"/>
      <c r="H14" s="574"/>
      <c r="I14" s="575"/>
      <c r="J14" s="576"/>
      <c r="K14" s="574"/>
      <c r="L14" s="575"/>
      <c r="M14" s="576"/>
      <c r="N14" s="574"/>
      <c r="O14" s="575"/>
      <c r="P14" s="576"/>
      <c r="Q14" s="275"/>
      <c r="R14" s="577">
        <f t="shared" si="2"/>
        <v>0</v>
      </c>
      <c r="S14" s="578">
        <f t="shared" si="3"/>
        <v>0</v>
      </c>
      <c r="T14" s="157">
        <f t="shared" si="0"/>
        <v>0</v>
      </c>
      <c r="U14" s="579">
        <f t="shared" si="4"/>
        <v>0</v>
      </c>
      <c r="W14" s="159">
        <f t="shared" si="5"/>
        <v>0</v>
      </c>
      <c r="X14" s="160">
        <f t="shared" si="6"/>
        <v>0</v>
      </c>
    </row>
    <row r="15" spans="1:26" x14ac:dyDescent="0.35">
      <c r="B15" s="65"/>
      <c r="C15" s="65"/>
      <c r="D15" s="284">
        <f t="shared" si="1"/>
        <v>200</v>
      </c>
      <c r="E15" s="574"/>
      <c r="F15" s="575"/>
      <c r="G15" s="576"/>
      <c r="H15" s="574"/>
      <c r="I15" s="575"/>
      <c r="J15" s="576"/>
      <c r="K15" s="574"/>
      <c r="L15" s="575"/>
      <c r="M15" s="576"/>
      <c r="N15" s="574"/>
      <c r="O15" s="575"/>
      <c r="P15" s="576"/>
      <c r="Q15" s="275"/>
      <c r="R15" s="577">
        <f t="shared" si="2"/>
        <v>0</v>
      </c>
      <c r="S15" s="578">
        <f t="shared" si="3"/>
        <v>0</v>
      </c>
      <c r="T15" s="157">
        <f t="shared" si="0"/>
        <v>0</v>
      </c>
      <c r="U15" s="579">
        <f t="shared" si="4"/>
        <v>0</v>
      </c>
      <c r="W15" s="159">
        <f t="shared" si="5"/>
        <v>0</v>
      </c>
      <c r="X15" s="160">
        <f t="shared" si="6"/>
        <v>0</v>
      </c>
    </row>
    <row r="16" spans="1:26" x14ac:dyDescent="0.35">
      <c r="B16" s="65"/>
      <c r="C16" s="65"/>
      <c r="D16" s="284">
        <f t="shared" si="1"/>
        <v>200</v>
      </c>
      <c r="E16" s="574"/>
      <c r="F16" s="575"/>
      <c r="G16" s="576"/>
      <c r="H16" s="574"/>
      <c r="I16" s="575"/>
      <c r="J16" s="576"/>
      <c r="K16" s="574"/>
      <c r="L16" s="575"/>
      <c r="M16" s="576"/>
      <c r="N16" s="574"/>
      <c r="O16" s="575"/>
      <c r="P16" s="576"/>
      <c r="Q16" s="275"/>
      <c r="R16" s="577">
        <f t="shared" si="2"/>
        <v>0</v>
      </c>
      <c r="S16" s="578">
        <f t="shared" si="3"/>
        <v>0</v>
      </c>
      <c r="T16" s="157">
        <f t="shared" si="0"/>
        <v>0</v>
      </c>
      <c r="U16" s="579">
        <f t="shared" si="4"/>
        <v>0</v>
      </c>
      <c r="W16" s="159">
        <f t="shared" si="5"/>
        <v>0</v>
      </c>
      <c r="X16" s="160">
        <f t="shared" si="6"/>
        <v>0</v>
      </c>
    </row>
    <row r="17" spans="1:26" x14ac:dyDescent="0.35">
      <c r="B17" s="65"/>
      <c r="C17" s="65"/>
      <c r="D17" s="284">
        <f t="shared" si="1"/>
        <v>200</v>
      </c>
      <c r="E17" s="574"/>
      <c r="F17" s="575"/>
      <c r="G17" s="576"/>
      <c r="H17" s="574"/>
      <c r="I17" s="575"/>
      <c r="J17" s="576"/>
      <c r="K17" s="574"/>
      <c r="L17" s="575"/>
      <c r="M17" s="576"/>
      <c r="N17" s="574"/>
      <c r="O17" s="575"/>
      <c r="P17" s="576"/>
      <c r="Q17" s="275"/>
      <c r="R17" s="577">
        <f t="shared" si="2"/>
        <v>0</v>
      </c>
      <c r="S17" s="578">
        <f t="shared" si="3"/>
        <v>0</v>
      </c>
      <c r="T17" s="157">
        <f t="shared" si="0"/>
        <v>0</v>
      </c>
      <c r="U17" s="579">
        <f t="shared" si="4"/>
        <v>0</v>
      </c>
      <c r="W17" s="159">
        <f t="shared" si="5"/>
        <v>0</v>
      </c>
      <c r="X17" s="160">
        <f t="shared" si="6"/>
        <v>0</v>
      </c>
    </row>
    <row r="18" spans="1:26" x14ac:dyDescent="0.35">
      <c r="B18" s="65"/>
      <c r="C18" s="65"/>
      <c r="D18" s="284">
        <f t="shared" si="1"/>
        <v>200</v>
      </c>
      <c r="E18" s="574"/>
      <c r="F18" s="575"/>
      <c r="G18" s="576"/>
      <c r="H18" s="574"/>
      <c r="I18" s="575"/>
      <c r="J18" s="576"/>
      <c r="K18" s="574"/>
      <c r="L18" s="575"/>
      <c r="M18" s="576"/>
      <c r="N18" s="574"/>
      <c r="O18" s="575"/>
      <c r="P18" s="576"/>
      <c r="Q18" s="275"/>
      <c r="R18" s="577">
        <f t="shared" si="2"/>
        <v>0</v>
      </c>
      <c r="S18" s="578">
        <f t="shared" si="3"/>
        <v>0</v>
      </c>
      <c r="T18" s="157">
        <f t="shared" si="0"/>
        <v>0</v>
      </c>
      <c r="U18" s="579">
        <f t="shared" si="4"/>
        <v>0</v>
      </c>
      <c r="W18" s="159">
        <f t="shared" si="5"/>
        <v>0</v>
      </c>
      <c r="X18" s="160">
        <f t="shared" si="6"/>
        <v>0</v>
      </c>
    </row>
    <row r="19" spans="1:26" ht="13.5" thickBot="1" x14ac:dyDescent="0.4">
      <c r="A19" s="68">
        <f>Charterer!A10</f>
        <v>7</v>
      </c>
      <c r="B19" s="65"/>
      <c r="C19" s="65"/>
      <c r="D19" s="284">
        <f t="shared" si="1"/>
        <v>200</v>
      </c>
      <c r="E19" s="167">
        <v>0</v>
      </c>
      <c r="F19" s="168">
        <v>0</v>
      </c>
      <c r="G19" s="169">
        <v>0</v>
      </c>
      <c r="H19" s="167">
        <v>0</v>
      </c>
      <c r="I19" s="168">
        <v>0</v>
      </c>
      <c r="J19" s="169">
        <v>0</v>
      </c>
      <c r="K19" s="167">
        <v>0</v>
      </c>
      <c r="L19" s="168">
        <v>0</v>
      </c>
      <c r="M19" s="169">
        <v>0</v>
      </c>
      <c r="N19" s="167">
        <v>0</v>
      </c>
      <c r="O19" s="168">
        <v>0</v>
      </c>
      <c r="P19" s="169">
        <v>0</v>
      </c>
      <c r="Q19" s="275"/>
      <c r="R19" s="577">
        <f t="shared" si="2"/>
        <v>0</v>
      </c>
      <c r="S19" s="578">
        <f t="shared" si="3"/>
        <v>0</v>
      </c>
      <c r="T19" s="157">
        <f t="shared" si="0"/>
        <v>0</v>
      </c>
      <c r="U19" s="579">
        <f t="shared" si="4"/>
        <v>0</v>
      </c>
      <c r="W19" s="159">
        <f t="shared" si="5"/>
        <v>0</v>
      </c>
      <c r="X19" s="160">
        <f t="shared" si="6"/>
        <v>0</v>
      </c>
    </row>
    <row r="20" spans="1:26" ht="13.5" thickBot="1" x14ac:dyDescent="0.45">
      <c r="D20" s="284"/>
      <c r="E20" s="170">
        <f>SUM(E4:E19)</f>
        <v>0.38958333333333328</v>
      </c>
      <c r="F20" s="171">
        <f t="shared" ref="F20:P20" si="7">SUM(F4:F19)</f>
        <v>0.95277777777777772</v>
      </c>
      <c r="G20" s="172">
        <f t="shared" si="7"/>
        <v>0</v>
      </c>
      <c r="H20" s="172">
        <f t="shared" si="7"/>
        <v>0</v>
      </c>
      <c r="I20" s="173">
        <f t="shared" si="7"/>
        <v>0.52986111111111112</v>
      </c>
      <c r="J20" s="171">
        <f t="shared" si="7"/>
        <v>0.20069444444444443</v>
      </c>
      <c r="K20" s="172">
        <f t="shared" si="7"/>
        <v>0.36805555555555558</v>
      </c>
      <c r="L20" s="173">
        <f>SUM(L4:L19)</f>
        <v>2.0833333333333332E-2</v>
      </c>
      <c r="M20" s="173">
        <f t="shared" si="7"/>
        <v>6.25E-2</v>
      </c>
      <c r="N20" s="171">
        <f t="shared" si="7"/>
        <v>0</v>
      </c>
      <c r="O20" s="174">
        <f t="shared" si="7"/>
        <v>0</v>
      </c>
      <c r="P20" s="175">
        <f t="shared" si="7"/>
        <v>0</v>
      </c>
      <c r="Q20" s="471">
        <f>SUM(E20:P20)</f>
        <v>2.5243055555555558</v>
      </c>
      <c r="R20" s="468">
        <f>SUM(R4:R19)</f>
        <v>2.5243055555555554</v>
      </c>
      <c r="S20" s="469">
        <f>SUM(S4:S19)</f>
        <v>1.3541666666666667</v>
      </c>
      <c r="T20" s="469">
        <f>SUM(T4:T19)</f>
        <v>1.0520833333333335</v>
      </c>
      <c r="U20" s="469">
        <f>SUM(U4:U19)</f>
        <v>0.11805555555555541</v>
      </c>
      <c r="V20" s="470">
        <f>S20+T20+U20</f>
        <v>2.5243055555555554</v>
      </c>
    </row>
    <row r="21" spans="1:26" s="178" customFormat="1" ht="53.25" customHeight="1" thickBot="1" x14ac:dyDescent="0.5">
      <c r="A21" s="177"/>
      <c r="D21" s="285"/>
      <c r="E21" s="179">
        <f>E20</f>
        <v>0.38958333333333328</v>
      </c>
      <c r="F21" s="180">
        <f>E21+F20</f>
        <v>1.3423611111111109</v>
      </c>
      <c r="G21" s="180">
        <f t="shared" ref="G21:P21" si="8">F21+G20</f>
        <v>1.3423611111111109</v>
      </c>
      <c r="H21" s="181">
        <f t="shared" si="8"/>
        <v>1.3423611111111109</v>
      </c>
      <c r="I21" s="180">
        <f t="shared" si="8"/>
        <v>1.872222222222222</v>
      </c>
      <c r="J21" s="180">
        <f t="shared" si="8"/>
        <v>2.0729166666666665</v>
      </c>
      <c r="K21" s="181">
        <f t="shared" si="8"/>
        <v>2.4409722222222223</v>
      </c>
      <c r="L21" s="180">
        <f t="shared" si="8"/>
        <v>2.4618055555555558</v>
      </c>
      <c r="M21" s="180">
        <f t="shared" si="8"/>
        <v>2.5243055555555558</v>
      </c>
      <c r="N21" s="181">
        <f t="shared" si="8"/>
        <v>2.5243055555555558</v>
      </c>
      <c r="O21" s="180">
        <f t="shared" si="8"/>
        <v>2.5243055555555558</v>
      </c>
      <c r="P21" s="182">
        <f t="shared" si="8"/>
        <v>2.5243055555555558</v>
      </c>
      <c r="Q21" s="183"/>
      <c r="R21" s="176"/>
      <c r="S21" s="176"/>
      <c r="T21" s="176"/>
      <c r="U21" s="176"/>
      <c r="X21" s="184"/>
      <c r="Z21" s="139"/>
    </row>
    <row r="22" spans="1:26" x14ac:dyDescent="0.4">
      <c r="N22" s="255"/>
    </row>
    <row r="23" spans="1:26" x14ac:dyDescent="0.4">
      <c r="H23" s="255"/>
      <c r="I23" s="256"/>
      <c r="K23" s="164"/>
      <c r="L23" s="165"/>
      <c r="M23" s="166" t="s">
        <v>129</v>
      </c>
      <c r="N23" s="255"/>
      <c r="O23" s="256"/>
    </row>
    <row r="24" spans="1:26" x14ac:dyDescent="0.4">
      <c r="H24" s="255"/>
      <c r="I24" s="256"/>
      <c r="K24" s="164"/>
      <c r="L24" s="165"/>
      <c r="M24" s="262"/>
    </row>
    <row r="25" spans="1:26" x14ac:dyDescent="0.4">
      <c r="H25" s="255"/>
      <c r="I25" s="256"/>
      <c r="L25" s="256"/>
      <c r="M25" s="257"/>
    </row>
    <row r="26" spans="1:26" x14ac:dyDescent="0.4">
      <c r="H26" s="255"/>
      <c r="I26" s="256"/>
    </row>
    <row r="27" spans="1:26" x14ac:dyDescent="0.4">
      <c r="I27" s="256"/>
      <c r="L27" s="256"/>
      <c r="M27" s="257"/>
    </row>
    <row r="28" spans="1:26" x14ac:dyDescent="0.4">
      <c r="I28" s="256"/>
    </row>
    <row r="29" spans="1:26" x14ac:dyDescent="0.4">
      <c r="I29" s="256"/>
      <c r="L29" s="256"/>
      <c r="M29" s="257"/>
      <c r="N29" s="255"/>
      <c r="O29" s="256"/>
    </row>
    <row r="30" spans="1:26" x14ac:dyDescent="0.4">
      <c r="M30" s="257"/>
    </row>
    <row r="31" spans="1:26" x14ac:dyDescent="0.4">
      <c r="L31" s="256"/>
      <c r="M31" s="257"/>
    </row>
    <row r="33" spans="12:14" x14ac:dyDescent="0.4">
      <c r="L33" s="256"/>
      <c r="M33" s="257"/>
    </row>
    <row r="34" spans="12:14" x14ac:dyDescent="0.4">
      <c r="L34" s="256"/>
      <c r="N34" s="255"/>
    </row>
  </sheetData>
  <mergeCells count="33">
    <mergeCell ref="X6:X7"/>
    <mergeCell ref="R6:R7"/>
    <mergeCell ref="S6:S7"/>
    <mergeCell ref="T6:T7"/>
    <mergeCell ref="U6:U7"/>
    <mergeCell ref="V6:V7"/>
    <mergeCell ref="W6:W7"/>
    <mergeCell ref="L6:L7"/>
    <mergeCell ref="M6:M7"/>
    <mergeCell ref="N6:N7"/>
    <mergeCell ref="O6:O7"/>
    <mergeCell ref="P6:P7"/>
    <mergeCell ref="Q6:Q7"/>
    <mergeCell ref="V4:V5"/>
    <mergeCell ref="W4:W5"/>
    <mergeCell ref="X4:X5"/>
    <mergeCell ref="E6:E7"/>
    <mergeCell ref="F6:F7"/>
    <mergeCell ref="G6:G7"/>
    <mergeCell ref="H6:H7"/>
    <mergeCell ref="I6:I7"/>
    <mergeCell ref="J6:J7"/>
    <mergeCell ref="K6:K7"/>
    <mergeCell ref="Q4:Q5"/>
    <mergeCell ref="R4:R5"/>
    <mergeCell ref="S4:S5"/>
    <mergeCell ref="T4:T5"/>
    <mergeCell ref="U4:U5"/>
    <mergeCell ref="E1:G1"/>
    <mergeCell ref="H1:J1"/>
    <mergeCell ref="K1:M1"/>
    <mergeCell ref="N1:P1"/>
    <mergeCell ref="V1:X1"/>
  </mergeCells>
  <conditionalFormatting sqref="R4:R19">
    <cfRule type="cellIs" dxfId="5" priority="7" operator="between">
      <formula>0.416666666666667</formula>
      <formula>0.833333333333333</formula>
    </cfRule>
    <cfRule type="cellIs" dxfId="4" priority="8" operator="greaterThan">
      <formula>0.833333333333333</formula>
    </cfRule>
  </conditionalFormatting>
  <conditionalFormatting sqref="E20:P20">
    <cfRule type="cellIs" dxfId="3" priority="3" operator="equal">
      <formula>0</formula>
    </cfRule>
    <cfRule type="cellIs" dxfId="2" priority="4" operator="lessThan">
      <formula>0.416666666666667</formula>
    </cfRule>
    <cfRule type="cellIs" dxfId="1" priority="5" operator="greaterThanOrEqual">
      <formula>0.416666666666667</formula>
    </cfRule>
    <cfRule type="cellIs" dxfId="0" priority="6" operator="greaterThanOrEqual">
      <formula>0.833333333333333</formula>
    </cfRule>
  </conditionalFormatting>
  <pageMargins left="0.78740157499999996" right="0.78740157499999996" top="0.984251969" bottom="0.984251969" header="0.4921259845" footer="0.4921259845"/>
  <pageSetup paperSize="9"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T93"/>
  <sheetViews>
    <sheetView view="pageBreakPreview" zoomScaleNormal="100" zoomScaleSheetLayoutView="100" workbookViewId="0">
      <pane ySplit="5" topLeftCell="A20" activePane="bottomLeft" state="frozen"/>
      <selection pane="bottomLeft" activeCell="K27" sqref="K27"/>
    </sheetView>
  </sheetViews>
  <sheetFormatPr baseColWidth="10" defaultColWidth="11.3984375" defaultRowHeight="13.5" x14ac:dyDescent="0.45"/>
  <cols>
    <col min="1" max="1" width="14.1328125" style="113" bestFit="1" customWidth="1"/>
    <col min="2" max="2" width="11.73046875" style="115" bestFit="1" customWidth="1"/>
    <col min="3" max="3" width="5" style="118" customWidth="1"/>
    <col min="4" max="4" width="11.86328125" style="115" bestFit="1" customWidth="1"/>
    <col min="5" max="5" width="5" style="118" customWidth="1"/>
    <col min="6" max="6" width="11.86328125" style="401" bestFit="1" customWidth="1"/>
    <col min="7" max="7" width="11.265625" style="118" customWidth="1"/>
    <col min="8" max="8" width="17.86328125" style="113" customWidth="1"/>
    <col min="9" max="9" width="4.265625" style="136" customWidth="1"/>
    <col min="10" max="10" width="5.3984375" style="136" customWidth="1"/>
    <col min="11" max="11" width="14.1328125" style="113" customWidth="1"/>
    <col min="12" max="12" width="11.86328125" style="113" bestFit="1" customWidth="1"/>
    <col min="13" max="13" width="5" style="113" customWidth="1"/>
    <col min="14" max="14" width="11.86328125" style="113" bestFit="1" customWidth="1"/>
    <col min="15" max="15" width="5" style="113" customWidth="1"/>
    <col min="16" max="16" width="11.86328125" style="113" bestFit="1" customWidth="1"/>
    <col min="17" max="17" width="11.265625" style="113" customWidth="1"/>
    <col min="18" max="18" width="17.86328125" style="113" customWidth="1"/>
    <col min="19" max="19" width="4.3984375" style="134" customWidth="1"/>
    <col min="20" max="20" width="6.3984375" style="134" customWidth="1"/>
    <col min="21" max="16384" width="11.3984375" style="113"/>
  </cols>
  <sheetData>
    <row r="1" spans="1:20" ht="15.4" thickBot="1" x14ac:dyDescent="0.5">
      <c r="A1" s="138" t="s">
        <v>5</v>
      </c>
      <c r="B1" s="122"/>
      <c r="C1" s="123"/>
      <c r="D1" s="122"/>
      <c r="E1" s="123"/>
      <c r="F1" s="390"/>
      <c r="G1" s="124" t="s">
        <v>90</v>
      </c>
      <c r="H1" s="516" t="s">
        <v>199</v>
      </c>
      <c r="K1" s="138" t="s">
        <v>4</v>
      </c>
      <c r="L1" s="122"/>
      <c r="M1" s="123"/>
      <c r="N1" s="122"/>
      <c r="O1" s="123"/>
      <c r="P1" s="390"/>
      <c r="Q1" s="391" t="s">
        <v>90</v>
      </c>
      <c r="R1" s="516" t="s">
        <v>199</v>
      </c>
    </row>
    <row r="2" spans="1:20" ht="15" x14ac:dyDescent="0.45">
      <c r="A2" s="125"/>
      <c r="B2" s="691"/>
      <c r="C2" s="691"/>
      <c r="D2" s="692" t="s">
        <v>279</v>
      </c>
      <c r="E2" s="692"/>
      <c r="F2" s="392"/>
      <c r="G2" s="126" t="s">
        <v>91</v>
      </c>
      <c r="H2" s="518">
        <v>8814</v>
      </c>
      <c r="K2" s="491"/>
      <c r="L2" s="692" t="s">
        <v>279</v>
      </c>
      <c r="M2" s="692"/>
      <c r="N2" s="693"/>
      <c r="O2" s="693"/>
      <c r="P2" s="492"/>
      <c r="Q2" s="391" t="s">
        <v>91</v>
      </c>
      <c r="R2" s="517">
        <f>14926+50</f>
        <v>14976</v>
      </c>
    </row>
    <row r="3" spans="1:20" ht="15" x14ac:dyDescent="0.45">
      <c r="A3" s="127" t="s">
        <v>0</v>
      </c>
      <c r="B3" s="691" t="s">
        <v>8</v>
      </c>
      <c r="C3" s="691"/>
      <c r="D3" s="691" t="s">
        <v>93</v>
      </c>
      <c r="E3" s="691"/>
      <c r="F3" s="393" t="s">
        <v>31</v>
      </c>
      <c r="G3" s="119" t="s">
        <v>92</v>
      </c>
      <c r="H3" s="519" t="s">
        <v>200</v>
      </c>
      <c r="K3" s="127" t="s">
        <v>0</v>
      </c>
      <c r="L3" s="691" t="s">
        <v>8</v>
      </c>
      <c r="M3" s="691"/>
      <c r="N3" s="691" t="s">
        <v>93</v>
      </c>
      <c r="O3" s="691"/>
      <c r="P3" s="393" t="s">
        <v>31</v>
      </c>
      <c r="Q3" s="394" t="s">
        <v>92</v>
      </c>
      <c r="R3" s="519" t="s">
        <v>200</v>
      </c>
    </row>
    <row r="4" spans="1:20" x14ac:dyDescent="0.45">
      <c r="A4" s="128"/>
      <c r="B4" s="116" t="s">
        <v>18</v>
      </c>
      <c r="C4" s="117" t="s">
        <v>94</v>
      </c>
      <c r="D4" s="116" t="s">
        <v>18</v>
      </c>
      <c r="E4" s="117" t="s">
        <v>94</v>
      </c>
      <c r="F4" s="395" t="s">
        <v>18</v>
      </c>
      <c r="G4" s="117" t="s">
        <v>94</v>
      </c>
      <c r="H4" s="129"/>
      <c r="K4" s="128"/>
      <c r="L4" s="116" t="s">
        <v>18</v>
      </c>
      <c r="M4" s="117" t="s">
        <v>94</v>
      </c>
      <c r="N4" s="116" t="s">
        <v>18</v>
      </c>
      <c r="O4" s="117" t="s">
        <v>94</v>
      </c>
      <c r="P4" s="395" t="s">
        <v>18</v>
      </c>
      <c r="Q4" s="396" t="s">
        <v>94</v>
      </c>
      <c r="R4" s="129"/>
    </row>
    <row r="5" spans="1:20" s="114" customFormat="1" ht="22.5" customHeight="1" thickBot="1" x14ac:dyDescent="0.5">
      <c r="A5" s="133" t="s">
        <v>95</v>
      </c>
      <c r="B5" s="520">
        <v>8799</v>
      </c>
      <c r="C5" s="521">
        <v>9</v>
      </c>
      <c r="D5" s="585">
        <f>B5</f>
        <v>8799</v>
      </c>
      <c r="E5" s="130">
        <f>C5</f>
        <v>9</v>
      </c>
      <c r="F5" s="397">
        <f>H2-D5-1</f>
        <v>14</v>
      </c>
      <c r="G5" s="400">
        <f>60-E5</f>
        <v>51</v>
      </c>
      <c r="H5" s="131"/>
      <c r="I5" s="137"/>
      <c r="J5" s="137">
        <f>G5/60+F5</f>
        <v>14.85</v>
      </c>
      <c r="K5" s="525" t="s">
        <v>95</v>
      </c>
      <c r="L5" s="526">
        <v>14941</v>
      </c>
      <c r="M5" s="527">
        <v>46</v>
      </c>
      <c r="N5" s="528">
        <f>L5</f>
        <v>14941</v>
      </c>
      <c r="O5" s="529">
        <f>M5</f>
        <v>46</v>
      </c>
      <c r="P5" s="530">
        <f>IF(M5=0,R2-L5,R2-L5-1)</f>
        <v>34</v>
      </c>
      <c r="Q5" s="531">
        <f>IF(M5=0,0,60-M5)</f>
        <v>14</v>
      </c>
      <c r="R5" s="534"/>
      <c r="S5" s="135"/>
      <c r="T5" s="135">
        <f>Q5/60+P5</f>
        <v>34.233333333333334</v>
      </c>
    </row>
    <row r="6" spans="1:20" s="114" customFormat="1" ht="22.5" customHeight="1" x14ac:dyDescent="0.45">
      <c r="A6" s="595">
        <f>'Bord-B. D-EFLF'!A328</f>
        <v>43485</v>
      </c>
      <c r="B6" s="586">
        <f>'Bord-B. D-EFLF'!J328</f>
        <v>1</v>
      </c>
      <c r="C6" s="587">
        <f>'Bord-B. D-EFLF'!K328</f>
        <v>24.000000000000021</v>
      </c>
      <c r="D6" s="545">
        <f>IF(C6+E5&lt;60,B6+D5,B6+D5+1)</f>
        <v>8800</v>
      </c>
      <c r="E6" s="546">
        <f>IF(C6+E5&lt;60,C6+E5,C6+E5-60)</f>
        <v>33.000000000000021</v>
      </c>
      <c r="F6" s="536">
        <f>ROUNDDOWN(J6,0)</f>
        <v>13</v>
      </c>
      <c r="G6" s="537">
        <f>(J6-F6)*60</f>
        <v>26.999999999999957</v>
      </c>
      <c r="H6" s="386"/>
      <c r="I6" s="137">
        <f t="shared" ref="I6:I12" si="0">C6/60+B6</f>
        <v>1.4000000000000004</v>
      </c>
      <c r="J6" s="137">
        <f t="shared" ref="J6:J12" si="1">J5-I6</f>
        <v>13.45</v>
      </c>
      <c r="K6" s="594">
        <f>'Bord-B. D-EOYS'!A363</f>
        <v>43463</v>
      </c>
      <c r="L6" s="586">
        <f>'Bord-B. D-EOYS'!J363</f>
        <v>0</v>
      </c>
      <c r="M6" s="587">
        <f>'Bord-B. D-EOYS'!K363</f>
        <v>14.999999999999947</v>
      </c>
      <c r="N6" s="548">
        <f>IF(M6+O5&lt;60,L6+N5,L6+N5+1)</f>
        <v>14942</v>
      </c>
      <c r="O6" s="546">
        <f>IF(M6+O5&lt;60,M6+O5,M6+O5-60)</f>
        <v>0.99999999999994316</v>
      </c>
      <c r="P6" s="536">
        <f>ROUNDDOWN(T6,0)</f>
        <v>33</v>
      </c>
      <c r="Q6" s="537">
        <f>(T6-P6)*60</f>
        <v>59.000000000000057</v>
      </c>
      <c r="R6" s="286"/>
      <c r="S6" s="135">
        <f t="shared" ref="S6:S12" si="2">M6/60+L6</f>
        <v>0.24999999999999911</v>
      </c>
      <c r="T6" s="135">
        <f t="shared" ref="T6:T12" si="3">T5-S6</f>
        <v>33.983333333333334</v>
      </c>
    </row>
    <row r="7" spans="1:20" s="114" customFormat="1" ht="22.5" customHeight="1" x14ac:dyDescent="0.45">
      <c r="A7" s="596">
        <f>'Bord-B. D-EFLF'!A329</f>
        <v>43485</v>
      </c>
      <c r="B7" s="597">
        <f>'Bord-B. D-EFLF'!J329</f>
        <v>1</v>
      </c>
      <c r="C7" s="598">
        <f>'Bord-B. D-EFLF'!K329</f>
        <v>33.999999999999986</v>
      </c>
      <c r="D7" s="599">
        <f t="shared" ref="D7:D14" si="4">IF(C7+E6&lt;60,B7+D6,B7+D6+1)</f>
        <v>8802</v>
      </c>
      <c r="E7" s="600">
        <f t="shared" ref="E7:E14" si="5">IF(C7+E6&lt;60,C7+E6,C7+E6-60)</f>
        <v>7</v>
      </c>
      <c r="F7" s="601">
        <f>ROUNDDOWN(J7,0)</f>
        <v>11</v>
      </c>
      <c r="G7" s="602">
        <f>(J7-F7)*60</f>
        <v>52.999999999999972</v>
      </c>
      <c r="H7" s="690" t="s">
        <v>281</v>
      </c>
      <c r="I7" s="137">
        <f t="shared" si="0"/>
        <v>1.5666666666666664</v>
      </c>
      <c r="J7" s="137">
        <f t="shared" si="1"/>
        <v>11.883333333333333</v>
      </c>
      <c r="K7" s="609">
        <f>'Bord-B. D-EOYS'!A364</f>
        <v>43485</v>
      </c>
      <c r="L7" s="610">
        <f>'Bord-B. D-EOYS'!J364</f>
        <v>0</v>
      </c>
      <c r="M7" s="600">
        <f>'Bord-B. D-EOYS'!K364</f>
        <v>5.9999999999999787</v>
      </c>
      <c r="N7" s="610">
        <f>IF(M7+O6&lt;60,L7+N6,L7+N6+1)</f>
        <v>14942</v>
      </c>
      <c r="O7" s="600">
        <f>IF(M7+O6&lt;60,M7+O6,M7+O6-60)</f>
        <v>6.9999999999999218</v>
      </c>
      <c r="P7" s="611">
        <f>ROUNDDOWN(T7,0)</f>
        <v>33</v>
      </c>
      <c r="Q7" s="612">
        <f>(T7-P7)*60</f>
        <v>52.999999999999972</v>
      </c>
      <c r="R7" s="689" t="s">
        <v>280</v>
      </c>
      <c r="S7" s="135">
        <f t="shared" si="2"/>
        <v>9.9999999999999645E-2</v>
      </c>
      <c r="T7" s="135">
        <f t="shared" si="3"/>
        <v>33.883333333333333</v>
      </c>
    </row>
    <row r="8" spans="1:20" s="114" customFormat="1" ht="22.5" customHeight="1" x14ac:dyDescent="0.45">
      <c r="A8" s="596">
        <f>'Bord-B. D-EFLF'!A330</f>
        <v>43486</v>
      </c>
      <c r="B8" s="597">
        <f>'Bord-B. D-EFLF'!J330</f>
        <v>2</v>
      </c>
      <c r="C8" s="598">
        <f>'Bord-B. D-EFLF'!K330</f>
        <v>39.999999999999915</v>
      </c>
      <c r="D8" s="599">
        <f t="shared" si="4"/>
        <v>8804</v>
      </c>
      <c r="E8" s="600">
        <f t="shared" si="5"/>
        <v>46.999999999999915</v>
      </c>
      <c r="F8" s="601">
        <f>ROUNDDOWN(J8,0)</f>
        <v>9</v>
      </c>
      <c r="G8" s="602">
        <f>(J8-F8)*60</f>
        <v>13.000000000000114</v>
      </c>
      <c r="H8" s="690"/>
      <c r="I8" s="137">
        <f t="shared" si="0"/>
        <v>2.6666666666666652</v>
      </c>
      <c r="J8" s="137">
        <f t="shared" si="1"/>
        <v>9.2166666666666686</v>
      </c>
      <c r="K8" s="609">
        <f>'Bord-B. D-EOYS'!A365</f>
        <v>43497</v>
      </c>
      <c r="L8" s="610">
        <f>'Bord-B. D-EOYS'!J365</f>
        <v>0</v>
      </c>
      <c r="M8" s="600">
        <f>'Bord-B. D-EOYS'!K365</f>
        <v>20.999999999999925</v>
      </c>
      <c r="N8" s="610">
        <f t="shared" ref="N8:N39" si="6">IF(M8+O7&lt;60,L8+N7,L8+N7+1)</f>
        <v>14942</v>
      </c>
      <c r="O8" s="600">
        <f t="shared" ref="O8:O39" si="7">IF(M8+O7&lt;60,M8+O7,M8+O7-60)</f>
        <v>27.999999999999847</v>
      </c>
      <c r="P8" s="611">
        <f t="shared" ref="P8:P39" si="8">ROUNDDOWN(T8,0)</f>
        <v>33</v>
      </c>
      <c r="Q8" s="612">
        <f t="shared" ref="Q8:Q39" si="9">(T8-P8)*60</f>
        <v>31.999999999999886</v>
      </c>
      <c r="R8" s="689"/>
      <c r="S8" s="135">
        <f t="shared" si="2"/>
        <v>0.34999999999999876</v>
      </c>
      <c r="T8" s="135">
        <f t="shared" si="3"/>
        <v>33.533333333333331</v>
      </c>
    </row>
    <row r="9" spans="1:20" s="114" customFormat="1" ht="22.5" customHeight="1" x14ac:dyDescent="0.45">
      <c r="A9" s="596">
        <f>'Bord-B. D-EFLF'!A331</f>
        <v>43487</v>
      </c>
      <c r="B9" s="597">
        <f>'Bord-B. D-EFLF'!J331</f>
        <v>0</v>
      </c>
      <c r="C9" s="598">
        <f>'Bord-B. D-EFLF'!K331</f>
        <v>51.000000000000057</v>
      </c>
      <c r="D9" s="599">
        <f>IF(C9+E8&lt;60,B9+D8,B9+D8+1)</f>
        <v>8805</v>
      </c>
      <c r="E9" s="600">
        <f t="shared" si="5"/>
        <v>37.999999999999972</v>
      </c>
      <c r="F9" s="601">
        <f t="shared" ref="F9:F16" si="10">ROUNDDOWN(J9,0)</f>
        <v>8</v>
      </c>
      <c r="G9" s="602">
        <f t="shared" ref="G9:G16" si="11">(J9-F9)*60</f>
        <v>22.000000000000028</v>
      </c>
      <c r="H9" s="690"/>
      <c r="I9" s="137">
        <f t="shared" si="0"/>
        <v>0.85000000000000098</v>
      </c>
      <c r="J9" s="137">
        <f t="shared" si="1"/>
        <v>8.3666666666666671</v>
      </c>
      <c r="K9" s="609">
        <f>'Bord-B. D-EOYS'!A366</f>
        <v>43498</v>
      </c>
      <c r="L9" s="610">
        <f>'Bord-B. D-EOYS'!J366</f>
        <v>1</v>
      </c>
      <c r="M9" s="600">
        <f>'Bord-B. D-EOYS'!K366</f>
        <v>29.000000000000004</v>
      </c>
      <c r="N9" s="610">
        <f t="shared" si="6"/>
        <v>14943</v>
      </c>
      <c r="O9" s="600">
        <f t="shared" si="7"/>
        <v>56.999999999999851</v>
      </c>
      <c r="P9" s="611">
        <f t="shared" si="8"/>
        <v>32</v>
      </c>
      <c r="Q9" s="612">
        <f t="shared" si="9"/>
        <v>2.9999999999998295</v>
      </c>
      <c r="R9" s="689"/>
      <c r="S9" s="135">
        <f t="shared" si="2"/>
        <v>1.4833333333333334</v>
      </c>
      <c r="T9" s="135">
        <f t="shared" si="3"/>
        <v>32.049999999999997</v>
      </c>
    </row>
    <row r="10" spans="1:20" s="114" customFormat="1" ht="22.5" customHeight="1" x14ac:dyDescent="0.45">
      <c r="A10" s="596">
        <f>'Bord-B. D-EFLF'!A332</f>
        <v>43487</v>
      </c>
      <c r="B10" s="597">
        <f>'Bord-B. D-EFLF'!J332</f>
        <v>1</v>
      </c>
      <c r="C10" s="598">
        <f>'Bord-B. D-EFLF'!K332</f>
        <v>52.999999999999915</v>
      </c>
      <c r="D10" s="599">
        <f t="shared" si="4"/>
        <v>8807</v>
      </c>
      <c r="E10" s="600">
        <f t="shared" si="5"/>
        <v>30.999999999999886</v>
      </c>
      <c r="F10" s="601">
        <f t="shared" si="10"/>
        <v>6</v>
      </c>
      <c r="G10" s="602">
        <f t="shared" si="11"/>
        <v>29.00000000000011</v>
      </c>
      <c r="H10" s="690"/>
      <c r="I10" s="137">
        <f t="shared" si="0"/>
        <v>1.883333333333332</v>
      </c>
      <c r="J10" s="137">
        <f t="shared" si="1"/>
        <v>6.4833333333333352</v>
      </c>
      <c r="K10" s="609">
        <f>'Bord-B. D-EOYS'!A367</f>
        <v>43515</v>
      </c>
      <c r="L10" s="610">
        <f>'Bord-B. D-EOYS'!J367</f>
        <v>0</v>
      </c>
      <c r="M10" s="600">
        <f>'Bord-B. D-EOYS'!K367</f>
        <v>17.000000000000021</v>
      </c>
      <c r="N10" s="610">
        <f t="shared" si="6"/>
        <v>14944</v>
      </c>
      <c r="O10" s="600">
        <f t="shared" si="7"/>
        <v>13.999999999999872</v>
      </c>
      <c r="P10" s="611">
        <f t="shared" si="8"/>
        <v>31</v>
      </c>
      <c r="Q10" s="612">
        <f t="shared" si="9"/>
        <v>45.99999999999973</v>
      </c>
      <c r="R10" s="689"/>
      <c r="S10" s="135">
        <f t="shared" si="2"/>
        <v>0.28333333333333371</v>
      </c>
      <c r="T10" s="135">
        <f t="shared" si="3"/>
        <v>31.766666666666662</v>
      </c>
    </row>
    <row r="11" spans="1:20" s="114" customFormat="1" ht="22.5" customHeight="1" x14ac:dyDescent="0.45">
      <c r="A11" s="596">
        <f>'Bord-B. D-EFLF'!A333</f>
        <v>43487</v>
      </c>
      <c r="B11" s="597">
        <f>'Bord-B. D-EFLF'!J333</f>
        <v>2</v>
      </c>
      <c r="C11" s="598">
        <f>'Bord-B. D-EFLF'!K333</f>
        <v>30.999999999999943</v>
      </c>
      <c r="D11" s="599">
        <f t="shared" si="4"/>
        <v>8810</v>
      </c>
      <c r="E11" s="600">
        <f t="shared" si="5"/>
        <v>1.9999999999998295</v>
      </c>
      <c r="F11" s="601">
        <f t="shared" si="10"/>
        <v>3</v>
      </c>
      <c r="G11" s="602">
        <f t="shared" si="11"/>
        <v>58.000000000000171</v>
      </c>
      <c r="H11" s="265"/>
      <c r="I11" s="137">
        <f t="shared" si="0"/>
        <v>2.5166666666666657</v>
      </c>
      <c r="J11" s="137">
        <f t="shared" si="1"/>
        <v>3.9666666666666694</v>
      </c>
      <c r="K11" s="609">
        <f>'Bord-B. D-EOYS'!A368</f>
        <v>43515</v>
      </c>
      <c r="L11" s="610">
        <f>'Bord-B. D-EOYS'!J368</f>
        <v>1</v>
      </c>
      <c r="M11" s="600">
        <f>'Bord-B. D-EOYS'!K368</f>
        <v>2.6645352591003757E-14</v>
      </c>
      <c r="N11" s="610">
        <f t="shared" si="6"/>
        <v>14945</v>
      </c>
      <c r="O11" s="600">
        <f t="shared" si="7"/>
        <v>13.999999999999899</v>
      </c>
      <c r="P11" s="611">
        <f t="shared" si="8"/>
        <v>30</v>
      </c>
      <c r="Q11" s="612">
        <f t="shared" si="9"/>
        <v>45.99999999999973</v>
      </c>
      <c r="R11" s="120"/>
      <c r="S11" s="135">
        <f t="shared" si="2"/>
        <v>1.0000000000000004</v>
      </c>
      <c r="T11" s="135">
        <f t="shared" si="3"/>
        <v>30.766666666666662</v>
      </c>
    </row>
    <row r="12" spans="1:20" s="114" customFormat="1" ht="22.5" customHeight="1" thickBot="1" x14ac:dyDescent="0.5">
      <c r="A12" s="603">
        <f>'Bord-B. D-EFLF'!A334</f>
        <v>43488</v>
      </c>
      <c r="B12" s="604">
        <f>'Bord-B. D-EFLF'!J334</f>
        <v>0</v>
      </c>
      <c r="C12" s="605">
        <f>'Bord-B. D-EFLF'!K334</f>
        <v>19.999999999999929</v>
      </c>
      <c r="D12" s="542">
        <f t="shared" si="4"/>
        <v>8810</v>
      </c>
      <c r="E12" s="541">
        <f t="shared" si="5"/>
        <v>21.999999999999758</v>
      </c>
      <c r="F12" s="606">
        <f t="shared" si="10"/>
        <v>3</v>
      </c>
      <c r="G12" s="607">
        <f t="shared" si="11"/>
        <v>38.000000000000242</v>
      </c>
      <c r="H12" s="351"/>
      <c r="I12" s="137">
        <f t="shared" si="0"/>
        <v>0.33333333333333215</v>
      </c>
      <c r="J12" s="137">
        <f t="shared" si="1"/>
        <v>3.6333333333333373</v>
      </c>
      <c r="K12" s="613">
        <f>'Bord-B. D-EOYS'!A369</f>
        <v>43515</v>
      </c>
      <c r="L12" s="540">
        <f>'Bord-B. D-EOYS'!J369</f>
        <v>0</v>
      </c>
      <c r="M12" s="541">
        <f>'Bord-B. D-EOYS'!K369</f>
        <v>18.000000000000096</v>
      </c>
      <c r="N12" s="540">
        <f t="shared" si="6"/>
        <v>14945</v>
      </c>
      <c r="O12" s="541">
        <f t="shared" si="7"/>
        <v>31.999999999999993</v>
      </c>
      <c r="P12" s="606">
        <f t="shared" si="8"/>
        <v>30</v>
      </c>
      <c r="Q12" s="607">
        <f t="shared" si="9"/>
        <v>27.999999999999687</v>
      </c>
      <c r="R12" s="121"/>
      <c r="S12" s="135">
        <f t="shared" si="2"/>
        <v>0.3000000000000016</v>
      </c>
      <c r="T12" s="135">
        <f t="shared" si="3"/>
        <v>30.466666666666661</v>
      </c>
    </row>
    <row r="13" spans="1:20" s="264" customFormat="1" ht="22.5" hidden="1" customHeight="1" x14ac:dyDescent="0.45">
      <c r="A13" s="547">
        <f>'Bord-B. D-EFLF'!A335</f>
        <v>0</v>
      </c>
      <c r="B13" s="548">
        <f>'Bord-B. D-EFLF'!J335</f>
        <v>8806</v>
      </c>
      <c r="C13" s="546">
        <f>'Bord-B. D-EFLF'!K335</f>
        <v>261.99999999999977</v>
      </c>
      <c r="D13" s="545">
        <f t="shared" si="4"/>
        <v>17617</v>
      </c>
      <c r="E13" s="546">
        <f t="shared" si="5"/>
        <v>223.99999999999955</v>
      </c>
      <c r="F13" s="536">
        <f t="shared" si="10"/>
        <v>3</v>
      </c>
      <c r="G13" s="537">
        <f t="shared" si="11"/>
        <v>38.000000000000242</v>
      </c>
      <c r="H13" s="369"/>
      <c r="I13" s="137">
        <v>0</v>
      </c>
      <c r="J13" s="137">
        <f t="shared" ref="J13:J20" si="12">J12-I13</f>
        <v>3.6333333333333373</v>
      </c>
      <c r="K13" s="614">
        <f>'Bord-B. D-EOYS'!A370</f>
        <v>0</v>
      </c>
      <c r="L13" s="548">
        <f>'Bord-B. D-EOYS'!J370</f>
        <v>14943.4</v>
      </c>
      <c r="M13" s="546">
        <f>'Bord-B. D-EOYS'!K370</f>
        <v>151.99999999999997</v>
      </c>
      <c r="N13" s="548">
        <f t="shared" si="6"/>
        <v>29889.4</v>
      </c>
      <c r="O13" s="546">
        <f t="shared" si="7"/>
        <v>123.99999999999997</v>
      </c>
      <c r="P13" s="536">
        <f t="shared" si="8"/>
        <v>30</v>
      </c>
      <c r="Q13" s="537">
        <f t="shared" si="9"/>
        <v>27.999999999999687</v>
      </c>
      <c r="R13" s="369"/>
      <c r="S13" s="137">
        <v>0</v>
      </c>
      <c r="T13" s="137">
        <f t="shared" ref="T13:T20" si="13">T12-S13</f>
        <v>30.466666666666661</v>
      </c>
    </row>
    <row r="14" spans="1:20" s="264" customFormat="1" ht="22.5" hidden="1" customHeight="1" thickBot="1" x14ac:dyDescent="0.5">
      <c r="A14" s="603" t="str">
        <f>'Bord-B. D-EFLF'!A336</f>
        <v>Zwischenstände</v>
      </c>
      <c r="B14" s="604">
        <f>'Bord-B. D-EFLF'!J336</f>
        <v>8810</v>
      </c>
      <c r="C14" s="605">
        <f>'Bord-B. D-EFLF'!K336</f>
        <v>22</v>
      </c>
      <c r="D14" s="608">
        <f t="shared" si="4"/>
        <v>26428</v>
      </c>
      <c r="E14" s="541">
        <f t="shared" si="5"/>
        <v>185.99999999999955</v>
      </c>
      <c r="F14" s="606">
        <f t="shared" si="10"/>
        <v>3</v>
      </c>
      <c r="G14" s="607">
        <f t="shared" si="11"/>
        <v>38.000000000000242</v>
      </c>
      <c r="H14" s="351"/>
      <c r="I14" s="137">
        <v>0</v>
      </c>
      <c r="J14" s="137">
        <f t="shared" si="12"/>
        <v>3.6333333333333373</v>
      </c>
      <c r="K14" s="613" t="str">
        <f>'Bord-B. D-EOYS'!A371</f>
        <v>Zwischenstände</v>
      </c>
      <c r="L14" s="540">
        <f>'Bord-B. D-EOYS'!J371</f>
        <v>14945.4</v>
      </c>
      <c r="M14" s="541">
        <f>'Bord-B. D-EOYS'!K371</f>
        <v>32</v>
      </c>
      <c r="N14" s="540">
        <f t="shared" si="6"/>
        <v>44835.8</v>
      </c>
      <c r="O14" s="541">
        <f t="shared" si="7"/>
        <v>95.999999999999972</v>
      </c>
      <c r="P14" s="606">
        <f t="shared" si="8"/>
        <v>30</v>
      </c>
      <c r="Q14" s="607">
        <f t="shared" si="9"/>
        <v>27.999999999999687</v>
      </c>
      <c r="R14" s="351"/>
      <c r="S14" s="137">
        <v>0</v>
      </c>
      <c r="T14" s="137">
        <f t="shared" si="13"/>
        <v>30.466666666666661</v>
      </c>
    </row>
    <row r="15" spans="1:20" s="114" customFormat="1" ht="22.5" customHeight="1" x14ac:dyDescent="0.45">
      <c r="A15" s="547">
        <f>'Bord-B. D-EFLF'!A337</f>
        <v>43496</v>
      </c>
      <c r="B15" s="548">
        <f>'Bord-B. D-EFLF'!J337</f>
        <v>0</v>
      </c>
      <c r="C15" s="546">
        <f>'Bord-B. D-EFLF'!K337</f>
        <v>5.9999999999999787</v>
      </c>
      <c r="D15" s="545">
        <f>IF(C15+E12&lt;60,B15+D12,B15+D12+1)</f>
        <v>8810</v>
      </c>
      <c r="E15" s="546">
        <f>IF(C15+E12&lt;60,C15+E12,C15+E12-60)</f>
        <v>27.999999999999737</v>
      </c>
      <c r="F15" s="536">
        <f t="shared" si="10"/>
        <v>3</v>
      </c>
      <c r="G15" s="537">
        <f t="shared" si="11"/>
        <v>32.000000000000256</v>
      </c>
      <c r="H15" s="386"/>
      <c r="I15" s="137">
        <f t="shared" ref="I15:I21" si="14">C15/60+B15</f>
        <v>9.9999999999999645E-2</v>
      </c>
      <c r="J15" s="137">
        <f t="shared" si="12"/>
        <v>3.5333333333333377</v>
      </c>
      <c r="K15" s="614">
        <f>'Bord-B. D-EOYS'!A372</f>
        <v>43515</v>
      </c>
      <c r="L15" s="548">
        <f>'Bord-B. D-EOYS'!J372</f>
        <v>1</v>
      </c>
      <c r="M15" s="546">
        <f>'Bord-B. D-EOYS'!K372</f>
        <v>24.999999999999858</v>
      </c>
      <c r="N15" s="548">
        <f>IF(M15+O12&lt;60,L15+N12,L15+N12+1)</f>
        <v>14946</v>
      </c>
      <c r="O15" s="546">
        <f>IF(M15+O12&lt;60,M15+O12,M15+O12-60)</f>
        <v>56.999999999999851</v>
      </c>
      <c r="P15" s="536">
        <f t="shared" si="8"/>
        <v>29</v>
      </c>
      <c r="Q15" s="537">
        <f t="shared" si="9"/>
        <v>2.9999999999998295</v>
      </c>
      <c r="R15" s="386"/>
      <c r="S15" s="135">
        <f t="shared" ref="S15:S21" si="15">M15/60+L15</f>
        <v>1.4166666666666643</v>
      </c>
      <c r="T15" s="135">
        <f t="shared" si="13"/>
        <v>29.049999999999997</v>
      </c>
    </row>
    <row r="16" spans="1:20" s="114" customFormat="1" ht="22.5" customHeight="1" x14ac:dyDescent="0.45">
      <c r="A16" s="596">
        <f>'Bord-B. D-EFLF'!A338</f>
        <v>43510</v>
      </c>
      <c r="B16" s="597">
        <f>'Bord-B. D-EFLF'!J338</f>
        <v>1</v>
      </c>
      <c r="C16" s="598">
        <f>'Bord-B. D-EFLF'!K338</f>
        <v>39.999999999999964</v>
      </c>
      <c r="D16" s="599">
        <f t="shared" ref="D16:D23" si="16">IF(C16+E15&lt;60,B16+D15,B16+D15+1)</f>
        <v>8812</v>
      </c>
      <c r="E16" s="600">
        <f t="shared" ref="E16:E23" si="17">IF(C16+E15&lt;60,C16+E15,C16+E15-60)</f>
        <v>7.9999999999997016</v>
      </c>
      <c r="F16" s="601">
        <f t="shared" si="10"/>
        <v>1</v>
      </c>
      <c r="G16" s="602">
        <f t="shared" si="11"/>
        <v>52.000000000000298</v>
      </c>
      <c r="H16" s="690" t="s">
        <v>281</v>
      </c>
      <c r="I16" s="137">
        <f t="shared" si="14"/>
        <v>1.6666666666666661</v>
      </c>
      <c r="J16" s="137">
        <f t="shared" si="12"/>
        <v>1.8666666666666716</v>
      </c>
      <c r="K16" s="609">
        <f>'Bord-B. D-EOYS'!A373</f>
        <v>43519</v>
      </c>
      <c r="L16" s="610">
        <f>'Bord-B. D-EOYS'!J373</f>
        <v>3</v>
      </c>
      <c r="M16" s="600">
        <f>'Bord-B. D-EOYS'!K373</f>
        <v>7.0000000000000551</v>
      </c>
      <c r="N16" s="610">
        <f t="shared" si="6"/>
        <v>14950</v>
      </c>
      <c r="O16" s="600">
        <f t="shared" si="7"/>
        <v>3.9999999999999076</v>
      </c>
      <c r="P16" s="611">
        <f t="shared" si="8"/>
        <v>25</v>
      </c>
      <c r="Q16" s="612">
        <f t="shared" si="9"/>
        <v>55.999999999999801</v>
      </c>
      <c r="R16" s="689" t="s">
        <v>280</v>
      </c>
      <c r="S16" s="135">
        <f t="shared" si="15"/>
        <v>3.1166666666666676</v>
      </c>
      <c r="T16" s="135">
        <f t="shared" si="13"/>
        <v>25.93333333333333</v>
      </c>
    </row>
    <row r="17" spans="1:20" s="114" customFormat="1" ht="22.5" customHeight="1" x14ac:dyDescent="0.45">
      <c r="A17" s="596">
        <f>'Bord-B. D-EFLF'!A339</f>
        <v>43513</v>
      </c>
      <c r="B17" s="597">
        <f>'Bord-B. D-EFLF'!J339</f>
        <v>1</v>
      </c>
      <c r="C17" s="598">
        <f>'Bord-B. D-EFLF'!K339</f>
        <v>38.999999999999972</v>
      </c>
      <c r="D17" s="599">
        <f t="shared" si="16"/>
        <v>8813</v>
      </c>
      <c r="E17" s="600">
        <f t="shared" si="17"/>
        <v>46.999999999999673</v>
      </c>
      <c r="F17" s="601">
        <f>ROUNDDOWN(J17,0)</f>
        <v>0</v>
      </c>
      <c r="G17" s="602">
        <f>(J17-F17)*60</f>
        <v>13.000000000000327</v>
      </c>
      <c r="H17" s="690"/>
      <c r="I17" s="137">
        <f t="shared" si="14"/>
        <v>1.6499999999999995</v>
      </c>
      <c r="J17" s="137">
        <f t="shared" si="12"/>
        <v>0.21666666666667211</v>
      </c>
      <c r="K17" s="609">
        <f>'Bord-B. D-EOYS'!A374</f>
        <v>43520</v>
      </c>
      <c r="L17" s="610">
        <f>'Bord-B. D-EOYS'!J374</f>
        <v>3</v>
      </c>
      <c r="M17" s="600">
        <f>'Bord-B. D-EOYS'!K374</f>
        <v>58.99999999999995</v>
      </c>
      <c r="N17" s="610">
        <f t="shared" si="6"/>
        <v>14954</v>
      </c>
      <c r="O17" s="600">
        <f t="shared" si="7"/>
        <v>2.9999999999998579</v>
      </c>
      <c r="P17" s="611">
        <f t="shared" si="8"/>
        <v>21</v>
      </c>
      <c r="Q17" s="612">
        <f t="shared" si="9"/>
        <v>56.999999999999744</v>
      </c>
      <c r="R17" s="689"/>
      <c r="S17" s="135">
        <f t="shared" si="15"/>
        <v>3.9833333333333325</v>
      </c>
      <c r="T17" s="135">
        <f t="shared" si="13"/>
        <v>21.949999999999996</v>
      </c>
    </row>
    <row r="18" spans="1:20" s="114" customFormat="1" ht="22.5" customHeight="1" x14ac:dyDescent="0.45">
      <c r="A18" s="596">
        <f>'Bord-B. D-EFLF'!A340</f>
        <v>43513</v>
      </c>
      <c r="B18" s="597">
        <f>'Bord-B. D-EFLF'!J340</f>
        <v>1</v>
      </c>
      <c r="C18" s="598">
        <f>'Bord-B. D-EFLF'!K340</f>
        <v>46.000000000000099</v>
      </c>
      <c r="D18" s="599">
        <f t="shared" si="16"/>
        <v>8815</v>
      </c>
      <c r="E18" s="600">
        <f t="shared" si="17"/>
        <v>32.999999999999773</v>
      </c>
      <c r="F18" s="601">
        <f t="shared" ref="F18:F25" si="18">ROUNDDOWN(J18,0)</f>
        <v>-1</v>
      </c>
      <c r="G18" s="602">
        <f t="shared" ref="G18:G25" si="19">(J18-F18)*60</f>
        <v>-32.999999999999773</v>
      </c>
      <c r="H18" s="690"/>
      <c r="I18" s="137">
        <f t="shared" si="14"/>
        <v>1.7666666666666684</v>
      </c>
      <c r="J18" s="137">
        <f t="shared" si="12"/>
        <v>-1.5499999999999963</v>
      </c>
      <c r="K18" s="609">
        <f>'Bord-B. D-EOYS'!A375</f>
        <v>43520</v>
      </c>
      <c r="L18" s="610">
        <f>'Bord-B. D-EOYS'!J375</f>
        <v>0</v>
      </c>
      <c r="M18" s="600">
        <f>'Bord-B. D-EOYS'!K375</f>
        <v>36.000000000000028</v>
      </c>
      <c r="N18" s="610">
        <f t="shared" si="6"/>
        <v>14954</v>
      </c>
      <c r="O18" s="600">
        <f t="shared" si="7"/>
        <v>38.999999999999886</v>
      </c>
      <c r="P18" s="611">
        <f t="shared" si="8"/>
        <v>21</v>
      </c>
      <c r="Q18" s="612">
        <f t="shared" si="9"/>
        <v>20.999999999999659</v>
      </c>
      <c r="R18" s="689"/>
      <c r="S18" s="135">
        <f t="shared" si="15"/>
        <v>0.60000000000000042</v>
      </c>
      <c r="T18" s="135">
        <f t="shared" si="13"/>
        <v>21.349999999999994</v>
      </c>
    </row>
    <row r="19" spans="1:20" s="114" customFormat="1" ht="22.5" customHeight="1" x14ac:dyDescent="0.45">
      <c r="A19" s="596">
        <f>'Bord-B. D-EFLF'!A341</f>
        <v>43519</v>
      </c>
      <c r="B19" s="597">
        <f>'Bord-B. D-EFLF'!J341</f>
        <v>1</v>
      </c>
      <c r="C19" s="598">
        <f>'Bord-B. D-EFLF'!K341</f>
        <v>30.000000000000078</v>
      </c>
      <c r="D19" s="599">
        <f t="shared" si="16"/>
        <v>8817</v>
      </c>
      <c r="E19" s="600">
        <f t="shared" si="17"/>
        <v>2.9999999999998508</v>
      </c>
      <c r="F19" s="601">
        <f t="shared" si="18"/>
        <v>-3</v>
      </c>
      <c r="G19" s="602">
        <f t="shared" si="19"/>
        <v>-2.9999999999998561</v>
      </c>
      <c r="H19" s="690"/>
      <c r="I19" s="137">
        <f t="shared" si="14"/>
        <v>1.5000000000000013</v>
      </c>
      <c r="J19" s="137">
        <f t="shared" si="12"/>
        <v>-3.0499999999999976</v>
      </c>
      <c r="K19" s="609">
        <f>'Bord-B. D-EOYS'!A376</f>
        <v>43537</v>
      </c>
      <c r="L19" s="610">
        <f>'Bord-B. D-EOYS'!J376</f>
        <v>0</v>
      </c>
      <c r="M19" s="600">
        <f>'Bord-B. D-EOYS'!K376</f>
        <v>7.9999999999999716</v>
      </c>
      <c r="N19" s="610">
        <f t="shared" si="6"/>
        <v>14954</v>
      </c>
      <c r="O19" s="600">
        <f t="shared" si="7"/>
        <v>46.999999999999858</v>
      </c>
      <c r="P19" s="611">
        <f t="shared" si="8"/>
        <v>21</v>
      </c>
      <c r="Q19" s="612">
        <f t="shared" si="9"/>
        <v>12.999999999999687</v>
      </c>
      <c r="R19" s="689"/>
      <c r="S19" s="135">
        <f t="shared" si="15"/>
        <v>0.13333333333333286</v>
      </c>
      <c r="T19" s="135">
        <f t="shared" si="13"/>
        <v>21.216666666666661</v>
      </c>
    </row>
    <row r="20" spans="1:20" s="114" customFormat="1" ht="22.5" customHeight="1" x14ac:dyDescent="0.45">
      <c r="A20" s="596">
        <f>'Bord-B. D-EFLF'!A342</f>
        <v>43522</v>
      </c>
      <c r="B20" s="597">
        <f>'Bord-B. D-EFLF'!J342</f>
        <v>0</v>
      </c>
      <c r="C20" s="598">
        <f>'Bord-B. D-EFLF'!K342</f>
        <v>20.000000000000089</v>
      </c>
      <c r="D20" s="599">
        <f t="shared" si="16"/>
        <v>8817</v>
      </c>
      <c r="E20" s="600">
        <f t="shared" si="17"/>
        <v>22.99999999999994</v>
      </c>
      <c r="F20" s="601">
        <f t="shared" si="18"/>
        <v>-3</v>
      </c>
      <c r="G20" s="602">
        <f t="shared" si="19"/>
        <v>-22.999999999999943</v>
      </c>
      <c r="H20" s="265"/>
      <c r="I20" s="137">
        <f t="shared" si="14"/>
        <v>0.33333333333333481</v>
      </c>
      <c r="J20" s="137">
        <f t="shared" si="12"/>
        <v>-3.3833333333333324</v>
      </c>
      <c r="K20" s="609">
        <f>'Bord-B. D-EOYS'!A377</f>
        <v>43541</v>
      </c>
      <c r="L20" s="610">
        <f>'Bord-B. D-EOYS'!J377</f>
        <v>0</v>
      </c>
      <c r="M20" s="600">
        <f>'Bord-B. D-EOYS'!K377</f>
        <v>0</v>
      </c>
      <c r="N20" s="610">
        <f t="shared" si="6"/>
        <v>14954</v>
      </c>
      <c r="O20" s="600">
        <f t="shared" si="7"/>
        <v>46.999999999999858</v>
      </c>
      <c r="P20" s="611">
        <f t="shared" si="8"/>
        <v>21</v>
      </c>
      <c r="Q20" s="612">
        <f t="shared" si="9"/>
        <v>12.999999999999687</v>
      </c>
      <c r="R20" s="265"/>
      <c r="S20" s="135">
        <f t="shared" si="15"/>
        <v>0</v>
      </c>
      <c r="T20" s="135">
        <f t="shared" si="13"/>
        <v>21.216666666666661</v>
      </c>
    </row>
    <row r="21" spans="1:20" s="114" customFormat="1" ht="22.5" customHeight="1" thickBot="1" x14ac:dyDescent="0.5">
      <c r="A21" s="603">
        <f>'Bord-B. D-EFLF'!A343</f>
        <v>43522</v>
      </c>
      <c r="B21" s="604">
        <f>'Bord-B. D-EFLF'!J343</f>
        <v>0</v>
      </c>
      <c r="C21" s="605">
        <f>'Bord-B. D-EFLF'!K343</f>
        <v>26.000000000000068</v>
      </c>
      <c r="D21" s="542">
        <f>IF(C21+E20&lt;60,B21+D20,B21+D20+1)</f>
        <v>8817</v>
      </c>
      <c r="E21" s="541">
        <f t="shared" si="17"/>
        <v>49.000000000000007</v>
      </c>
      <c r="F21" s="606">
        <f t="shared" si="18"/>
        <v>-3</v>
      </c>
      <c r="G21" s="607">
        <f t="shared" si="19"/>
        <v>-49.000000000000014</v>
      </c>
      <c r="H21" s="351"/>
      <c r="I21" s="137">
        <f t="shared" si="14"/>
        <v>0.43333333333333446</v>
      </c>
      <c r="J21" s="137">
        <f>J20-I21</f>
        <v>-3.8166666666666669</v>
      </c>
      <c r="K21" s="613">
        <f>'Bord-B. D-EOYS'!A378</f>
        <v>43541</v>
      </c>
      <c r="L21" s="540">
        <f>'Bord-B. D-EOYS'!J378</f>
        <v>0</v>
      </c>
      <c r="M21" s="541">
        <f>'Bord-B. D-EOYS'!K378</f>
        <v>0</v>
      </c>
      <c r="N21" s="540">
        <f t="shared" si="6"/>
        <v>14954</v>
      </c>
      <c r="O21" s="541">
        <f t="shared" si="7"/>
        <v>46.999999999999858</v>
      </c>
      <c r="P21" s="606">
        <f t="shared" si="8"/>
        <v>21</v>
      </c>
      <c r="Q21" s="607">
        <f t="shared" si="9"/>
        <v>12.999999999999687</v>
      </c>
      <c r="R21" s="351"/>
      <c r="S21" s="135">
        <f t="shared" si="15"/>
        <v>0</v>
      </c>
      <c r="T21" s="135">
        <f>T20-S21</f>
        <v>21.216666666666661</v>
      </c>
    </row>
    <row r="22" spans="1:20" s="264" customFormat="1" ht="22.5" hidden="1" customHeight="1" x14ac:dyDescent="0.45">
      <c r="A22" s="547">
        <f>'Bord-B. D-EFLF'!A344</f>
        <v>0</v>
      </c>
      <c r="B22" s="548">
        <f>'Bord-B. D-EFLF'!J344</f>
        <v>8814</v>
      </c>
      <c r="C22" s="546">
        <f>'Bord-B. D-EFLF'!K344</f>
        <v>229.00000000000023</v>
      </c>
      <c r="D22" s="545">
        <f t="shared" si="16"/>
        <v>17632</v>
      </c>
      <c r="E22" s="546">
        <f t="shared" si="17"/>
        <v>218.00000000000023</v>
      </c>
      <c r="F22" s="536">
        <f t="shared" si="18"/>
        <v>-3</v>
      </c>
      <c r="G22" s="537">
        <f t="shared" si="19"/>
        <v>-49.000000000000014</v>
      </c>
      <c r="H22" s="369"/>
      <c r="I22" s="137">
        <v>0</v>
      </c>
      <c r="J22" s="137">
        <f t="shared" ref="J22:J29" si="20">J21-I22</f>
        <v>-3.8166666666666669</v>
      </c>
      <c r="K22" s="614">
        <f>'Bord-B. D-EOYS'!A379</f>
        <v>0</v>
      </c>
      <c r="L22" s="548">
        <f>'Bord-B. D-EOYS'!J379</f>
        <v>14952.4</v>
      </c>
      <c r="M22" s="546">
        <f>'Bord-B. D-EOYS'!K379</f>
        <v>166.99999999999986</v>
      </c>
      <c r="N22" s="548">
        <f t="shared" si="6"/>
        <v>29907.4</v>
      </c>
      <c r="O22" s="546">
        <f t="shared" si="7"/>
        <v>153.99999999999972</v>
      </c>
      <c r="P22" s="536">
        <f t="shared" si="8"/>
        <v>21</v>
      </c>
      <c r="Q22" s="537">
        <f t="shared" si="9"/>
        <v>12.999999999999687</v>
      </c>
      <c r="R22" s="369"/>
      <c r="S22" s="137">
        <v>0</v>
      </c>
      <c r="T22" s="137">
        <f t="shared" ref="T22:T29" si="21">T21-S22</f>
        <v>21.216666666666661</v>
      </c>
    </row>
    <row r="23" spans="1:20" s="264" customFormat="1" ht="22.5" hidden="1" customHeight="1" thickBot="1" x14ac:dyDescent="0.5">
      <c r="A23" s="603" t="str">
        <f>'Bord-B. D-EFLF'!A345</f>
        <v>Zwischenstände</v>
      </c>
      <c r="B23" s="604">
        <f>'Bord-B. D-EFLF'!J345</f>
        <v>8817</v>
      </c>
      <c r="C23" s="605">
        <f>'Bord-B. D-EFLF'!K345</f>
        <v>49</v>
      </c>
      <c r="D23" s="542">
        <f t="shared" si="16"/>
        <v>26450</v>
      </c>
      <c r="E23" s="541">
        <f t="shared" si="17"/>
        <v>207.00000000000023</v>
      </c>
      <c r="F23" s="606">
        <f t="shared" si="18"/>
        <v>-3</v>
      </c>
      <c r="G23" s="607">
        <f t="shared" si="19"/>
        <v>-49.000000000000014</v>
      </c>
      <c r="H23" s="351"/>
      <c r="I23" s="137">
        <v>0</v>
      </c>
      <c r="J23" s="137">
        <f t="shared" si="20"/>
        <v>-3.8166666666666669</v>
      </c>
      <c r="K23" s="613" t="str">
        <f>'Bord-B. D-EOYS'!A380</f>
        <v>Zwischenstände</v>
      </c>
      <c r="L23" s="540">
        <f>'Bord-B. D-EOYS'!J380</f>
        <v>14954.4</v>
      </c>
      <c r="M23" s="541">
        <f>'Bord-B. D-EOYS'!K380</f>
        <v>47</v>
      </c>
      <c r="N23" s="540">
        <f t="shared" si="6"/>
        <v>44862.8</v>
      </c>
      <c r="O23" s="541">
        <f t="shared" si="7"/>
        <v>140.99999999999972</v>
      </c>
      <c r="P23" s="606">
        <f t="shared" si="8"/>
        <v>21</v>
      </c>
      <c r="Q23" s="607">
        <f t="shared" si="9"/>
        <v>12.999999999999687</v>
      </c>
      <c r="R23" s="351"/>
      <c r="S23" s="137">
        <v>0</v>
      </c>
      <c r="T23" s="137">
        <f t="shared" si="21"/>
        <v>21.216666666666661</v>
      </c>
    </row>
    <row r="24" spans="1:20" s="114" customFormat="1" ht="22.5" customHeight="1" x14ac:dyDescent="0.45">
      <c r="A24" s="547">
        <f>'Bord-B. D-EFLF'!A346</f>
        <v>43524</v>
      </c>
      <c r="B24" s="548">
        <f>'Bord-B. D-EFLF'!J346</f>
        <v>1</v>
      </c>
      <c r="C24" s="546">
        <f>'Bord-B. D-EFLF'!K346</f>
        <v>16.999999999999964</v>
      </c>
      <c r="D24" s="545">
        <f>IF(C24+E21&lt;60,B24+D21,B24+D21+1)</f>
        <v>8819</v>
      </c>
      <c r="E24" s="546">
        <f>IF(C24+E21&lt;60,C24+E21,C24+E21-60)</f>
        <v>5.9999999999999716</v>
      </c>
      <c r="F24" s="536">
        <f>ROUNDDOWN(J24,0)</f>
        <v>-5</v>
      </c>
      <c r="G24" s="537">
        <f t="shared" si="19"/>
        <v>-5.9999999999999787</v>
      </c>
      <c r="H24" s="386"/>
      <c r="I24" s="137">
        <f t="shared" ref="I24:I30" si="22">C24/60+B24</f>
        <v>1.2833333333333328</v>
      </c>
      <c r="J24" s="137">
        <f t="shared" si="20"/>
        <v>-5.0999999999999996</v>
      </c>
      <c r="K24" s="614">
        <f>'Bord-B. D-EOYS'!A381</f>
        <v>0</v>
      </c>
      <c r="L24" s="548">
        <f>'Bord-B. D-EOYS'!J381</f>
        <v>0</v>
      </c>
      <c r="M24" s="546">
        <f>'Bord-B. D-EOYS'!K381</f>
        <v>0</v>
      </c>
      <c r="N24" s="548">
        <f t="shared" si="6"/>
        <v>44863.8</v>
      </c>
      <c r="O24" s="546">
        <f t="shared" si="7"/>
        <v>80.999999999999716</v>
      </c>
      <c r="P24" s="536">
        <f t="shared" si="8"/>
        <v>21</v>
      </c>
      <c r="Q24" s="537">
        <f t="shared" si="9"/>
        <v>12.999999999999687</v>
      </c>
      <c r="R24" s="386"/>
      <c r="S24" s="135">
        <f t="shared" ref="S24:S30" si="23">M24/60+L24</f>
        <v>0</v>
      </c>
      <c r="T24" s="135">
        <f t="shared" si="21"/>
        <v>21.216666666666661</v>
      </c>
    </row>
    <row r="25" spans="1:20" s="114" customFormat="1" ht="22.5" customHeight="1" x14ac:dyDescent="0.45">
      <c r="A25" s="596">
        <f>'Bord-B. D-EFLF'!A347</f>
        <v>43530</v>
      </c>
      <c r="B25" s="597">
        <f>'Bord-B. D-EFLF'!J347</f>
        <v>0</v>
      </c>
      <c r="C25" s="598">
        <f>'Bord-B. D-EFLF'!K347</f>
        <v>31.999999999999886</v>
      </c>
      <c r="D25" s="599">
        <f>IF(C25+E24&lt;60,B25+D24,B25+D24+1)</f>
        <v>8819</v>
      </c>
      <c r="E25" s="600">
        <f>IF(C25+E24&lt;60,C25+E24,C25+E24-60)</f>
        <v>37.999999999999858</v>
      </c>
      <c r="F25" s="601">
        <f t="shared" si="18"/>
        <v>-5</v>
      </c>
      <c r="G25" s="602">
        <f t="shared" si="19"/>
        <v>-37.999999999999865</v>
      </c>
      <c r="H25" s="690" t="s">
        <v>281</v>
      </c>
      <c r="I25" s="137">
        <f t="shared" si="22"/>
        <v>0.53333333333333144</v>
      </c>
      <c r="J25" s="137">
        <f t="shared" si="20"/>
        <v>-5.6333333333333311</v>
      </c>
      <c r="K25" s="524">
        <f>'Bord-B. D-EOYS'!A382</f>
        <v>0</v>
      </c>
      <c r="L25" s="522">
        <f>'Bord-B. D-EOYS'!J382</f>
        <v>0</v>
      </c>
      <c r="M25" s="387">
        <f>'Bord-B. D-EOYS'!K382</f>
        <v>0</v>
      </c>
      <c r="N25" s="522">
        <f t="shared" si="6"/>
        <v>44864.800000000003</v>
      </c>
      <c r="O25" s="387">
        <f t="shared" si="7"/>
        <v>20.999999999999716</v>
      </c>
      <c r="P25" s="532">
        <f t="shared" si="8"/>
        <v>21</v>
      </c>
      <c r="Q25" s="533">
        <f t="shared" si="9"/>
        <v>12.999999999999687</v>
      </c>
      <c r="R25" s="689" t="s">
        <v>280</v>
      </c>
      <c r="S25" s="135">
        <f t="shared" si="23"/>
        <v>0</v>
      </c>
      <c r="T25" s="135">
        <f t="shared" si="21"/>
        <v>21.216666666666661</v>
      </c>
    </row>
    <row r="26" spans="1:20" s="114" customFormat="1" ht="22.5" customHeight="1" x14ac:dyDescent="0.45">
      <c r="A26" s="596">
        <f>'Bord-B. D-EFLF'!A348</f>
        <v>43530</v>
      </c>
      <c r="B26" s="597">
        <f>'Bord-B. D-EFLF'!J348</f>
        <v>0</v>
      </c>
      <c r="C26" s="598">
        <f>'Bord-B. D-EFLF'!K348</f>
        <v>20.000000000000089</v>
      </c>
      <c r="D26" s="599">
        <f>IF(C26+E25&lt;60,B26+D25,B26+D25+1)</f>
        <v>8819</v>
      </c>
      <c r="E26" s="600">
        <f>IF(C26+E25&lt;60,C26+E25,C26+E25-60)</f>
        <v>57.999999999999943</v>
      </c>
      <c r="F26" s="601">
        <f>ROUNDDOWN(J26,0)</f>
        <v>-5</v>
      </c>
      <c r="G26" s="602">
        <f>(J26-F26)*60</f>
        <v>-57.999999999999957</v>
      </c>
      <c r="H26" s="690"/>
      <c r="I26" s="137">
        <f t="shared" si="22"/>
        <v>0.33333333333333481</v>
      </c>
      <c r="J26" s="137">
        <f t="shared" si="20"/>
        <v>-5.9666666666666659</v>
      </c>
      <c r="K26" s="524">
        <f>'Bord-B. D-EOYS'!A383</f>
        <v>0</v>
      </c>
      <c r="L26" s="522">
        <f>'Bord-B. D-EOYS'!J383</f>
        <v>0</v>
      </c>
      <c r="M26" s="387">
        <f>'Bord-B. D-EOYS'!K383</f>
        <v>0</v>
      </c>
      <c r="N26" s="522">
        <f t="shared" si="6"/>
        <v>44864.800000000003</v>
      </c>
      <c r="O26" s="387">
        <f t="shared" si="7"/>
        <v>20.999999999999716</v>
      </c>
      <c r="P26" s="532">
        <f t="shared" si="8"/>
        <v>21</v>
      </c>
      <c r="Q26" s="533">
        <f t="shared" si="9"/>
        <v>12.999999999999687</v>
      </c>
      <c r="R26" s="689"/>
      <c r="S26" s="135">
        <f t="shared" si="23"/>
        <v>0</v>
      </c>
      <c r="T26" s="135">
        <f t="shared" si="21"/>
        <v>21.216666666666661</v>
      </c>
    </row>
    <row r="27" spans="1:20" s="114" customFormat="1" ht="22.5" customHeight="1" x14ac:dyDescent="0.45">
      <c r="A27" s="596">
        <f>'Bord-B. D-EFLF'!A349</f>
        <v>43530</v>
      </c>
      <c r="B27" s="597">
        <f>'Bord-B. D-EFLF'!J349</f>
        <v>0</v>
      </c>
      <c r="C27" s="598">
        <f>'Bord-B. D-EFLF'!K349</f>
        <v>26.999999999999904</v>
      </c>
      <c r="D27" s="599">
        <f>IF(C27+E26&lt;60,B27+D26,B27+D26+1)</f>
        <v>8820</v>
      </c>
      <c r="E27" s="600">
        <f>IF(C27+E26&lt;60,C27+E26,C27+E26-60)</f>
        <v>24.999999999999844</v>
      </c>
      <c r="F27" s="601">
        <f>ROUNDDOWN(J27,0)</f>
        <v>-6</v>
      </c>
      <c r="G27" s="602">
        <f>(J27-F27)*60</f>
        <v>-24.999999999999858</v>
      </c>
      <c r="H27" s="690"/>
      <c r="I27" s="137">
        <f t="shared" si="22"/>
        <v>0.4499999999999984</v>
      </c>
      <c r="J27" s="137">
        <f t="shared" si="20"/>
        <v>-6.4166666666666643</v>
      </c>
      <c r="K27" s="524">
        <f>'Bord-B. D-EOYS'!A384</f>
        <v>0</v>
      </c>
      <c r="L27" s="522">
        <f>'Bord-B. D-EOYS'!J384</f>
        <v>0</v>
      </c>
      <c r="M27" s="387">
        <f>'Bord-B. D-EOYS'!K384</f>
        <v>0</v>
      </c>
      <c r="N27" s="522">
        <f t="shared" si="6"/>
        <v>44864.800000000003</v>
      </c>
      <c r="O27" s="387">
        <f t="shared" si="7"/>
        <v>20.999999999999716</v>
      </c>
      <c r="P27" s="532">
        <f t="shared" si="8"/>
        <v>21</v>
      </c>
      <c r="Q27" s="533">
        <f t="shared" si="9"/>
        <v>12.999999999999687</v>
      </c>
      <c r="R27" s="689"/>
      <c r="S27" s="135">
        <f t="shared" si="23"/>
        <v>0</v>
      </c>
      <c r="T27" s="135">
        <f t="shared" si="21"/>
        <v>21.216666666666661</v>
      </c>
    </row>
    <row r="28" spans="1:20" s="114" customFormat="1" ht="22.5" customHeight="1" x14ac:dyDescent="0.45">
      <c r="A28" s="596">
        <f>'Bord-B. D-EFLF'!A350</f>
        <v>43541</v>
      </c>
      <c r="B28" s="597">
        <f>'Bord-B. D-EFLF'!J350</f>
        <v>0</v>
      </c>
      <c r="C28" s="598">
        <f>'Bord-B. D-EFLF'!K350</f>
        <v>0</v>
      </c>
      <c r="D28" s="599">
        <f>IF(C28+E27&lt;60,B28+D27,B28+D27+1)</f>
        <v>8820</v>
      </c>
      <c r="E28" s="600">
        <f>IF(C28+E27&lt;60,C28+E27,C28+E27-60)</f>
        <v>24.999999999999844</v>
      </c>
      <c r="F28" s="601">
        <f>ROUNDDOWN(J28,0)</f>
        <v>-6</v>
      </c>
      <c r="G28" s="602">
        <f>(J28-F28)*60</f>
        <v>-24.999999999999858</v>
      </c>
      <c r="H28" s="690"/>
      <c r="I28" s="137">
        <f t="shared" si="22"/>
        <v>0</v>
      </c>
      <c r="J28" s="137">
        <f t="shared" si="20"/>
        <v>-6.4166666666666643</v>
      </c>
      <c r="K28" s="524">
        <f>'Bord-B. D-EOYS'!A385</f>
        <v>0</v>
      </c>
      <c r="L28" s="522">
        <f>'Bord-B. D-EOYS'!J385</f>
        <v>0</v>
      </c>
      <c r="M28" s="387">
        <f>'Bord-B. D-EOYS'!K385</f>
        <v>0</v>
      </c>
      <c r="N28" s="522">
        <f t="shared" si="6"/>
        <v>44864.800000000003</v>
      </c>
      <c r="O28" s="387">
        <f t="shared" si="7"/>
        <v>20.999999999999716</v>
      </c>
      <c r="P28" s="532">
        <f t="shared" si="8"/>
        <v>21</v>
      </c>
      <c r="Q28" s="533">
        <f t="shared" si="9"/>
        <v>12.999999999999687</v>
      </c>
      <c r="R28" s="689"/>
      <c r="S28" s="135">
        <f t="shared" si="23"/>
        <v>0</v>
      </c>
      <c r="T28" s="135">
        <f t="shared" si="21"/>
        <v>21.216666666666661</v>
      </c>
    </row>
    <row r="29" spans="1:20" s="114" customFormat="1" ht="22.5" customHeight="1" x14ac:dyDescent="0.45">
      <c r="A29" s="588">
        <f>'Bord-B. D-EFLF'!A351</f>
        <v>0</v>
      </c>
      <c r="B29" s="589">
        <f>'Bord-B. D-EFLF'!J351</f>
        <v>0</v>
      </c>
      <c r="C29" s="590">
        <f>'Bord-B. D-EFLF'!K351</f>
        <v>0</v>
      </c>
      <c r="D29" s="405">
        <f>IF(C29+E28&lt;60,B29+D28,B29+D28+1)</f>
        <v>8820</v>
      </c>
      <c r="E29" s="387">
        <f>IF(C29+E28&lt;60,C29+E28,C29+E28-60)</f>
        <v>24.999999999999844</v>
      </c>
      <c r="F29" s="389">
        <f>ROUNDDOWN(J29,0)</f>
        <v>-6</v>
      </c>
      <c r="G29" s="399">
        <f>(J29-F29)*60</f>
        <v>-24.999999999999858</v>
      </c>
      <c r="H29" s="265"/>
      <c r="I29" s="137">
        <f t="shared" si="22"/>
        <v>0</v>
      </c>
      <c r="J29" s="137">
        <f t="shared" si="20"/>
        <v>-6.4166666666666643</v>
      </c>
      <c r="K29" s="524">
        <f>'Bord-B. D-EOYS'!A386</f>
        <v>0</v>
      </c>
      <c r="L29" s="522">
        <f>'Bord-B. D-EOYS'!J386</f>
        <v>0</v>
      </c>
      <c r="M29" s="387">
        <f>'Bord-B. D-EOYS'!K386</f>
        <v>0</v>
      </c>
      <c r="N29" s="522">
        <f t="shared" si="6"/>
        <v>44864.800000000003</v>
      </c>
      <c r="O29" s="387">
        <f t="shared" si="7"/>
        <v>20.999999999999716</v>
      </c>
      <c r="P29" s="532">
        <f t="shared" si="8"/>
        <v>21</v>
      </c>
      <c r="Q29" s="533">
        <f t="shared" si="9"/>
        <v>12.999999999999687</v>
      </c>
      <c r="R29" s="265"/>
      <c r="S29" s="135">
        <f t="shared" si="23"/>
        <v>0</v>
      </c>
      <c r="T29" s="135">
        <f t="shared" si="21"/>
        <v>21.216666666666661</v>
      </c>
    </row>
    <row r="30" spans="1:20" s="114" customFormat="1" ht="22.5" customHeight="1" thickBot="1" x14ac:dyDescent="0.5">
      <c r="A30" s="591">
        <f>'Bord-B. D-EFLF'!A352</f>
        <v>0</v>
      </c>
      <c r="B30" s="592">
        <f>'Bord-B. D-EFLF'!J352</f>
        <v>0</v>
      </c>
      <c r="C30" s="593">
        <f>'Bord-B. D-EFLF'!K352</f>
        <v>0</v>
      </c>
      <c r="D30" s="406">
        <f t="shared" ref="D30:D66" si="24">IF(C30+E29&lt;60,B30+D29,B30+D29+1)</f>
        <v>8820</v>
      </c>
      <c r="E30" s="298">
        <f t="shared" ref="E30:E66" si="25">IF(C30+E29&lt;60,C30+E29,C30+E29-60)</f>
        <v>24.999999999999844</v>
      </c>
      <c r="F30" s="498">
        <f t="shared" ref="F30:F66" si="26">ROUNDDOWN(J30,0)</f>
        <v>-6</v>
      </c>
      <c r="G30" s="499">
        <f t="shared" ref="G30:G66" si="27">(J30-F30)*60</f>
        <v>-24.999999999999858</v>
      </c>
      <c r="H30" s="351"/>
      <c r="I30" s="137">
        <f t="shared" si="22"/>
        <v>0</v>
      </c>
      <c r="J30" s="137">
        <f>J29-I30</f>
        <v>-6.4166666666666643</v>
      </c>
      <c r="K30" s="511">
        <f>'Bord-B. D-EOYS'!A387</f>
        <v>0</v>
      </c>
      <c r="L30" s="297">
        <f>'Bord-B. D-EOYS'!J387</f>
        <v>0</v>
      </c>
      <c r="M30" s="298">
        <f>'Bord-B. D-EOYS'!K387</f>
        <v>0</v>
      </c>
      <c r="N30" s="297">
        <f t="shared" si="6"/>
        <v>44864.800000000003</v>
      </c>
      <c r="O30" s="298">
        <f t="shared" si="7"/>
        <v>20.999999999999716</v>
      </c>
      <c r="P30" s="388">
        <f t="shared" si="8"/>
        <v>21</v>
      </c>
      <c r="Q30" s="398">
        <f t="shared" si="9"/>
        <v>12.999999999999687</v>
      </c>
      <c r="R30" s="351"/>
      <c r="S30" s="135">
        <f t="shared" si="23"/>
        <v>0</v>
      </c>
      <c r="T30" s="135">
        <f>T29-S30</f>
        <v>21.216666666666661</v>
      </c>
    </row>
    <row r="31" spans="1:20" s="264" customFormat="1" ht="22.5" hidden="1" customHeight="1" x14ac:dyDescent="0.45">
      <c r="A31" s="549">
        <f>'Bord-B. D-EFLF'!A353</f>
        <v>0</v>
      </c>
      <c r="B31" s="493">
        <f>'Bord-B. D-EFLF'!J353</f>
        <v>8818</v>
      </c>
      <c r="C31" s="494">
        <f>'Bord-B. D-EFLF'!K353</f>
        <v>144.99999999999986</v>
      </c>
      <c r="D31" s="497">
        <f t="shared" si="24"/>
        <v>17639</v>
      </c>
      <c r="E31" s="494">
        <f t="shared" si="25"/>
        <v>109.99999999999972</v>
      </c>
      <c r="F31" s="495">
        <f t="shared" si="26"/>
        <v>-6</v>
      </c>
      <c r="G31" s="496">
        <f t="shared" si="27"/>
        <v>-24.999999999999858</v>
      </c>
      <c r="H31" s="369"/>
      <c r="I31" s="137">
        <v>0</v>
      </c>
      <c r="J31" s="137">
        <f t="shared" ref="J31:J38" si="28">J30-I31</f>
        <v>-6.4166666666666643</v>
      </c>
      <c r="K31" s="523">
        <f>'Bord-B. D-EOYS'!A388</f>
        <v>0</v>
      </c>
      <c r="L31" s="493">
        <f>'Bord-B. D-EOYS'!J388</f>
        <v>14954.4</v>
      </c>
      <c r="M31" s="494">
        <f>'Bord-B. D-EOYS'!K388</f>
        <v>47</v>
      </c>
      <c r="N31" s="493">
        <f t="shared" si="6"/>
        <v>59820.200000000004</v>
      </c>
      <c r="O31" s="494">
        <f t="shared" si="7"/>
        <v>7.9999999999997158</v>
      </c>
      <c r="P31" s="495">
        <f t="shared" si="8"/>
        <v>21</v>
      </c>
      <c r="Q31" s="496">
        <f t="shared" si="9"/>
        <v>12.999999999999687</v>
      </c>
      <c r="R31" s="369"/>
      <c r="S31" s="135">
        <v>0</v>
      </c>
      <c r="T31" s="135">
        <f t="shared" ref="T31:T66" si="29">T30-S31</f>
        <v>21.216666666666661</v>
      </c>
    </row>
    <row r="32" spans="1:20" s="264" customFormat="1" ht="22.5" hidden="1" customHeight="1" thickBot="1" x14ac:dyDescent="0.5">
      <c r="A32" s="591" t="str">
        <f>'Bord-B. D-EFLF'!A354</f>
        <v>Zwischenstände</v>
      </c>
      <c r="B32" s="592">
        <f>'Bord-B. D-EFLF'!J354</f>
        <v>8820</v>
      </c>
      <c r="C32" s="593">
        <f>'Bord-B. D-EFLF'!K354</f>
        <v>25</v>
      </c>
      <c r="D32" s="406">
        <f t="shared" si="24"/>
        <v>26460</v>
      </c>
      <c r="E32" s="298">
        <f t="shared" si="25"/>
        <v>74.999999999999716</v>
      </c>
      <c r="F32" s="498">
        <f t="shared" si="26"/>
        <v>-6</v>
      </c>
      <c r="G32" s="499">
        <f t="shared" si="27"/>
        <v>-24.999999999999858</v>
      </c>
      <c r="H32" s="351"/>
      <c r="I32" s="137">
        <v>0</v>
      </c>
      <c r="J32" s="137">
        <f t="shared" si="28"/>
        <v>-6.4166666666666643</v>
      </c>
      <c r="K32" s="511" t="str">
        <f>'Bord-B. D-EOYS'!A389</f>
        <v>Zwischenstände</v>
      </c>
      <c r="L32" s="297">
        <f>'Bord-B. D-EOYS'!J389</f>
        <v>14954.4</v>
      </c>
      <c r="M32" s="298">
        <f>'Bord-B. D-EOYS'!K389</f>
        <v>47</v>
      </c>
      <c r="N32" s="297">
        <f t="shared" si="6"/>
        <v>74774.600000000006</v>
      </c>
      <c r="O32" s="298">
        <f t="shared" si="7"/>
        <v>54.999999999999716</v>
      </c>
      <c r="P32" s="388">
        <f t="shared" si="8"/>
        <v>21</v>
      </c>
      <c r="Q32" s="398">
        <f t="shared" si="9"/>
        <v>12.999999999999687</v>
      </c>
      <c r="R32" s="351"/>
      <c r="S32" s="135">
        <v>0</v>
      </c>
      <c r="T32" s="135">
        <f t="shared" si="29"/>
        <v>21.216666666666661</v>
      </c>
    </row>
    <row r="33" spans="1:20" s="114" customFormat="1" ht="22.5" customHeight="1" x14ac:dyDescent="0.45">
      <c r="A33" s="549">
        <f>'Bord-B. D-EFLF'!A355</f>
        <v>0</v>
      </c>
      <c r="B33" s="493">
        <f>'Bord-B. D-EFLF'!J355</f>
        <v>0</v>
      </c>
      <c r="C33" s="494">
        <f>'Bord-B. D-EFLF'!K355</f>
        <v>0</v>
      </c>
      <c r="D33" s="497">
        <f>IF(C33+E30&lt;60,B33+D30,B33+D30+1)</f>
        <v>8820</v>
      </c>
      <c r="E33" s="494">
        <f>IF(C33+E30&lt;60,C33+E30,C33+E30-60)</f>
        <v>24.999999999999844</v>
      </c>
      <c r="F33" s="495">
        <f t="shared" si="26"/>
        <v>-6</v>
      </c>
      <c r="G33" s="496">
        <f t="shared" si="27"/>
        <v>-24.999999999999858</v>
      </c>
      <c r="H33" s="386"/>
      <c r="I33" s="137">
        <f t="shared" ref="I33:I39" si="30">C33/60+B33</f>
        <v>0</v>
      </c>
      <c r="J33" s="137">
        <f t="shared" si="28"/>
        <v>-6.4166666666666643</v>
      </c>
      <c r="K33" s="523">
        <f>'Bord-B. D-EOYS'!A390</f>
        <v>0</v>
      </c>
      <c r="L33" s="493">
        <f>'Bord-B. D-EOYS'!J390</f>
        <v>0</v>
      </c>
      <c r="M33" s="494">
        <f>'Bord-B. D-EOYS'!K390</f>
        <v>0</v>
      </c>
      <c r="N33" s="493">
        <f t="shared" si="6"/>
        <v>74774.600000000006</v>
      </c>
      <c r="O33" s="494">
        <f t="shared" si="7"/>
        <v>54.999999999999716</v>
      </c>
      <c r="P33" s="495">
        <f t="shared" si="8"/>
        <v>21</v>
      </c>
      <c r="Q33" s="496">
        <f t="shared" si="9"/>
        <v>12.999999999999687</v>
      </c>
      <c r="R33" s="386"/>
      <c r="S33" s="135">
        <f>M33/60+L33</f>
        <v>0</v>
      </c>
      <c r="T33" s="135">
        <f t="shared" si="29"/>
        <v>21.216666666666661</v>
      </c>
    </row>
    <row r="34" spans="1:20" s="114" customFormat="1" ht="22.5" customHeight="1" x14ac:dyDescent="0.45">
      <c r="A34" s="588">
        <f>'Bord-B. D-EFLF'!A356</f>
        <v>0</v>
      </c>
      <c r="B34" s="589">
        <f>'Bord-B. D-EFLF'!J356</f>
        <v>0</v>
      </c>
      <c r="C34" s="590">
        <f>'Bord-B. D-EFLF'!K356</f>
        <v>0</v>
      </c>
      <c r="D34" s="405">
        <f t="shared" si="24"/>
        <v>8820</v>
      </c>
      <c r="E34" s="387">
        <f t="shared" si="25"/>
        <v>24.999999999999844</v>
      </c>
      <c r="F34" s="389">
        <f t="shared" si="26"/>
        <v>-6</v>
      </c>
      <c r="G34" s="399">
        <f t="shared" si="27"/>
        <v>-24.999999999999858</v>
      </c>
      <c r="H34" s="690" t="s">
        <v>281</v>
      </c>
      <c r="I34" s="137">
        <f t="shared" si="30"/>
        <v>0</v>
      </c>
      <c r="J34" s="137">
        <f t="shared" si="28"/>
        <v>-6.4166666666666643</v>
      </c>
      <c r="K34" s="524">
        <f>'Bord-B. D-EOYS'!A391</f>
        <v>0</v>
      </c>
      <c r="L34" s="522">
        <f>'Bord-B. D-EOYS'!J391</f>
        <v>0</v>
      </c>
      <c r="M34" s="387">
        <f>'Bord-B. D-EOYS'!K391</f>
        <v>0</v>
      </c>
      <c r="N34" s="522">
        <f t="shared" si="6"/>
        <v>74774.600000000006</v>
      </c>
      <c r="O34" s="387">
        <f t="shared" si="7"/>
        <v>54.999999999999716</v>
      </c>
      <c r="P34" s="532">
        <f t="shared" si="8"/>
        <v>21</v>
      </c>
      <c r="Q34" s="533">
        <f t="shared" si="9"/>
        <v>12.999999999999687</v>
      </c>
      <c r="R34" s="689" t="s">
        <v>280</v>
      </c>
      <c r="S34" s="135">
        <f t="shared" ref="S34:S66" si="31">M34/60+L34</f>
        <v>0</v>
      </c>
      <c r="T34" s="135">
        <f t="shared" si="29"/>
        <v>21.216666666666661</v>
      </c>
    </row>
    <row r="35" spans="1:20" s="114" customFormat="1" ht="22.5" customHeight="1" x14ac:dyDescent="0.45">
      <c r="A35" s="588">
        <f>'Bord-B. D-EFLF'!A357</f>
        <v>0</v>
      </c>
      <c r="B35" s="589">
        <f>'Bord-B. D-EFLF'!J357</f>
        <v>0</v>
      </c>
      <c r="C35" s="590">
        <f>'Bord-B. D-EFLF'!K357</f>
        <v>0</v>
      </c>
      <c r="D35" s="405">
        <f t="shared" si="24"/>
        <v>8820</v>
      </c>
      <c r="E35" s="387">
        <f t="shared" si="25"/>
        <v>24.999999999999844</v>
      </c>
      <c r="F35" s="389">
        <f t="shared" si="26"/>
        <v>-6</v>
      </c>
      <c r="G35" s="399">
        <f t="shared" si="27"/>
        <v>-24.999999999999858</v>
      </c>
      <c r="H35" s="690"/>
      <c r="I35" s="137">
        <f t="shared" si="30"/>
        <v>0</v>
      </c>
      <c r="J35" s="137">
        <f t="shared" si="28"/>
        <v>-6.4166666666666643</v>
      </c>
      <c r="K35" s="524">
        <f>'Bord-B. D-EOYS'!A392</f>
        <v>0</v>
      </c>
      <c r="L35" s="522">
        <f>'Bord-B. D-EOYS'!J392</f>
        <v>0</v>
      </c>
      <c r="M35" s="387">
        <f>'Bord-B. D-EOYS'!K392</f>
        <v>0</v>
      </c>
      <c r="N35" s="522">
        <f t="shared" si="6"/>
        <v>74774.600000000006</v>
      </c>
      <c r="O35" s="387">
        <f t="shared" si="7"/>
        <v>54.999999999999716</v>
      </c>
      <c r="P35" s="532">
        <f t="shared" si="8"/>
        <v>21</v>
      </c>
      <c r="Q35" s="533">
        <f t="shared" si="9"/>
        <v>12.999999999999687</v>
      </c>
      <c r="R35" s="689"/>
      <c r="S35" s="135">
        <f t="shared" si="31"/>
        <v>0</v>
      </c>
      <c r="T35" s="135">
        <f t="shared" si="29"/>
        <v>21.216666666666661</v>
      </c>
    </row>
    <row r="36" spans="1:20" s="114" customFormat="1" ht="22.5" customHeight="1" x14ac:dyDescent="0.45">
      <c r="A36" s="588">
        <f>'Bord-B. D-EFLF'!A358</f>
        <v>0</v>
      </c>
      <c r="B36" s="589">
        <f>'Bord-B. D-EFLF'!J358</f>
        <v>0</v>
      </c>
      <c r="C36" s="590">
        <f>'Bord-B. D-EFLF'!K358</f>
        <v>0</v>
      </c>
      <c r="D36" s="405">
        <f t="shared" si="24"/>
        <v>8820</v>
      </c>
      <c r="E36" s="387">
        <f t="shared" si="25"/>
        <v>24.999999999999844</v>
      </c>
      <c r="F36" s="389">
        <f t="shared" si="26"/>
        <v>-6</v>
      </c>
      <c r="G36" s="399">
        <f t="shared" si="27"/>
        <v>-24.999999999999858</v>
      </c>
      <c r="H36" s="690"/>
      <c r="I36" s="137">
        <f t="shared" si="30"/>
        <v>0</v>
      </c>
      <c r="J36" s="137">
        <f t="shared" si="28"/>
        <v>-6.4166666666666643</v>
      </c>
      <c r="K36" s="524">
        <f>'Bord-B. D-EOYS'!A393</f>
        <v>0</v>
      </c>
      <c r="L36" s="522">
        <f>'Bord-B. D-EOYS'!J393</f>
        <v>0</v>
      </c>
      <c r="M36" s="387">
        <f>'Bord-B. D-EOYS'!K393</f>
        <v>0</v>
      </c>
      <c r="N36" s="522">
        <f t="shared" si="6"/>
        <v>74774.600000000006</v>
      </c>
      <c r="O36" s="387">
        <f t="shared" si="7"/>
        <v>54.999999999999716</v>
      </c>
      <c r="P36" s="532">
        <f t="shared" si="8"/>
        <v>21</v>
      </c>
      <c r="Q36" s="533">
        <f t="shared" si="9"/>
        <v>12.999999999999687</v>
      </c>
      <c r="R36" s="689"/>
      <c r="S36" s="135">
        <f t="shared" si="31"/>
        <v>0</v>
      </c>
      <c r="T36" s="135">
        <f t="shared" si="29"/>
        <v>21.216666666666661</v>
      </c>
    </row>
    <row r="37" spans="1:20" s="114" customFormat="1" ht="22.5" customHeight="1" x14ac:dyDescent="0.45">
      <c r="A37" s="588">
        <f>'Bord-B. D-EFLF'!A359</f>
        <v>0</v>
      </c>
      <c r="B37" s="589">
        <f>'Bord-B. D-EFLF'!J359</f>
        <v>0</v>
      </c>
      <c r="C37" s="590">
        <f>'Bord-B. D-EFLF'!K359</f>
        <v>0</v>
      </c>
      <c r="D37" s="405">
        <f t="shared" si="24"/>
        <v>8820</v>
      </c>
      <c r="E37" s="387">
        <f t="shared" si="25"/>
        <v>24.999999999999844</v>
      </c>
      <c r="F37" s="389">
        <f t="shared" si="26"/>
        <v>-6</v>
      </c>
      <c r="G37" s="399">
        <f t="shared" si="27"/>
        <v>-24.999999999999858</v>
      </c>
      <c r="H37" s="690"/>
      <c r="I37" s="137">
        <f t="shared" si="30"/>
        <v>0</v>
      </c>
      <c r="J37" s="137">
        <f t="shared" si="28"/>
        <v>-6.4166666666666643</v>
      </c>
      <c r="K37" s="524">
        <f>'Bord-B. D-EOYS'!A394</f>
        <v>0</v>
      </c>
      <c r="L37" s="522">
        <f>'Bord-B. D-EOYS'!J394</f>
        <v>0</v>
      </c>
      <c r="M37" s="387">
        <f>'Bord-B. D-EOYS'!K394</f>
        <v>0</v>
      </c>
      <c r="N37" s="522">
        <f t="shared" si="6"/>
        <v>74774.600000000006</v>
      </c>
      <c r="O37" s="387">
        <f t="shared" si="7"/>
        <v>54.999999999999716</v>
      </c>
      <c r="P37" s="532">
        <f t="shared" si="8"/>
        <v>21</v>
      </c>
      <c r="Q37" s="533">
        <f t="shared" si="9"/>
        <v>12.999999999999687</v>
      </c>
      <c r="R37" s="689"/>
      <c r="S37" s="135">
        <f t="shared" si="31"/>
        <v>0</v>
      </c>
      <c r="T37" s="135">
        <f t="shared" si="29"/>
        <v>21.216666666666661</v>
      </c>
    </row>
    <row r="38" spans="1:20" s="114" customFormat="1" ht="22.5" customHeight="1" x14ac:dyDescent="0.45">
      <c r="A38" s="588">
        <f>'Bord-B. D-EFLF'!A360</f>
        <v>0</v>
      </c>
      <c r="B38" s="589">
        <f>'Bord-B. D-EFLF'!J360</f>
        <v>0</v>
      </c>
      <c r="C38" s="590">
        <f>'Bord-B. D-EFLF'!K360</f>
        <v>0</v>
      </c>
      <c r="D38" s="405">
        <f t="shared" si="24"/>
        <v>8820</v>
      </c>
      <c r="E38" s="387">
        <f t="shared" si="25"/>
        <v>24.999999999999844</v>
      </c>
      <c r="F38" s="389">
        <f t="shared" si="26"/>
        <v>-6</v>
      </c>
      <c r="G38" s="399">
        <f t="shared" si="27"/>
        <v>-24.999999999999858</v>
      </c>
      <c r="H38" s="265"/>
      <c r="I38" s="137">
        <f t="shared" si="30"/>
        <v>0</v>
      </c>
      <c r="J38" s="137">
        <f t="shared" si="28"/>
        <v>-6.4166666666666643</v>
      </c>
      <c r="K38" s="524">
        <f>'Bord-B. D-EOYS'!A395</f>
        <v>0</v>
      </c>
      <c r="L38" s="522">
        <f>'Bord-B. D-EOYS'!J395</f>
        <v>0</v>
      </c>
      <c r="M38" s="387">
        <f>'Bord-B. D-EOYS'!K395</f>
        <v>0</v>
      </c>
      <c r="N38" s="522">
        <f t="shared" si="6"/>
        <v>74774.600000000006</v>
      </c>
      <c r="O38" s="387">
        <f t="shared" si="7"/>
        <v>54.999999999999716</v>
      </c>
      <c r="P38" s="532">
        <f t="shared" si="8"/>
        <v>21</v>
      </c>
      <c r="Q38" s="533">
        <f t="shared" si="9"/>
        <v>12.999999999999687</v>
      </c>
      <c r="R38" s="265"/>
      <c r="S38" s="135">
        <f t="shared" si="31"/>
        <v>0</v>
      </c>
      <c r="T38" s="135">
        <f t="shared" si="29"/>
        <v>21.216666666666661</v>
      </c>
    </row>
    <row r="39" spans="1:20" s="114" customFormat="1" ht="22.5" customHeight="1" thickBot="1" x14ac:dyDescent="0.5">
      <c r="A39" s="591">
        <f>'Bord-B. D-EFLF'!A361</f>
        <v>0</v>
      </c>
      <c r="B39" s="592">
        <f>'Bord-B. D-EFLF'!J361</f>
        <v>0</v>
      </c>
      <c r="C39" s="593">
        <f>'Bord-B. D-EFLF'!K361</f>
        <v>0</v>
      </c>
      <c r="D39" s="406">
        <f t="shared" si="24"/>
        <v>8820</v>
      </c>
      <c r="E39" s="298">
        <f t="shared" si="25"/>
        <v>24.999999999999844</v>
      </c>
      <c r="F39" s="498">
        <f t="shared" si="26"/>
        <v>-6</v>
      </c>
      <c r="G39" s="499">
        <f t="shared" si="27"/>
        <v>-24.999999999999858</v>
      </c>
      <c r="H39" s="351"/>
      <c r="I39" s="137">
        <f t="shared" si="30"/>
        <v>0</v>
      </c>
      <c r="J39" s="137">
        <f>J38-I39</f>
        <v>-6.4166666666666643</v>
      </c>
      <c r="K39" s="511">
        <f>'Bord-B. D-EOYS'!A396</f>
        <v>0</v>
      </c>
      <c r="L39" s="297">
        <f>'Bord-B. D-EOYS'!J396</f>
        <v>0</v>
      </c>
      <c r="M39" s="298">
        <f>'Bord-B. D-EOYS'!K396</f>
        <v>0</v>
      </c>
      <c r="N39" s="297">
        <f t="shared" si="6"/>
        <v>74774.600000000006</v>
      </c>
      <c r="O39" s="298">
        <f t="shared" si="7"/>
        <v>54.999999999999716</v>
      </c>
      <c r="P39" s="388">
        <f t="shared" si="8"/>
        <v>21</v>
      </c>
      <c r="Q39" s="398">
        <f t="shared" si="9"/>
        <v>12.999999999999687</v>
      </c>
      <c r="R39" s="351"/>
      <c r="S39" s="135">
        <f t="shared" si="31"/>
        <v>0</v>
      </c>
      <c r="T39" s="135">
        <f t="shared" si="29"/>
        <v>21.216666666666661</v>
      </c>
    </row>
    <row r="40" spans="1:20" s="264" customFormat="1" ht="22.5" hidden="1" customHeight="1" x14ac:dyDescent="0.45">
      <c r="A40" s="547">
        <f>'Bord-B. D-EFLF'!A344</f>
        <v>0</v>
      </c>
      <c r="B40" s="548">
        <f>'Bord-B. D-EFLF'!J344</f>
        <v>8814</v>
      </c>
      <c r="C40" s="546">
        <f>'Bord-B. D-EFLF'!K344</f>
        <v>229.00000000000023</v>
      </c>
      <c r="D40" s="545">
        <f t="shared" si="24"/>
        <v>17635</v>
      </c>
      <c r="E40" s="546">
        <f t="shared" si="25"/>
        <v>194.00000000000006</v>
      </c>
      <c r="F40" s="536">
        <f t="shared" si="26"/>
        <v>-6</v>
      </c>
      <c r="G40" s="537">
        <f t="shared" si="27"/>
        <v>-24.999999999999858</v>
      </c>
      <c r="H40" s="500"/>
      <c r="I40" s="137">
        <v>0</v>
      </c>
      <c r="J40" s="137">
        <f t="shared" ref="J40:J47" si="32">J39-I40</f>
        <v>-6.4166666666666643</v>
      </c>
      <c r="K40" s="523">
        <f>'Bord-B. D-EOYS'!A415</f>
        <v>0</v>
      </c>
      <c r="L40" s="493">
        <f>'Bord-B. D-EOYS'!J415</f>
        <v>14954.4</v>
      </c>
      <c r="M40" s="494">
        <f>'Bord-B. D-EOYS'!K415</f>
        <v>47</v>
      </c>
      <c r="N40" s="493">
        <f t="shared" ref="N40:N65" si="33">IF(M40+O39&lt;60,L40+N39,L40+N39+1)</f>
        <v>89730</v>
      </c>
      <c r="O40" s="494">
        <f t="shared" ref="O40:O65" si="34">IF(M40+O39&lt;60,M40+O39,M40+O39-60)</f>
        <v>41.999999999999716</v>
      </c>
      <c r="P40" s="495">
        <f t="shared" ref="P40:P65" si="35">ROUNDDOWN(T40,0)</f>
        <v>21</v>
      </c>
      <c r="Q40" s="496">
        <f t="shared" ref="Q40:Q65" si="36">(T40-P40)*60</f>
        <v>12.999999999999687</v>
      </c>
      <c r="R40" s="369"/>
      <c r="S40" s="135">
        <v>0</v>
      </c>
      <c r="T40" s="135">
        <f t="shared" si="29"/>
        <v>21.216666666666661</v>
      </c>
    </row>
    <row r="41" spans="1:20" s="264" customFormat="1" ht="22.5" hidden="1" customHeight="1" thickBot="1" x14ac:dyDescent="0.5">
      <c r="A41" s="539" t="str">
        <f>'Bord-B. D-EFLF'!A345</f>
        <v>Zwischenstände</v>
      </c>
      <c r="B41" s="540">
        <f>'Bord-B. D-EFLF'!J345</f>
        <v>8817</v>
      </c>
      <c r="C41" s="541">
        <f>'Bord-B. D-EFLF'!K345</f>
        <v>49</v>
      </c>
      <c r="D41" s="542">
        <f t="shared" si="24"/>
        <v>26453</v>
      </c>
      <c r="E41" s="541">
        <f t="shared" si="25"/>
        <v>183.00000000000006</v>
      </c>
      <c r="F41" s="543">
        <f t="shared" si="26"/>
        <v>-6</v>
      </c>
      <c r="G41" s="544">
        <f t="shared" si="27"/>
        <v>-24.999999999999858</v>
      </c>
      <c r="H41" s="501"/>
      <c r="I41" s="137">
        <v>0</v>
      </c>
      <c r="J41" s="137">
        <f t="shared" si="32"/>
        <v>-6.4166666666666643</v>
      </c>
      <c r="K41" s="511" t="str">
        <f>'Bord-B. D-EOYS'!A416</f>
        <v>Zwischenstände</v>
      </c>
      <c r="L41" s="297">
        <f>'Bord-B. D-EOYS'!J416</f>
        <v>14954.4</v>
      </c>
      <c r="M41" s="298">
        <f>'Bord-B. D-EOYS'!K416</f>
        <v>47</v>
      </c>
      <c r="N41" s="297">
        <f t="shared" si="33"/>
        <v>104685.4</v>
      </c>
      <c r="O41" s="298">
        <f t="shared" si="34"/>
        <v>28.999999999999716</v>
      </c>
      <c r="P41" s="388">
        <f t="shared" si="35"/>
        <v>21</v>
      </c>
      <c r="Q41" s="398">
        <f t="shared" si="36"/>
        <v>12.999999999999687</v>
      </c>
      <c r="R41" s="351"/>
      <c r="S41" s="135">
        <v>0</v>
      </c>
      <c r="T41" s="135">
        <f t="shared" si="29"/>
        <v>21.216666666666661</v>
      </c>
    </row>
    <row r="42" spans="1:20" s="114" customFormat="1" ht="22.5" customHeight="1" x14ac:dyDescent="0.45">
      <c r="A42" s="549">
        <f>'Bord-B. D-EFLF'!A346</f>
        <v>43524</v>
      </c>
      <c r="B42" s="493">
        <f>'Bord-B. D-EFLF'!J346</f>
        <v>1</v>
      </c>
      <c r="C42" s="494">
        <f>'Bord-B. D-EFLF'!K346</f>
        <v>16.999999999999964</v>
      </c>
      <c r="D42" s="497">
        <f>IF(C42+E39&lt;60,B42+D39,B42+D39+1)</f>
        <v>8821</v>
      </c>
      <c r="E42" s="494">
        <f>IF(C42+E39&lt;60,C42+E39,C42+E39-60)</f>
        <v>41.999999999999808</v>
      </c>
      <c r="F42" s="495">
        <f t="shared" si="26"/>
        <v>-7</v>
      </c>
      <c r="G42" s="496">
        <f t="shared" si="27"/>
        <v>-41.999999999999851</v>
      </c>
      <c r="H42" s="386"/>
      <c r="I42" s="137">
        <f t="shared" ref="I42:I48" si="37">C42/60+B42</f>
        <v>1.2833333333333328</v>
      </c>
      <c r="J42" s="137">
        <f t="shared" si="32"/>
        <v>-7.6999999999999975</v>
      </c>
      <c r="K42" s="523">
        <f>'Bord-B. D-EOYS'!A417</f>
        <v>0</v>
      </c>
      <c r="L42" s="493">
        <f>'Bord-B. D-EOYS'!J417</f>
        <v>0</v>
      </c>
      <c r="M42" s="494">
        <f>'Bord-B. D-EOYS'!K417</f>
        <v>0</v>
      </c>
      <c r="N42" s="493">
        <f>IF(M42+O39&lt;60,L42+N39,L42+N39+1)</f>
        <v>74774.600000000006</v>
      </c>
      <c r="O42" s="494">
        <f>IF(M42+O39&lt;60,M42+O39,M42+O39-60)</f>
        <v>54.999999999999716</v>
      </c>
      <c r="P42" s="495">
        <f t="shared" si="35"/>
        <v>21</v>
      </c>
      <c r="Q42" s="496">
        <f t="shared" si="36"/>
        <v>12.999999999999687</v>
      </c>
      <c r="R42" s="386"/>
      <c r="S42" s="135">
        <f t="shared" si="31"/>
        <v>0</v>
      </c>
      <c r="T42" s="135">
        <f t="shared" si="29"/>
        <v>21.216666666666661</v>
      </c>
    </row>
    <row r="43" spans="1:20" s="114" customFormat="1" ht="22.5" customHeight="1" x14ac:dyDescent="0.45">
      <c r="A43" s="550">
        <f>'Bord-B. D-EFLF'!A347</f>
        <v>43530</v>
      </c>
      <c r="B43" s="522">
        <f>'Bord-B. D-EFLF'!J347</f>
        <v>0</v>
      </c>
      <c r="C43" s="387">
        <f>'Bord-B. D-EFLF'!K347</f>
        <v>31.999999999999886</v>
      </c>
      <c r="D43" s="405">
        <f t="shared" si="24"/>
        <v>8822</v>
      </c>
      <c r="E43" s="387">
        <f t="shared" si="25"/>
        <v>13.999999999999687</v>
      </c>
      <c r="F43" s="389">
        <f t="shared" si="26"/>
        <v>-8</v>
      </c>
      <c r="G43" s="399">
        <f t="shared" si="27"/>
        <v>-13.999999999999737</v>
      </c>
      <c r="H43" s="690" t="str">
        <f>H34</f>
        <v>Bitte um tel. Info, wenn 8.821 Fh erreicht sind!
+49 151 / 1850-9005</v>
      </c>
      <c r="I43" s="137">
        <f t="shared" si="37"/>
        <v>0.53333333333333144</v>
      </c>
      <c r="J43" s="137">
        <f t="shared" si="32"/>
        <v>-8.233333333333329</v>
      </c>
      <c r="K43" s="524">
        <f>'Bord-B. D-EOYS'!A418</f>
        <v>0</v>
      </c>
      <c r="L43" s="522">
        <f>'Bord-B. D-EOYS'!J418</f>
        <v>0</v>
      </c>
      <c r="M43" s="387">
        <f>'Bord-B. D-EOYS'!K418</f>
        <v>0</v>
      </c>
      <c r="N43" s="522">
        <f t="shared" si="33"/>
        <v>74774.600000000006</v>
      </c>
      <c r="O43" s="387">
        <f t="shared" si="34"/>
        <v>54.999999999999716</v>
      </c>
      <c r="P43" s="532">
        <f t="shared" si="35"/>
        <v>21</v>
      </c>
      <c r="Q43" s="533">
        <f t="shared" si="36"/>
        <v>12.999999999999687</v>
      </c>
      <c r="R43" s="689" t="str">
        <f>R34</f>
        <v>Bitte um tel. Info, wenn 14.983 Fh erreicht sind!
+49 151 / 1850-9005</v>
      </c>
      <c r="S43" s="135">
        <f t="shared" si="31"/>
        <v>0</v>
      </c>
      <c r="T43" s="135">
        <f t="shared" si="29"/>
        <v>21.216666666666661</v>
      </c>
    </row>
    <row r="44" spans="1:20" s="114" customFormat="1" ht="22.5" customHeight="1" x14ac:dyDescent="0.45">
      <c r="A44" s="550">
        <f>'Bord-B. D-EFLF'!A348</f>
        <v>43530</v>
      </c>
      <c r="B44" s="522">
        <f>'Bord-B. D-EFLF'!J348</f>
        <v>0</v>
      </c>
      <c r="C44" s="387">
        <f>'Bord-B. D-EFLF'!K348</f>
        <v>20.000000000000089</v>
      </c>
      <c r="D44" s="405">
        <f t="shared" si="24"/>
        <v>8822</v>
      </c>
      <c r="E44" s="387">
        <f t="shared" si="25"/>
        <v>33.999999999999773</v>
      </c>
      <c r="F44" s="389">
        <f t="shared" si="26"/>
        <v>-8</v>
      </c>
      <c r="G44" s="399">
        <f t="shared" si="27"/>
        <v>-33.999999999999773</v>
      </c>
      <c r="H44" s="690"/>
      <c r="I44" s="137">
        <f t="shared" si="37"/>
        <v>0.33333333333333481</v>
      </c>
      <c r="J44" s="137">
        <f t="shared" si="32"/>
        <v>-8.5666666666666629</v>
      </c>
      <c r="K44" s="524">
        <f>'Bord-B. D-EOYS'!A419</f>
        <v>0</v>
      </c>
      <c r="L44" s="522">
        <f>'Bord-B. D-EOYS'!J419</f>
        <v>0</v>
      </c>
      <c r="M44" s="387">
        <f>'Bord-B. D-EOYS'!K419</f>
        <v>0</v>
      </c>
      <c r="N44" s="522">
        <f t="shared" si="33"/>
        <v>74774.600000000006</v>
      </c>
      <c r="O44" s="387">
        <f t="shared" si="34"/>
        <v>54.999999999999716</v>
      </c>
      <c r="P44" s="532">
        <f t="shared" si="35"/>
        <v>21</v>
      </c>
      <c r="Q44" s="533">
        <f t="shared" si="36"/>
        <v>12.999999999999687</v>
      </c>
      <c r="R44" s="689"/>
      <c r="S44" s="135">
        <f t="shared" si="31"/>
        <v>0</v>
      </c>
      <c r="T44" s="135">
        <f t="shared" si="29"/>
        <v>21.216666666666661</v>
      </c>
    </row>
    <row r="45" spans="1:20" s="114" customFormat="1" ht="22.5" customHeight="1" x14ac:dyDescent="0.45">
      <c r="A45" s="550">
        <f>'Bord-B. D-EFLF'!A349</f>
        <v>43530</v>
      </c>
      <c r="B45" s="522">
        <f>'Bord-B. D-EFLF'!J349</f>
        <v>0</v>
      </c>
      <c r="C45" s="387">
        <f>'Bord-B. D-EFLF'!K349</f>
        <v>26.999999999999904</v>
      </c>
      <c r="D45" s="405">
        <f t="shared" si="24"/>
        <v>8823</v>
      </c>
      <c r="E45" s="387">
        <f t="shared" si="25"/>
        <v>0.99999999999967315</v>
      </c>
      <c r="F45" s="389">
        <f t="shared" si="26"/>
        <v>-9</v>
      </c>
      <c r="G45" s="399">
        <f t="shared" si="27"/>
        <v>-0.99999999999972999</v>
      </c>
      <c r="H45" s="690"/>
      <c r="I45" s="137">
        <f t="shared" si="37"/>
        <v>0.4499999999999984</v>
      </c>
      <c r="J45" s="137">
        <f t="shared" si="32"/>
        <v>-9.0166666666666622</v>
      </c>
      <c r="K45" s="524">
        <f>'Bord-B. D-EOYS'!A420</f>
        <v>0</v>
      </c>
      <c r="L45" s="522">
        <f>'Bord-B. D-EOYS'!J420</f>
        <v>0</v>
      </c>
      <c r="M45" s="387">
        <f>'Bord-B. D-EOYS'!K420</f>
        <v>0</v>
      </c>
      <c r="N45" s="522">
        <f t="shared" si="33"/>
        <v>74774.600000000006</v>
      </c>
      <c r="O45" s="387">
        <f t="shared" si="34"/>
        <v>54.999999999999716</v>
      </c>
      <c r="P45" s="532">
        <f t="shared" si="35"/>
        <v>21</v>
      </c>
      <c r="Q45" s="533">
        <f t="shared" si="36"/>
        <v>12.999999999999687</v>
      </c>
      <c r="R45" s="689"/>
      <c r="S45" s="135">
        <f t="shared" si="31"/>
        <v>0</v>
      </c>
      <c r="T45" s="135">
        <f t="shared" si="29"/>
        <v>21.216666666666661</v>
      </c>
    </row>
    <row r="46" spans="1:20" s="114" customFormat="1" ht="22.5" customHeight="1" x14ac:dyDescent="0.45">
      <c r="A46" s="550">
        <f>'Bord-B. D-EFLF'!A350</f>
        <v>43541</v>
      </c>
      <c r="B46" s="522">
        <f>'Bord-B. D-EFLF'!J350</f>
        <v>0</v>
      </c>
      <c r="C46" s="387">
        <f>'Bord-B. D-EFLF'!K350</f>
        <v>0</v>
      </c>
      <c r="D46" s="405">
        <f t="shared" si="24"/>
        <v>8823</v>
      </c>
      <c r="E46" s="387">
        <f t="shared" si="25"/>
        <v>0.99999999999967315</v>
      </c>
      <c r="F46" s="389">
        <f t="shared" si="26"/>
        <v>-9</v>
      </c>
      <c r="G46" s="399">
        <f t="shared" si="27"/>
        <v>-0.99999999999972999</v>
      </c>
      <c r="H46" s="690"/>
      <c r="I46" s="137">
        <f t="shared" si="37"/>
        <v>0</v>
      </c>
      <c r="J46" s="137">
        <f t="shared" si="32"/>
        <v>-9.0166666666666622</v>
      </c>
      <c r="K46" s="524">
        <f>'Bord-B. D-EOYS'!A421</f>
        <v>0</v>
      </c>
      <c r="L46" s="522">
        <f>'Bord-B. D-EOYS'!J421</f>
        <v>0</v>
      </c>
      <c r="M46" s="387">
        <f>'Bord-B. D-EOYS'!K421</f>
        <v>0</v>
      </c>
      <c r="N46" s="522">
        <f t="shared" si="33"/>
        <v>74774.600000000006</v>
      </c>
      <c r="O46" s="387">
        <f t="shared" si="34"/>
        <v>54.999999999999716</v>
      </c>
      <c r="P46" s="532">
        <f t="shared" si="35"/>
        <v>21</v>
      </c>
      <c r="Q46" s="533">
        <f t="shared" si="36"/>
        <v>12.999999999999687</v>
      </c>
      <c r="R46" s="689"/>
      <c r="S46" s="135">
        <f t="shared" si="31"/>
        <v>0</v>
      </c>
      <c r="T46" s="135">
        <f t="shared" si="29"/>
        <v>21.216666666666661</v>
      </c>
    </row>
    <row r="47" spans="1:20" s="114" customFormat="1" ht="22.5" customHeight="1" x14ac:dyDescent="0.45">
      <c r="A47" s="550">
        <f>'Bord-B. D-EFLF'!A351</f>
        <v>0</v>
      </c>
      <c r="B47" s="522">
        <f>'Bord-B. D-EFLF'!J351</f>
        <v>0</v>
      </c>
      <c r="C47" s="387">
        <f>'Bord-B. D-EFLF'!K351</f>
        <v>0</v>
      </c>
      <c r="D47" s="405">
        <f t="shared" si="24"/>
        <v>8823</v>
      </c>
      <c r="E47" s="387">
        <f t="shared" si="25"/>
        <v>0.99999999999967315</v>
      </c>
      <c r="F47" s="389">
        <f t="shared" si="26"/>
        <v>-9</v>
      </c>
      <c r="G47" s="399">
        <f t="shared" si="27"/>
        <v>-0.99999999999972999</v>
      </c>
      <c r="H47" s="265"/>
      <c r="I47" s="137">
        <f t="shared" si="37"/>
        <v>0</v>
      </c>
      <c r="J47" s="137">
        <f t="shared" si="32"/>
        <v>-9.0166666666666622</v>
      </c>
      <c r="K47" s="524">
        <f>'Bord-B. D-EOYS'!A422</f>
        <v>0</v>
      </c>
      <c r="L47" s="522">
        <f>'Bord-B. D-EOYS'!J422</f>
        <v>0</v>
      </c>
      <c r="M47" s="387">
        <f>'Bord-B. D-EOYS'!K422</f>
        <v>0</v>
      </c>
      <c r="N47" s="522">
        <f t="shared" si="33"/>
        <v>74774.600000000006</v>
      </c>
      <c r="O47" s="387">
        <f t="shared" si="34"/>
        <v>54.999999999999716</v>
      </c>
      <c r="P47" s="532">
        <f t="shared" si="35"/>
        <v>21</v>
      </c>
      <c r="Q47" s="533">
        <f t="shared" si="36"/>
        <v>12.999999999999687</v>
      </c>
      <c r="R47" s="265"/>
      <c r="S47" s="135">
        <f t="shared" si="31"/>
        <v>0</v>
      </c>
      <c r="T47" s="135">
        <f t="shared" si="29"/>
        <v>21.216666666666661</v>
      </c>
    </row>
    <row r="48" spans="1:20" s="114" customFormat="1" ht="22.5" customHeight="1" thickBot="1" x14ac:dyDescent="0.5">
      <c r="A48" s="296">
        <f>'Bord-B. D-EFLF'!A352</f>
        <v>0</v>
      </c>
      <c r="B48" s="297">
        <f>'Bord-B. D-EFLF'!J352</f>
        <v>0</v>
      </c>
      <c r="C48" s="298">
        <f>'Bord-B. D-EFLF'!K352</f>
        <v>0</v>
      </c>
      <c r="D48" s="406">
        <f t="shared" si="24"/>
        <v>8823</v>
      </c>
      <c r="E48" s="298">
        <f t="shared" si="25"/>
        <v>0.99999999999967315</v>
      </c>
      <c r="F48" s="388">
        <f t="shared" si="26"/>
        <v>-9</v>
      </c>
      <c r="G48" s="398">
        <f t="shared" si="27"/>
        <v>-0.99999999999972999</v>
      </c>
      <c r="H48" s="502"/>
      <c r="I48" s="137">
        <f t="shared" si="37"/>
        <v>0</v>
      </c>
      <c r="J48" s="137">
        <f>J47-I48</f>
        <v>-9.0166666666666622</v>
      </c>
      <c r="K48" s="511">
        <f>'Bord-B. D-EOYS'!A423</f>
        <v>0</v>
      </c>
      <c r="L48" s="297">
        <f>'Bord-B. D-EOYS'!J423</f>
        <v>0</v>
      </c>
      <c r="M48" s="298">
        <f>'Bord-B. D-EOYS'!K423</f>
        <v>0</v>
      </c>
      <c r="N48" s="297">
        <f t="shared" si="33"/>
        <v>74774.600000000006</v>
      </c>
      <c r="O48" s="298">
        <f t="shared" si="34"/>
        <v>54.999999999999716</v>
      </c>
      <c r="P48" s="388">
        <f t="shared" si="35"/>
        <v>21</v>
      </c>
      <c r="Q48" s="398">
        <f t="shared" si="36"/>
        <v>12.999999999999687</v>
      </c>
      <c r="R48" s="351"/>
      <c r="S48" s="135">
        <f t="shared" si="31"/>
        <v>0</v>
      </c>
      <c r="T48" s="135">
        <f t="shared" si="29"/>
        <v>21.216666666666661</v>
      </c>
    </row>
    <row r="49" spans="1:20" s="264" customFormat="1" ht="22.5" customHeight="1" x14ac:dyDescent="0.45">
      <c r="A49" s="549">
        <f>'Bord-B. D-EFLF'!A353</f>
        <v>0</v>
      </c>
      <c r="B49" s="493">
        <f>'Bord-B. D-EFLF'!J353</f>
        <v>8818</v>
      </c>
      <c r="C49" s="494">
        <f>'Bord-B. D-EFLF'!K353</f>
        <v>144.99999999999986</v>
      </c>
      <c r="D49" s="497">
        <f t="shared" si="24"/>
        <v>17642</v>
      </c>
      <c r="E49" s="494">
        <f t="shared" si="25"/>
        <v>85.999999999999545</v>
      </c>
      <c r="F49" s="495">
        <f t="shared" si="26"/>
        <v>-9</v>
      </c>
      <c r="G49" s="496">
        <f t="shared" si="27"/>
        <v>-0.99999999999972999</v>
      </c>
      <c r="H49" s="369"/>
      <c r="I49" s="137">
        <v>0</v>
      </c>
      <c r="J49" s="137">
        <f t="shared" ref="J49:J56" si="38">J48-I49</f>
        <v>-9.0166666666666622</v>
      </c>
      <c r="K49" s="523">
        <f>'Bord-B. D-EOYS'!A424</f>
        <v>0</v>
      </c>
      <c r="L49" s="493">
        <f>'Bord-B. D-EOYS'!J424</f>
        <v>14954.4</v>
      </c>
      <c r="M49" s="494">
        <f>'Bord-B. D-EOYS'!K424</f>
        <v>47</v>
      </c>
      <c r="N49" s="493">
        <f t="shared" si="33"/>
        <v>89730</v>
      </c>
      <c r="O49" s="494">
        <f t="shared" si="34"/>
        <v>41.999999999999716</v>
      </c>
      <c r="P49" s="495">
        <f t="shared" si="35"/>
        <v>21</v>
      </c>
      <c r="Q49" s="496">
        <f t="shared" si="36"/>
        <v>12.999999999999687</v>
      </c>
      <c r="R49" s="369"/>
      <c r="S49" s="135">
        <v>0</v>
      </c>
      <c r="T49" s="135">
        <f t="shared" si="29"/>
        <v>21.216666666666661</v>
      </c>
    </row>
    <row r="50" spans="1:20" s="264" customFormat="1" ht="22.5" customHeight="1" thickBot="1" x14ac:dyDescent="0.5">
      <c r="A50" s="296" t="str">
        <f>'Bord-B. D-EFLF'!A354</f>
        <v>Zwischenstände</v>
      </c>
      <c r="B50" s="297">
        <f>'Bord-B. D-EFLF'!J354</f>
        <v>8820</v>
      </c>
      <c r="C50" s="298">
        <f>'Bord-B. D-EFLF'!K354</f>
        <v>25</v>
      </c>
      <c r="D50" s="406">
        <f t="shared" si="24"/>
        <v>26463</v>
      </c>
      <c r="E50" s="298">
        <f t="shared" si="25"/>
        <v>50.999999999999545</v>
      </c>
      <c r="F50" s="498">
        <f t="shared" si="26"/>
        <v>-9</v>
      </c>
      <c r="G50" s="499">
        <f t="shared" si="27"/>
        <v>-0.99999999999972999</v>
      </c>
      <c r="H50" s="351"/>
      <c r="I50" s="137">
        <v>0</v>
      </c>
      <c r="J50" s="137">
        <f t="shared" si="38"/>
        <v>-9.0166666666666622</v>
      </c>
      <c r="K50" s="511" t="str">
        <f>'Bord-B. D-EOYS'!A425</f>
        <v>Zwischenstände</v>
      </c>
      <c r="L50" s="297">
        <f>'Bord-B. D-EOYS'!J425</f>
        <v>14954.4</v>
      </c>
      <c r="M50" s="298">
        <f>'Bord-B. D-EOYS'!K425</f>
        <v>47</v>
      </c>
      <c r="N50" s="297">
        <f t="shared" si="33"/>
        <v>104685.4</v>
      </c>
      <c r="O50" s="298">
        <f t="shared" si="34"/>
        <v>28.999999999999716</v>
      </c>
      <c r="P50" s="388">
        <f t="shared" si="35"/>
        <v>21</v>
      </c>
      <c r="Q50" s="398">
        <f t="shared" si="36"/>
        <v>12.999999999999687</v>
      </c>
      <c r="R50" s="351"/>
      <c r="S50" s="135">
        <v>0</v>
      </c>
      <c r="T50" s="135">
        <f t="shared" si="29"/>
        <v>21.216666666666661</v>
      </c>
    </row>
    <row r="51" spans="1:20" s="114" customFormat="1" ht="22.5" customHeight="1" x14ac:dyDescent="0.45">
      <c r="A51" s="549">
        <f>'Bord-B. D-EFLF'!A355</f>
        <v>0</v>
      </c>
      <c r="B51" s="493">
        <f>'Bord-B. D-EFLF'!J355</f>
        <v>0</v>
      </c>
      <c r="C51" s="494">
        <f>'Bord-B. D-EFLF'!K355</f>
        <v>0</v>
      </c>
      <c r="D51" s="497">
        <f>IF(C51+E48&lt;60,B51+D48,B51+D48+1)</f>
        <v>8823</v>
      </c>
      <c r="E51" s="494">
        <f>IF(C51+E48&lt;60,C51+E48,C51+E48-60)</f>
        <v>0.99999999999967315</v>
      </c>
      <c r="F51" s="495">
        <f>ROUNDDOWN(J51,0)</f>
        <v>-9</v>
      </c>
      <c r="G51" s="496">
        <f>(J51-F51)*60</f>
        <v>-0.99999999999972999</v>
      </c>
      <c r="H51" s="386"/>
      <c r="I51" s="137">
        <f>C51/60+B51</f>
        <v>0</v>
      </c>
      <c r="J51" s="137">
        <f t="shared" si="38"/>
        <v>-9.0166666666666622</v>
      </c>
      <c r="K51" s="523">
        <f>'Bord-B. D-EOYS'!A426</f>
        <v>0</v>
      </c>
      <c r="L51" s="493">
        <f>'Bord-B. D-EOYS'!J426</f>
        <v>9.9645833333333336</v>
      </c>
      <c r="M51" s="494">
        <f>'Bord-B. D-EOYS'!K426</f>
        <v>0</v>
      </c>
      <c r="N51" s="493">
        <f>IF(M51+O48&lt;60,L51+N48,L51+N48+1)</f>
        <v>74784.56458333334</v>
      </c>
      <c r="O51" s="494">
        <f>IF(M51+O48&lt;60,M51+O48,M51+O48-60)</f>
        <v>54.999999999999716</v>
      </c>
      <c r="P51" s="495">
        <f t="shared" si="35"/>
        <v>11</v>
      </c>
      <c r="Q51" s="496">
        <f t="shared" si="36"/>
        <v>15.124999999999673</v>
      </c>
      <c r="R51" s="386"/>
      <c r="S51" s="135">
        <f>M51/60+L51</f>
        <v>9.9645833333333336</v>
      </c>
      <c r="T51" s="135">
        <f t="shared" si="29"/>
        <v>11.252083333333328</v>
      </c>
    </row>
    <row r="52" spans="1:20" s="114" customFormat="1" ht="22.5" customHeight="1" x14ac:dyDescent="0.45">
      <c r="A52" s="550">
        <f>'Bord-B. D-EFLF'!A356</f>
        <v>0</v>
      </c>
      <c r="B52" s="522">
        <f>'Bord-B. D-EFLF'!J356</f>
        <v>0</v>
      </c>
      <c r="C52" s="387">
        <f>'Bord-B. D-EFLF'!K356</f>
        <v>0</v>
      </c>
      <c r="D52" s="405">
        <f t="shared" si="24"/>
        <v>8823</v>
      </c>
      <c r="E52" s="387">
        <f t="shared" si="25"/>
        <v>0.99999999999967315</v>
      </c>
      <c r="F52" s="389">
        <f t="shared" si="26"/>
        <v>-9</v>
      </c>
      <c r="G52" s="399">
        <f t="shared" si="27"/>
        <v>-0.99999999999972999</v>
      </c>
      <c r="H52" s="690" t="str">
        <f>H43</f>
        <v>Bitte um tel. Info, wenn 8.821 Fh erreicht sind!
+49 151 / 1850-9005</v>
      </c>
      <c r="I52" s="137">
        <f t="shared" ref="I52:I57" si="39">C52/60+B52</f>
        <v>0</v>
      </c>
      <c r="J52" s="137">
        <f t="shared" si="38"/>
        <v>-9.0166666666666622</v>
      </c>
      <c r="K52" s="524">
        <f>'Bord-B. D-EOYS'!A427</f>
        <v>0</v>
      </c>
      <c r="L52" s="522">
        <f>'Bord-B. D-EOYS'!J427</f>
        <v>0</v>
      </c>
      <c r="M52" s="387">
        <f>'Bord-B. D-EOYS'!K427</f>
        <v>0</v>
      </c>
      <c r="N52" s="522">
        <f t="shared" si="33"/>
        <v>74784.56458333334</v>
      </c>
      <c r="O52" s="387">
        <f t="shared" si="34"/>
        <v>54.999999999999716</v>
      </c>
      <c r="P52" s="532">
        <f t="shared" si="35"/>
        <v>11</v>
      </c>
      <c r="Q52" s="533">
        <f t="shared" si="36"/>
        <v>15.124999999999673</v>
      </c>
      <c r="R52" s="689" t="str">
        <f>R43</f>
        <v>Bitte um tel. Info, wenn 14.983 Fh erreicht sind!
+49 151 / 1850-9005</v>
      </c>
      <c r="S52" s="135">
        <f t="shared" si="31"/>
        <v>0</v>
      </c>
      <c r="T52" s="135">
        <f t="shared" si="29"/>
        <v>11.252083333333328</v>
      </c>
    </row>
    <row r="53" spans="1:20" s="114" customFormat="1" ht="22.5" customHeight="1" x14ac:dyDescent="0.45">
      <c r="A53" s="550">
        <f>'Bord-B. D-EFLF'!A357</f>
        <v>0</v>
      </c>
      <c r="B53" s="522">
        <f>'Bord-B. D-EFLF'!J357</f>
        <v>0</v>
      </c>
      <c r="C53" s="387">
        <f>'Bord-B. D-EFLF'!K357</f>
        <v>0</v>
      </c>
      <c r="D53" s="405">
        <f t="shared" si="24"/>
        <v>8823</v>
      </c>
      <c r="E53" s="387">
        <f t="shared" si="25"/>
        <v>0.99999999999967315</v>
      </c>
      <c r="F53" s="389">
        <f t="shared" si="26"/>
        <v>-9</v>
      </c>
      <c r="G53" s="399">
        <f t="shared" si="27"/>
        <v>-0.99999999999972999</v>
      </c>
      <c r="H53" s="690"/>
      <c r="I53" s="137">
        <f t="shared" si="39"/>
        <v>0</v>
      </c>
      <c r="J53" s="137">
        <f t="shared" si="38"/>
        <v>-9.0166666666666622</v>
      </c>
      <c r="K53" s="524">
        <f>'Bord-B. D-EOYS'!A428</f>
        <v>0</v>
      </c>
      <c r="L53" s="522">
        <f>'Bord-B. D-EOYS'!J428</f>
        <v>0</v>
      </c>
      <c r="M53" s="387">
        <f>'Bord-B. D-EOYS'!K428</f>
        <v>0</v>
      </c>
      <c r="N53" s="522">
        <f t="shared" si="33"/>
        <v>74784.56458333334</v>
      </c>
      <c r="O53" s="387">
        <f t="shared" si="34"/>
        <v>54.999999999999716</v>
      </c>
      <c r="P53" s="532">
        <f t="shared" si="35"/>
        <v>11</v>
      </c>
      <c r="Q53" s="533">
        <f t="shared" si="36"/>
        <v>15.124999999999673</v>
      </c>
      <c r="R53" s="689"/>
      <c r="S53" s="135">
        <f t="shared" si="31"/>
        <v>0</v>
      </c>
      <c r="T53" s="135">
        <f t="shared" si="29"/>
        <v>11.252083333333328</v>
      </c>
    </row>
    <row r="54" spans="1:20" s="114" customFormat="1" ht="22.5" customHeight="1" x14ac:dyDescent="0.45">
      <c r="A54" s="550">
        <f>'Bord-B. D-EFLF'!A358</f>
        <v>0</v>
      </c>
      <c r="B54" s="522">
        <f>'Bord-B. D-EFLF'!J358</f>
        <v>0</v>
      </c>
      <c r="C54" s="387">
        <f>'Bord-B. D-EFLF'!K358</f>
        <v>0</v>
      </c>
      <c r="D54" s="405">
        <f t="shared" si="24"/>
        <v>8823</v>
      </c>
      <c r="E54" s="387">
        <f t="shared" si="25"/>
        <v>0.99999999999967315</v>
      </c>
      <c r="F54" s="389">
        <f t="shared" si="26"/>
        <v>-9</v>
      </c>
      <c r="G54" s="399">
        <f t="shared" si="27"/>
        <v>-0.99999999999972999</v>
      </c>
      <c r="H54" s="690"/>
      <c r="I54" s="137">
        <f t="shared" si="39"/>
        <v>0</v>
      </c>
      <c r="J54" s="137">
        <f t="shared" si="38"/>
        <v>-9.0166666666666622</v>
      </c>
      <c r="K54" s="524">
        <f>'Bord-B. D-EOYS'!A429</f>
        <v>0</v>
      </c>
      <c r="L54" s="522">
        <f>'Bord-B. D-EOYS'!J429</f>
        <v>0</v>
      </c>
      <c r="M54" s="387">
        <f>'Bord-B. D-EOYS'!K429</f>
        <v>0</v>
      </c>
      <c r="N54" s="522">
        <f t="shared" si="33"/>
        <v>74784.56458333334</v>
      </c>
      <c r="O54" s="387">
        <f t="shared" si="34"/>
        <v>54.999999999999716</v>
      </c>
      <c r="P54" s="532">
        <f t="shared" si="35"/>
        <v>11</v>
      </c>
      <c r="Q54" s="533">
        <f t="shared" si="36"/>
        <v>15.124999999999673</v>
      </c>
      <c r="R54" s="689"/>
      <c r="S54" s="135">
        <f t="shared" si="31"/>
        <v>0</v>
      </c>
      <c r="T54" s="135">
        <f t="shared" si="29"/>
        <v>11.252083333333328</v>
      </c>
    </row>
    <row r="55" spans="1:20" s="114" customFormat="1" ht="22.5" customHeight="1" x14ac:dyDescent="0.45">
      <c r="A55" s="550">
        <f>'Bord-B. D-EFLF'!A359</f>
        <v>0</v>
      </c>
      <c r="B55" s="522">
        <f>'Bord-B. D-EFLF'!J359</f>
        <v>0</v>
      </c>
      <c r="C55" s="387">
        <f>'Bord-B. D-EFLF'!K359</f>
        <v>0</v>
      </c>
      <c r="D55" s="405">
        <f t="shared" si="24"/>
        <v>8823</v>
      </c>
      <c r="E55" s="387">
        <f t="shared" si="25"/>
        <v>0.99999999999967315</v>
      </c>
      <c r="F55" s="389">
        <f t="shared" si="26"/>
        <v>-9</v>
      </c>
      <c r="G55" s="399">
        <f t="shared" si="27"/>
        <v>-0.99999999999972999</v>
      </c>
      <c r="H55" s="690"/>
      <c r="I55" s="137">
        <f t="shared" si="39"/>
        <v>0</v>
      </c>
      <c r="J55" s="137">
        <f t="shared" si="38"/>
        <v>-9.0166666666666622</v>
      </c>
      <c r="K55" s="524">
        <f>'Bord-B. D-EOYS'!A430</f>
        <v>0</v>
      </c>
      <c r="L55" s="522">
        <f>'Bord-B. D-EOYS'!J430</f>
        <v>0</v>
      </c>
      <c r="M55" s="387">
        <f>'Bord-B. D-EOYS'!K430</f>
        <v>0</v>
      </c>
      <c r="N55" s="522">
        <f t="shared" si="33"/>
        <v>74784.56458333334</v>
      </c>
      <c r="O55" s="387">
        <f t="shared" si="34"/>
        <v>54.999999999999716</v>
      </c>
      <c r="P55" s="532">
        <f t="shared" si="35"/>
        <v>11</v>
      </c>
      <c r="Q55" s="533">
        <f t="shared" si="36"/>
        <v>15.124999999999673</v>
      </c>
      <c r="R55" s="689"/>
      <c r="S55" s="135">
        <f t="shared" si="31"/>
        <v>0</v>
      </c>
      <c r="T55" s="135">
        <f t="shared" si="29"/>
        <v>11.252083333333328</v>
      </c>
    </row>
    <row r="56" spans="1:20" s="114" customFormat="1" ht="22.5" customHeight="1" x14ac:dyDescent="0.45">
      <c r="A56" s="550">
        <f>'Bord-B. D-EFLF'!A360</f>
        <v>0</v>
      </c>
      <c r="B56" s="522">
        <f>'Bord-B. D-EFLF'!J360</f>
        <v>0</v>
      </c>
      <c r="C56" s="387">
        <f>'Bord-B. D-EFLF'!K360</f>
        <v>0</v>
      </c>
      <c r="D56" s="405">
        <f t="shared" si="24"/>
        <v>8823</v>
      </c>
      <c r="E56" s="387">
        <f t="shared" si="25"/>
        <v>0.99999999999967315</v>
      </c>
      <c r="F56" s="389">
        <f t="shared" si="26"/>
        <v>-9</v>
      </c>
      <c r="G56" s="399">
        <f t="shared" si="27"/>
        <v>-0.99999999999972999</v>
      </c>
      <c r="H56" s="265"/>
      <c r="I56" s="137">
        <f t="shared" si="39"/>
        <v>0</v>
      </c>
      <c r="J56" s="137">
        <f t="shared" si="38"/>
        <v>-9.0166666666666622</v>
      </c>
      <c r="K56" s="524">
        <f>'Bord-B. D-EOYS'!A431</f>
        <v>0</v>
      </c>
      <c r="L56" s="522">
        <f>'Bord-B. D-EOYS'!J431</f>
        <v>0</v>
      </c>
      <c r="M56" s="387">
        <f>'Bord-B. D-EOYS'!K431</f>
        <v>0</v>
      </c>
      <c r="N56" s="522">
        <f t="shared" si="33"/>
        <v>74784.56458333334</v>
      </c>
      <c r="O56" s="387">
        <f t="shared" si="34"/>
        <v>54.999999999999716</v>
      </c>
      <c r="P56" s="532">
        <f t="shared" si="35"/>
        <v>11</v>
      </c>
      <c r="Q56" s="533">
        <f t="shared" si="36"/>
        <v>15.124999999999673</v>
      </c>
      <c r="R56" s="265"/>
      <c r="S56" s="135">
        <f t="shared" si="31"/>
        <v>0</v>
      </c>
      <c r="T56" s="135">
        <f t="shared" si="29"/>
        <v>11.252083333333328</v>
      </c>
    </row>
    <row r="57" spans="1:20" s="114" customFormat="1" ht="22.5" customHeight="1" thickBot="1" x14ac:dyDescent="0.5">
      <c r="A57" s="296">
        <f>'Bord-B. D-EFLF'!A361</f>
        <v>0</v>
      </c>
      <c r="B57" s="297">
        <f>'Bord-B. D-EFLF'!J361</f>
        <v>0</v>
      </c>
      <c r="C57" s="298">
        <f>'Bord-B. D-EFLF'!K361</f>
        <v>0</v>
      </c>
      <c r="D57" s="406">
        <f t="shared" si="24"/>
        <v>8823</v>
      </c>
      <c r="E57" s="298">
        <f t="shared" si="25"/>
        <v>0.99999999999967315</v>
      </c>
      <c r="F57" s="388">
        <f t="shared" si="26"/>
        <v>-9</v>
      </c>
      <c r="G57" s="398">
        <f t="shared" si="27"/>
        <v>-0.99999999999972999</v>
      </c>
      <c r="H57" s="502"/>
      <c r="I57" s="137">
        <f t="shared" si="39"/>
        <v>0</v>
      </c>
      <c r="J57" s="137">
        <f>J56-I57</f>
        <v>-9.0166666666666622</v>
      </c>
      <c r="K57" s="511">
        <f>'Bord-B. D-EOYS'!A432</f>
        <v>0</v>
      </c>
      <c r="L57" s="297">
        <f>'Bord-B. D-EOYS'!J432</f>
        <v>0</v>
      </c>
      <c r="M57" s="298">
        <f>'Bord-B. D-EOYS'!K432</f>
        <v>0</v>
      </c>
      <c r="N57" s="297">
        <f t="shared" si="33"/>
        <v>74784.56458333334</v>
      </c>
      <c r="O57" s="298">
        <f t="shared" si="34"/>
        <v>54.999999999999716</v>
      </c>
      <c r="P57" s="388">
        <f t="shared" si="35"/>
        <v>11</v>
      </c>
      <c r="Q57" s="398">
        <f t="shared" si="36"/>
        <v>15.124999999999673</v>
      </c>
      <c r="R57" s="351"/>
      <c r="S57" s="135">
        <f t="shared" si="31"/>
        <v>0</v>
      </c>
      <c r="T57" s="135">
        <f t="shared" si="29"/>
        <v>11.252083333333328</v>
      </c>
    </row>
    <row r="58" spans="1:20" ht="22.5" customHeight="1" x14ac:dyDescent="0.45">
      <c r="A58" s="549">
        <f>'Bord-B. D-EFLF'!A362</f>
        <v>0</v>
      </c>
      <c r="B58" s="493">
        <f>'Bord-B. D-EFLF'!J362</f>
        <v>8820</v>
      </c>
      <c r="C58" s="494">
        <f>'Bord-B. D-EFLF'!K362</f>
        <v>25</v>
      </c>
      <c r="D58" s="497">
        <f t="shared" si="24"/>
        <v>17643</v>
      </c>
      <c r="E58" s="494">
        <f t="shared" si="25"/>
        <v>25.999999999999673</v>
      </c>
      <c r="F58" s="495">
        <f t="shared" si="26"/>
        <v>-9</v>
      </c>
      <c r="G58" s="496">
        <f t="shared" si="27"/>
        <v>-0.99999999999972999</v>
      </c>
      <c r="H58" s="369"/>
      <c r="I58" s="137">
        <v>0</v>
      </c>
      <c r="J58" s="137">
        <f t="shared" ref="J58:J65" si="40">J57-I58</f>
        <v>-9.0166666666666622</v>
      </c>
      <c r="K58" s="523">
        <f>'Bord-B. D-EOYS'!A433</f>
        <v>0</v>
      </c>
      <c r="L58" s="493">
        <f>'Bord-B. D-EOYS'!J433</f>
        <v>0</v>
      </c>
      <c r="M58" s="494">
        <f>'Bord-B. D-EOYS'!K433</f>
        <v>0</v>
      </c>
      <c r="N58" s="493">
        <f t="shared" si="33"/>
        <v>74784.56458333334</v>
      </c>
      <c r="O58" s="494">
        <f t="shared" si="34"/>
        <v>54.999999999999716</v>
      </c>
      <c r="P58" s="495">
        <f t="shared" si="35"/>
        <v>11</v>
      </c>
      <c r="Q58" s="496">
        <f t="shared" si="36"/>
        <v>15.124999999999673</v>
      </c>
      <c r="R58" s="369"/>
      <c r="S58" s="135">
        <v>0</v>
      </c>
      <c r="T58" s="135">
        <f t="shared" si="29"/>
        <v>11.252083333333328</v>
      </c>
    </row>
    <row r="59" spans="1:20" ht="22.5" customHeight="1" thickBot="1" x14ac:dyDescent="0.5">
      <c r="A59" s="296" t="str">
        <f>'Bord-B. D-EFLF'!A363</f>
        <v>Zwischenstände</v>
      </c>
      <c r="B59" s="297">
        <f>'Bord-B. D-EFLF'!J363</f>
        <v>8820</v>
      </c>
      <c r="C59" s="298">
        <f>'Bord-B. D-EFLF'!K363</f>
        <v>25</v>
      </c>
      <c r="D59" s="406">
        <f t="shared" si="24"/>
        <v>26463</v>
      </c>
      <c r="E59" s="298">
        <f t="shared" si="25"/>
        <v>50.999999999999673</v>
      </c>
      <c r="F59" s="498">
        <f t="shared" si="26"/>
        <v>-9</v>
      </c>
      <c r="G59" s="499">
        <f t="shared" si="27"/>
        <v>-0.99999999999972999</v>
      </c>
      <c r="H59" s="351"/>
      <c r="I59" s="137">
        <v>0</v>
      </c>
      <c r="J59" s="137">
        <f t="shared" si="40"/>
        <v>-9.0166666666666622</v>
      </c>
      <c r="K59" s="511">
        <f>'Bord-B. D-EOYS'!A434</f>
        <v>0</v>
      </c>
      <c r="L59" s="297">
        <f>'Bord-B. D-EOYS'!J434</f>
        <v>0</v>
      </c>
      <c r="M59" s="298">
        <f>'Bord-B. D-EOYS'!K434</f>
        <v>0</v>
      </c>
      <c r="N59" s="297">
        <f t="shared" si="33"/>
        <v>74784.56458333334</v>
      </c>
      <c r="O59" s="298">
        <f t="shared" si="34"/>
        <v>54.999999999999716</v>
      </c>
      <c r="P59" s="388">
        <f t="shared" si="35"/>
        <v>11</v>
      </c>
      <c r="Q59" s="398">
        <f t="shared" si="36"/>
        <v>15.124999999999673</v>
      </c>
      <c r="R59" s="351"/>
      <c r="S59" s="135">
        <v>0</v>
      </c>
      <c r="T59" s="135">
        <f t="shared" si="29"/>
        <v>11.252083333333328</v>
      </c>
    </row>
    <row r="60" spans="1:20" ht="22.5" customHeight="1" x14ac:dyDescent="0.45">
      <c r="A60" s="549">
        <f>'Bord-B. D-EFLF'!A364</f>
        <v>0</v>
      </c>
      <c r="B60" s="493">
        <f>'Bord-B. D-EFLF'!J364</f>
        <v>0</v>
      </c>
      <c r="C60" s="494">
        <f>'Bord-B. D-EFLF'!K364</f>
        <v>0</v>
      </c>
      <c r="D60" s="497">
        <f>IF(C60+E57&lt;60,B60+D57,B60+D57+1)</f>
        <v>8823</v>
      </c>
      <c r="E60" s="494">
        <f>IF(C60+E57&lt;60,C60+E57,C60+E57-60)</f>
        <v>0.99999999999967315</v>
      </c>
      <c r="F60" s="495">
        <f t="shared" si="26"/>
        <v>-9</v>
      </c>
      <c r="G60" s="496">
        <f t="shared" si="27"/>
        <v>-0.99999999999972999</v>
      </c>
      <c r="H60" s="386"/>
      <c r="I60" s="137">
        <f t="shared" ref="I60:I66" si="41">C60/60+B60</f>
        <v>0</v>
      </c>
      <c r="J60" s="137">
        <f t="shared" si="40"/>
        <v>-9.0166666666666622</v>
      </c>
      <c r="K60" s="523">
        <f>'Bord-B. D-EOYS'!A435</f>
        <v>0</v>
      </c>
      <c r="L60" s="493">
        <f>'Bord-B. D-EOYS'!J435</f>
        <v>0</v>
      </c>
      <c r="M60" s="494">
        <f>'Bord-B. D-EOYS'!K435</f>
        <v>0</v>
      </c>
      <c r="N60" s="493">
        <f>IF(M60+O57&lt;60,L60+N57,L60+N57+1)</f>
        <v>74784.56458333334</v>
      </c>
      <c r="O60" s="494">
        <f>IF(M60+O57&lt;60,M60+O57,M60+O57-60)</f>
        <v>54.999999999999716</v>
      </c>
      <c r="P60" s="495">
        <f t="shared" si="35"/>
        <v>11</v>
      </c>
      <c r="Q60" s="496">
        <f t="shared" si="36"/>
        <v>15.124999999999673</v>
      </c>
      <c r="R60" s="386"/>
      <c r="S60" s="135">
        <f t="shared" si="31"/>
        <v>0</v>
      </c>
      <c r="T60" s="135">
        <f t="shared" si="29"/>
        <v>11.252083333333328</v>
      </c>
    </row>
    <row r="61" spans="1:20" ht="22.5" customHeight="1" x14ac:dyDescent="0.45">
      <c r="A61" s="550">
        <f>'Bord-B. D-EFLF'!A365</f>
        <v>0</v>
      </c>
      <c r="B61" s="522">
        <f>'Bord-B. D-EFLF'!J365</f>
        <v>0</v>
      </c>
      <c r="C61" s="387">
        <f>'Bord-B. D-EFLF'!K365</f>
        <v>0</v>
      </c>
      <c r="D61" s="405">
        <f t="shared" si="24"/>
        <v>8823</v>
      </c>
      <c r="E61" s="387">
        <f t="shared" si="25"/>
        <v>0.99999999999967315</v>
      </c>
      <c r="F61" s="389">
        <f t="shared" si="26"/>
        <v>-9</v>
      </c>
      <c r="G61" s="399">
        <f t="shared" si="27"/>
        <v>-0.99999999999972999</v>
      </c>
      <c r="H61" s="690" t="str">
        <f>H52</f>
        <v>Bitte um tel. Info, wenn 8.821 Fh erreicht sind!
+49 151 / 1850-9005</v>
      </c>
      <c r="I61" s="137">
        <f t="shared" si="41"/>
        <v>0</v>
      </c>
      <c r="J61" s="137">
        <f t="shared" si="40"/>
        <v>-9.0166666666666622</v>
      </c>
      <c r="K61" s="524">
        <f>'Bord-B. D-EOYS'!A436</f>
        <v>0</v>
      </c>
      <c r="L61" s="522">
        <f>'Bord-B. D-EOYS'!J436</f>
        <v>0</v>
      </c>
      <c r="M61" s="387">
        <f>'Bord-B. D-EOYS'!K436</f>
        <v>0</v>
      </c>
      <c r="N61" s="522">
        <f t="shared" si="33"/>
        <v>74784.56458333334</v>
      </c>
      <c r="O61" s="387">
        <f t="shared" si="34"/>
        <v>54.999999999999716</v>
      </c>
      <c r="P61" s="532">
        <f t="shared" si="35"/>
        <v>11</v>
      </c>
      <c r="Q61" s="533">
        <f t="shared" si="36"/>
        <v>15.124999999999673</v>
      </c>
      <c r="R61" s="689" t="str">
        <f>R52</f>
        <v>Bitte um tel. Info, wenn 14.983 Fh erreicht sind!
+49 151 / 1850-9005</v>
      </c>
      <c r="S61" s="135">
        <f t="shared" si="31"/>
        <v>0</v>
      </c>
      <c r="T61" s="135">
        <f t="shared" si="29"/>
        <v>11.252083333333328</v>
      </c>
    </row>
    <row r="62" spans="1:20" ht="22.5" customHeight="1" x14ac:dyDescent="0.45">
      <c r="A62" s="550">
        <f>'Bord-B. D-EFLF'!A366</f>
        <v>0</v>
      </c>
      <c r="B62" s="522">
        <f>'Bord-B. D-EFLF'!J366</f>
        <v>0</v>
      </c>
      <c r="C62" s="387">
        <f>'Bord-B. D-EFLF'!K366</f>
        <v>0</v>
      </c>
      <c r="D62" s="405">
        <f t="shared" si="24"/>
        <v>8823</v>
      </c>
      <c r="E62" s="387">
        <f t="shared" si="25"/>
        <v>0.99999999999967315</v>
      </c>
      <c r="F62" s="389">
        <f t="shared" si="26"/>
        <v>-9</v>
      </c>
      <c r="G62" s="399">
        <f t="shared" si="27"/>
        <v>-0.99999999999972999</v>
      </c>
      <c r="H62" s="690"/>
      <c r="I62" s="137">
        <f t="shared" si="41"/>
        <v>0</v>
      </c>
      <c r="J62" s="137">
        <f t="shared" si="40"/>
        <v>-9.0166666666666622</v>
      </c>
      <c r="K62" s="524">
        <f>'Bord-B. D-EOYS'!A437</f>
        <v>0</v>
      </c>
      <c r="L62" s="522">
        <f>'Bord-B. D-EOYS'!J437</f>
        <v>0</v>
      </c>
      <c r="M62" s="387">
        <f>'Bord-B. D-EOYS'!K437</f>
        <v>0</v>
      </c>
      <c r="N62" s="522">
        <f t="shared" si="33"/>
        <v>74784.56458333334</v>
      </c>
      <c r="O62" s="387">
        <f t="shared" si="34"/>
        <v>54.999999999999716</v>
      </c>
      <c r="P62" s="532">
        <f t="shared" si="35"/>
        <v>11</v>
      </c>
      <c r="Q62" s="533">
        <f t="shared" si="36"/>
        <v>15.124999999999673</v>
      </c>
      <c r="R62" s="689"/>
      <c r="S62" s="135">
        <f t="shared" si="31"/>
        <v>0</v>
      </c>
      <c r="T62" s="135">
        <f t="shared" si="29"/>
        <v>11.252083333333328</v>
      </c>
    </row>
    <row r="63" spans="1:20" ht="22.5" customHeight="1" x14ac:dyDescent="0.45">
      <c r="A63" s="550">
        <f>'Bord-B. D-EFLF'!A367</f>
        <v>0</v>
      </c>
      <c r="B63" s="522">
        <f>'Bord-B. D-EFLF'!J367</f>
        <v>0</v>
      </c>
      <c r="C63" s="387">
        <f>'Bord-B. D-EFLF'!K367</f>
        <v>0</v>
      </c>
      <c r="D63" s="405">
        <f t="shared" si="24"/>
        <v>8823</v>
      </c>
      <c r="E63" s="387">
        <f t="shared" si="25"/>
        <v>0.99999999999967315</v>
      </c>
      <c r="F63" s="389">
        <f t="shared" si="26"/>
        <v>-9</v>
      </c>
      <c r="G63" s="399">
        <f t="shared" si="27"/>
        <v>-0.99999999999972999</v>
      </c>
      <c r="H63" s="690"/>
      <c r="I63" s="137">
        <f t="shared" si="41"/>
        <v>0</v>
      </c>
      <c r="J63" s="137">
        <f t="shared" si="40"/>
        <v>-9.0166666666666622</v>
      </c>
      <c r="K63" s="524">
        <f>'Bord-B. D-EOYS'!A438</f>
        <v>0</v>
      </c>
      <c r="L63" s="522">
        <f>'Bord-B. D-EOYS'!J438</f>
        <v>0</v>
      </c>
      <c r="M63" s="387">
        <f>'Bord-B. D-EOYS'!K438</f>
        <v>0</v>
      </c>
      <c r="N63" s="522">
        <f t="shared" si="33"/>
        <v>74784.56458333334</v>
      </c>
      <c r="O63" s="387">
        <f t="shared" si="34"/>
        <v>54.999999999999716</v>
      </c>
      <c r="P63" s="532">
        <f t="shared" si="35"/>
        <v>11</v>
      </c>
      <c r="Q63" s="533">
        <f t="shared" si="36"/>
        <v>15.124999999999673</v>
      </c>
      <c r="R63" s="689"/>
      <c r="S63" s="135">
        <f t="shared" si="31"/>
        <v>0</v>
      </c>
      <c r="T63" s="135">
        <f t="shared" si="29"/>
        <v>11.252083333333328</v>
      </c>
    </row>
    <row r="64" spans="1:20" ht="22.5" customHeight="1" x14ac:dyDescent="0.45">
      <c r="A64" s="550">
        <f>'Bord-B. D-EFLF'!A368</f>
        <v>0</v>
      </c>
      <c r="B64" s="522">
        <f>'Bord-B. D-EFLF'!J368</f>
        <v>0</v>
      </c>
      <c r="C64" s="387">
        <f>'Bord-B. D-EFLF'!K368</f>
        <v>0</v>
      </c>
      <c r="D64" s="405">
        <f t="shared" si="24"/>
        <v>8823</v>
      </c>
      <c r="E64" s="387">
        <f t="shared" si="25"/>
        <v>0.99999999999967315</v>
      </c>
      <c r="F64" s="389">
        <f t="shared" si="26"/>
        <v>-9</v>
      </c>
      <c r="G64" s="399">
        <f t="shared" si="27"/>
        <v>-0.99999999999972999</v>
      </c>
      <c r="H64" s="690"/>
      <c r="I64" s="137">
        <f t="shared" si="41"/>
        <v>0</v>
      </c>
      <c r="J64" s="137">
        <f t="shared" si="40"/>
        <v>-9.0166666666666622</v>
      </c>
      <c r="K64" s="524">
        <f>'Bord-B. D-EOYS'!A439</f>
        <v>0</v>
      </c>
      <c r="L64" s="522">
        <f>'Bord-B. D-EOYS'!J439</f>
        <v>0</v>
      </c>
      <c r="M64" s="387">
        <f>'Bord-B. D-EOYS'!K439</f>
        <v>0</v>
      </c>
      <c r="N64" s="522">
        <f t="shared" si="33"/>
        <v>74784.56458333334</v>
      </c>
      <c r="O64" s="387">
        <f t="shared" si="34"/>
        <v>54.999999999999716</v>
      </c>
      <c r="P64" s="532">
        <f t="shared" si="35"/>
        <v>11</v>
      </c>
      <c r="Q64" s="533">
        <f t="shared" si="36"/>
        <v>15.124999999999673</v>
      </c>
      <c r="R64" s="689"/>
      <c r="S64" s="135">
        <f t="shared" si="31"/>
        <v>0</v>
      </c>
      <c r="T64" s="135">
        <f t="shared" si="29"/>
        <v>11.252083333333328</v>
      </c>
    </row>
    <row r="65" spans="1:20" ht="22.5" customHeight="1" x14ac:dyDescent="0.45">
      <c r="A65" s="550">
        <f>'Bord-B. D-EFLF'!A369</f>
        <v>0</v>
      </c>
      <c r="B65" s="522">
        <f>'Bord-B. D-EFLF'!J369</f>
        <v>0</v>
      </c>
      <c r="C65" s="387">
        <f>'Bord-B. D-EFLF'!K369</f>
        <v>0</v>
      </c>
      <c r="D65" s="405">
        <f t="shared" si="24"/>
        <v>8823</v>
      </c>
      <c r="E65" s="387">
        <f t="shared" si="25"/>
        <v>0.99999999999967315</v>
      </c>
      <c r="F65" s="389">
        <f t="shared" si="26"/>
        <v>-9</v>
      </c>
      <c r="G65" s="399">
        <f t="shared" si="27"/>
        <v>-0.99999999999972999</v>
      </c>
      <c r="H65" s="265"/>
      <c r="I65" s="137">
        <f t="shared" si="41"/>
        <v>0</v>
      </c>
      <c r="J65" s="137">
        <f t="shared" si="40"/>
        <v>-9.0166666666666622</v>
      </c>
      <c r="K65" s="524">
        <f>'Bord-B. D-EOYS'!A440</f>
        <v>0</v>
      </c>
      <c r="L65" s="522">
        <f>'Bord-B. D-EOYS'!J440</f>
        <v>0</v>
      </c>
      <c r="M65" s="387">
        <f>'Bord-B. D-EOYS'!K440</f>
        <v>0</v>
      </c>
      <c r="N65" s="522">
        <f t="shared" si="33"/>
        <v>74784.56458333334</v>
      </c>
      <c r="O65" s="387">
        <f t="shared" si="34"/>
        <v>54.999999999999716</v>
      </c>
      <c r="P65" s="532">
        <f t="shared" si="35"/>
        <v>11</v>
      </c>
      <c r="Q65" s="533">
        <f t="shared" si="36"/>
        <v>15.124999999999673</v>
      </c>
      <c r="R65" s="265"/>
      <c r="S65" s="135">
        <f t="shared" si="31"/>
        <v>0</v>
      </c>
      <c r="T65" s="135">
        <f t="shared" si="29"/>
        <v>11.252083333333328</v>
      </c>
    </row>
    <row r="66" spans="1:20" ht="22.5" customHeight="1" thickBot="1" x14ac:dyDescent="0.5">
      <c r="A66" s="296">
        <f>'Bord-B. D-EFLF'!A370</f>
        <v>0</v>
      </c>
      <c r="B66" s="297">
        <f>'Bord-B. D-EFLF'!J370</f>
        <v>0</v>
      </c>
      <c r="C66" s="298">
        <f>'Bord-B. D-EFLF'!K370</f>
        <v>0</v>
      </c>
      <c r="D66" s="406">
        <f t="shared" si="24"/>
        <v>8823</v>
      </c>
      <c r="E66" s="298">
        <f t="shared" si="25"/>
        <v>0.99999999999967315</v>
      </c>
      <c r="F66" s="388">
        <f t="shared" si="26"/>
        <v>-9</v>
      </c>
      <c r="G66" s="398">
        <f t="shared" si="27"/>
        <v>-0.99999999999972999</v>
      </c>
      <c r="H66" s="351"/>
      <c r="I66" s="137">
        <f t="shared" si="41"/>
        <v>0</v>
      </c>
      <c r="J66" s="137">
        <f>J65-I66</f>
        <v>-9.0166666666666622</v>
      </c>
      <c r="K66" s="511">
        <f>'Bord-B. D-EOYS'!A441</f>
        <v>0</v>
      </c>
      <c r="L66" s="297">
        <f>'Bord-B. D-EOYS'!J441</f>
        <v>0</v>
      </c>
      <c r="M66" s="298">
        <f>'Bord-B. D-EOYS'!K441</f>
        <v>0</v>
      </c>
      <c r="N66" s="297">
        <f>IF(M66+O65&lt;60,L66+N65,L66+N65+1)</f>
        <v>74784.56458333334</v>
      </c>
      <c r="O66" s="298">
        <f>IF(M66+O65&lt;60,M66+O65,M66+O65-60)</f>
        <v>54.999999999999716</v>
      </c>
      <c r="P66" s="388">
        <f>ROUNDDOWN(T66,0)</f>
        <v>11</v>
      </c>
      <c r="Q66" s="398">
        <f>(T66-P66)*60</f>
        <v>15.124999999999673</v>
      </c>
      <c r="R66" s="351"/>
      <c r="S66" s="135">
        <f t="shared" si="31"/>
        <v>0</v>
      </c>
      <c r="T66" s="135">
        <f t="shared" si="29"/>
        <v>11.252083333333328</v>
      </c>
    </row>
    <row r="67" spans="1:20" ht="22.5" customHeight="1" x14ac:dyDescent="0.45"/>
    <row r="68" spans="1:20" ht="22.5" customHeight="1" x14ac:dyDescent="0.45"/>
    <row r="69" spans="1:20" ht="22.5" customHeight="1" x14ac:dyDescent="0.45"/>
    <row r="70" spans="1:20" ht="22.5" customHeight="1" x14ac:dyDescent="0.45"/>
    <row r="71" spans="1:20" ht="22.5" customHeight="1" x14ac:dyDescent="0.45"/>
    <row r="72" spans="1:20" ht="22.5" customHeight="1" x14ac:dyDescent="0.45"/>
    <row r="73" spans="1:20" ht="22.5" customHeight="1" x14ac:dyDescent="0.45"/>
    <row r="74" spans="1:20" ht="22.5" customHeight="1" x14ac:dyDescent="0.45"/>
    <row r="75" spans="1:20" ht="22.5" customHeight="1" x14ac:dyDescent="0.45"/>
    <row r="76" spans="1:20" ht="22.5" customHeight="1" x14ac:dyDescent="0.45"/>
    <row r="77" spans="1:20" ht="22.5" customHeight="1" x14ac:dyDescent="0.45"/>
    <row r="78" spans="1:20" ht="22.5" customHeight="1" x14ac:dyDescent="0.45"/>
    <row r="79" spans="1:20" ht="22.5" customHeight="1" x14ac:dyDescent="0.45"/>
    <row r="80" spans="1:20" ht="22.5" customHeight="1" x14ac:dyDescent="0.45"/>
    <row r="81" ht="22.5" customHeight="1" x14ac:dyDescent="0.45"/>
    <row r="82" ht="22.5" customHeight="1" x14ac:dyDescent="0.45"/>
    <row r="83" ht="22.5" customHeight="1" x14ac:dyDescent="0.45"/>
    <row r="84" ht="22.5" customHeight="1" x14ac:dyDescent="0.45"/>
    <row r="85" ht="22.5" customHeight="1" x14ac:dyDescent="0.45"/>
    <row r="86" ht="22.5" customHeight="1" x14ac:dyDescent="0.45"/>
    <row r="87" ht="22.5" customHeight="1" x14ac:dyDescent="0.45"/>
    <row r="88" ht="22.5" customHeight="1" x14ac:dyDescent="0.45"/>
    <row r="89" ht="22.5" customHeight="1" x14ac:dyDescent="0.45"/>
    <row r="90" ht="22.5" customHeight="1" x14ac:dyDescent="0.45"/>
    <row r="91" ht="22.5" customHeight="1" x14ac:dyDescent="0.45"/>
    <row r="92" ht="22.5" customHeight="1" x14ac:dyDescent="0.45"/>
    <row r="93" ht="22.5" customHeight="1" x14ac:dyDescent="0.45"/>
  </sheetData>
  <mergeCells count="22">
    <mergeCell ref="N2:O2"/>
    <mergeCell ref="L3:M3"/>
    <mergeCell ref="N3:O3"/>
    <mergeCell ref="H43:H46"/>
    <mergeCell ref="H52:H55"/>
    <mergeCell ref="D3:E3"/>
    <mergeCell ref="B3:C3"/>
    <mergeCell ref="D2:E2"/>
    <mergeCell ref="B2:C2"/>
    <mergeCell ref="L2:M2"/>
    <mergeCell ref="R43:R46"/>
    <mergeCell ref="R52:R55"/>
    <mergeCell ref="R61:R64"/>
    <mergeCell ref="H7:H10"/>
    <mergeCell ref="R34:R37"/>
    <mergeCell ref="R25:R28"/>
    <mergeCell ref="H16:H19"/>
    <mergeCell ref="H25:H28"/>
    <mergeCell ref="H34:H37"/>
    <mergeCell ref="R7:R10"/>
    <mergeCell ref="R16:R19"/>
    <mergeCell ref="H61:H64"/>
  </mergeCells>
  <printOptions gridLines="1"/>
  <pageMargins left="0.70866141732283472" right="0.70866141732283472" top="0.78740157480314965" bottom="0.78740157480314965" header="0.31496062992125984" footer="0.31496062992125984"/>
  <pageSetup paperSize="9" scale="98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S55"/>
  <sheetViews>
    <sheetView topLeftCell="C1" workbookViewId="0">
      <selection activeCell="J19" activeCellId="1" sqref="J11 J19"/>
    </sheetView>
  </sheetViews>
  <sheetFormatPr baseColWidth="10" defaultColWidth="11.3984375" defaultRowHeight="13.5" x14ac:dyDescent="0.35"/>
  <cols>
    <col min="1" max="2" width="11.3984375" style="132"/>
    <col min="3" max="3" width="13.73046875" style="132" bestFit="1" customWidth="1"/>
    <col min="4" max="7" width="11.3984375" style="132"/>
    <col min="8" max="8" width="12.59765625" style="132" bestFit="1" customWidth="1"/>
    <col min="9" max="10" width="11.3984375" style="132"/>
    <col min="11" max="11" width="11.3984375" style="193"/>
    <col min="12" max="12" width="12.59765625" style="132" bestFit="1" customWidth="1"/>
    <col min="13" max="14" width="11.3984375" style="132"/>
    <col min="15" max="15" width="11.3984375" style="115"/>
    <col min="16" max="16" width="12.59765625" style="132" bestFit="1" customWidth="1"/>
    <col min="17" max="17" width="12.1328125" style="132" bestFit="1" customWidth="1"/>
    <col min="18" max="18" width="12.1328125" style="132" customWidth="1"/>
    <col min="19" max="16384" width="11.3984375" style="132"/>
  </cols>
  <sheetData>
    <row r="1" spans="3:19" ht="15" x14ac:dyDescent="0.4">
      <c r="C1" s="199" t="s">
        <v>119</v>
      </c>
      <c r="D1" s="214" t="s">
        <v>5</v>
      </c>
      <c r="E1" s="214" t="s">
        <v>4</v>
      </c>
      <c r="F1" s="213"/>
      <c r="G1" s="132" t="s">
        <v>146</v>
      </c>
      <c r="H1" s="200" t="s">
        <v>132</v>
      </c>
      <c r="I1" s="227" t="s">
        <v>5</v>
      </c>
      <c r="J1" s="227" t="s">
        <v>4</v>
      </c>
      <c r="K1" s="220"/>
      <c r="L1" s="221"/>
      <c r="M1" s="227" t="s">
        <v>5</v>
      </c>
      <c r="N1" s="227" t="s">
        <v>4</v>
      </c>
      <c r="O1" s="228"/>
      <c r="P1" s="202" t="s">
        <v>136</v>
      </c>
      <c r="Q1" s="236" t="s">
        <v>5</v>
      </c>
      <c r="R1" s="237" t="s">
        <v>4</v>
      </c>
      <c r="S1" s="238"/>
    </row>
    <row r="2" spans="3:19" s="187" customFormat="1" ht="13.9" x14ac:dyDescent="0.4">
      <c r="C2" s="211">
        <v>42370</v>
      </c>
      <c r="D2" s="198">
        <v>404.92</v>
      </c>
      <c r="E2" s="198"/>
      <c r="F2" s="215">
        <f>D2+E2</f>
        <v>404.92</v>
      </c>
      <c r="G2" s="192"/>
      <c r="H2" s="217">
        <f>C2</f>
        <v>42370</v>
      </c>
      <c r="I2" s="197">
        <f>SUM(I3:I9)</f>
        <v>269.48500000000001</v>
      </c>
      <c r="J2" s="197">
        <f>SUM(J3:J9)</f>
        <v>1081.0349999999999</v>
      </c>
      <c r="K2" s="222">
        <f>I2+J2</f>
        <v>1350.52</v>
      </c>
      <c r="L2" s="217">
        <f>C8</f>
        <v>42552</v>
      </c>
      <c r="M2" s="197">
        <f>SUM(M3:M9)</f>
        <v>138.16999999999999</v>
      </c>
      <c r="N2" s="197">
        <f>SUM(N3:N9)</f>
        <v>500.92999999999995</v>
      </c>
      <c r="O2" s="222">
        <f>M2+N2</f>
        <v>639.09999999999991</v>
      </c>
      <c r="P2" s="203" t="s">
        <v>137</v>
      </c>
      <c r="Q2" s="239">
        <f t="shared" ref="Q2:R8" si="0">I2+I10+I18+I26+I34+I42+M2+M10+M18+M26+M34+M42</f>
        <v>15053.172499999999</v>
      </c>
      <c r="R2" s="240">
        <f t="shared" si="0"/>
        <v>69648.08630000001</v>
      </c>
      <c r="S2" s="241">
        <f>Q2+R2</f>
        <v>84701.258800000011</v>
      </c>
    </row>
    <row r="3" spans="3:19" ht="13.9" x14ac:dyDescent="0.35">
      <c r="C3" s="211">
        <v>42401</v>
      </c>
      <c r="D3" s="194">
        <v>257.67</v>
      </c>
      <c r="E3" s="194"/>
      <c r="F3" s="215">
        <f>D3+E3</f>
        <v>257.67</v>
      </c>
      <c r="G3" s="192"/>
      <c r="H3" s="218" t="s">
        <v>133</v>
      </c>
      <c r="I3" s="148">
        <v>0</v>
      </c>
      <c r="J3" s="148">
        <v>425.78</v>
      </c>
      <c r="K3" s="223">
        <f t="shared" ref="K3:K48" si="1">I3+J3</f>
        <v>425.78</v>
      </c>
      <c r="L3" s="218" t="str">
        <f t="shared" ref="L3:L8" si="2">H3</f>
        <v>Stellplatz</v>
      </c>
      <c r="M3" s="148"/>
      <c r="N3" s="148">
        <f>425.78</f>
        <v>425.78</v>
      </c>
      <c r="O3" s="223">
        <f t="shared" ref="O3:O48" si="3">M3+N3</f>
        <v>425.78</v>
      </c>
      <c r="P3" s="230" t="s">
        <v>133</v>
      </c>
      <c r="Q3" s="231">
        <f t="shared" si="0"/>
        <v>553.34999999999991</v>
      </c>
      <c r="R3" s="232">
        <f t="shared" si="0"/>
        <v>3706.2400000000002</v>
      </c>
      <c r="S3" s="233">
        <f>Q3+R3</f>
        <v>4259.59</v>
      </c>
    </row>
    <row r="4" spans="3:19" ht="13.9" x14ac:dyDescent="0.35">
      <c r="C4" s="211">
        <v>42430</v>
      </c>
      <c r="D4" s="194">
        <v>238.63</v>
      </c>
      <c r="E4" s="194">
        <f>695.71+438.74</f>
        <v>1134.45</v>
      </c>
      <c r="F4" s="215">
        <f>D4+E4</f>
        <v>1373.08</v>
      </c>
      <c r="G4" s="192"/>
      <c r="H4" s="218" t="s">
        <v>134</v>
      </c>
      <c r="I4" s="148"/>
      <c r="J4" s="148"/>
      <c r="K4" s="223">
        <f t="shared" si="1"/>
        <v>0</v>
      </c>
      <c r="L4" s="218" t="str">
        <f t="shared" si="2"/>
        <v>Sprit</v>
      </c>
      <c r="M4" s="148">
        <f>138.17</f>
        <v>138.16999999999999</v>
      </c>
      <c r="N4" s="148">
        <f>75.15</f>
        <v>75.150000000000006</v>
      </c>
      <c r="O4" s="223">
        <f t="shared" si="3"/>
        <v>213.32</v>
      </c>
      <c r="P4" s="234" t="s">
        <v>134</v>
      </c>
      <c r="Q4" s="231">
        <f t="shared" si="0"/>
        <v>2675.7444999999998</v>
      </c>
      <c r="R4" s="232">
        <f t="shared" si="0"/>
        <v>7322.9570999999996</v>
      </c>
      <c r="S4" s="233">
        <f t="shared" ref="S4:S10" si="4">Q4+R4</f>
        <v>9998.7016000000003</v>
      </c>
    </row>
    <row r="5" spans="3:19" ht="13.9" x14ac:dyDescent="0.35">
      <c r="C5" s="211">
        <v>42461</v>
      </c>
      <c r="D5" s="194"/>
      <c r="E5" s="194">
        <f>613.95+703.79+474.9+205.95</f>
        <v>1998.59</v>
      </c>
      <c r="F5" s="215">
        <f t="shared" ref="F5:F13" si="5">D5+E5</f>
        <v>1998.59</v>
      </c>
      <c r="G5" s="192"/>
      <c r="H5" s="218" t="s">
        <v>15</v>
      </c>
      <c r="I5" s="148"/>
      <c r="J5" s="148">
        <f>21.9</f>
        <v>21.9</v>
      </c>
      <c r="K5" s="223">
        <f t="shared" si="1"/>
        <v>21.9</v>
      </c>
      <c r="L5" s="218" t="str">
        <f t="shared" si="2"/>
        <v>Landungen</v>
      </c>
      <c r="M5" s="148"/>
      <c r="N5" s="148"/>
      <c r="O5" s="223">
        <f t="shared" si="3"/>
        <v>0</v>
      </c>
      <c r="P5" s="234" t="s">
        <v>15</v>
      </c>
      <c r="Q5" s="231">
        <f t="shared" si="0"/>
        <v>409.42799999999994</v>
      </c>
      <c r="R5" s="232">
        <f t="shared" si="0"/>
        <v>1139.5160000000003</v>
      </c>
      <c r="S5" s="233">
        <f t="shared" si="4"/>
        <v>1548.9440000000002</v>
      </c>
    </row>
    <row r="6" spans="3:19" ht="13.9" x14ac:dyDescent="0.35">
      <c r="C6" s="211">
        <v>42491</v>
      </c>
      <c r="D6" s="194"/>
      <c r="E6" s="194">
        <f>490.79+693.89+212.84+197.85+1355.53+2597.27</f>
        <v>5548.17</v>
      </c>
      <c r="F6" s="215">
        <f t="shared" si="5"/>
        <v>5548.17</v>
      </c>
      <c r="G6" s="192"/>
      <c r="H6" s="218" t="s">
        <v>135</v>
      </c>
      <c r="I6" s="148"/>
      <c r="J6" s="148"/>
      <c r="K6" s="223">
        <f t="shared" si="1"/>
        <v>0</v>
      </c>
      <c r="L6" s="218" t="str">
        <f t="shared" si="2"/>
        <v>Öl</v>
      </c>
      <c r="M6" s="148"/>
      <c r="N6" s="148"/>
      <c r="O6" s="223">
        <f t="shared" si="3"/>
        <v>0</v>
      </c>
      <c r="P6" s="234" t="s">
        <v>135</v>
      </c>
      <c r="Q6" s="231">
        <f t="shared" si="0"/>
        <v>0</v>
      </c>
      <c r="R6" s="232">
        <f t="shared" si="0"/>
        <v>16.993199999999998</v>
      </c>
      <c r="S6" s="233">
        <f t="shared" si="4"/>
        <v>16.993199999999998</v>
      </c>
    </row>
    <row r="7" spans="3:19" ht="13.9" x14ac:dyDescent="0.35">
      <c r="C7" s="211">
        <v>42522</v>
      </c>
      <c r="D7" s="194"/>
      <c r="E7" s="194">
        <f>474.74+832.35+313.95+232.95+809.84+1719.94</f>
        <v>4383.7700000000004</v>
      </c>
      <c r="F7" s="215">
        <f t="shared" si="5"/>
        <v>4383.7700000000004</v>
      </c>
      <c r="G7" s="192"/>
      <c r="H7" s="218" t="s">
        <v>138</v>
      </c>
      <c r="I7" s="148"/>
      <c r="J7" s="148"/>
      <c r="K7" s="223">
        <f t="shared" si="1"/>
        <v>0</v>
      </c>
      <c r="L7" s="218" t="str">
        <f t="shared" si="2"/>
        <v>Insp/Rep.</v>
      </c>
      <c r="M7" s="148"/>
      <c r="N7" s="148"/>
      <c r="O7" s="223">
        <f t="shared" si="3"/>
        <v>0</v>
      </c>
      <c r="P7" s="234" t="s">
        <v>138</v>
      </c>
      <c r="Q7" s="231">
        <f t="shared" si="0"/>
        <v>5393.52</v>
      </c>
      <c r="R7" s="232">
        <f t="shared" si="0"/>
        <v>50065.13</v>
      </c>
      <c r="S7" s="233">
        <f t="shared" si="4"/>
        <v>55458.649999999994</v>
      </c>
    </row>
    <row r="8" spans="3:19" ht="13.9" x14ac:dyDescent="0.35">
      <c r="C8" s="211">
        <v>42552</v>
      </c>
      <c r="D8" s="194">
        <f>376.99+554.69</f>
        <v>931.68000000000006</v>
      </c>
      <c r="E8" s="194"/>
      <c r="F8" s="215">
        <f t="shared" si="5"/>
        <v>931.68000000000006</v>
      </c>
      <c r="G8" s="192"/>
      <c r="H8" s="218" t="s">
        <v>116</v>
      </c>
      <c r="I8" s="148"/>
      <c r="J8" s="148">
        <f>363.87</f>
        <v>363.87</v>
      </c>
      <c r="K8" s="223">
        <f t="shared" si="1"/>
        <v>363.87</v>
      </c>
      <c r="L8" s="218" t="str">
        <f t="shared" si="2"/>
        <v>Sonst</v>
      </c>
      <c r="M8" s="148"/>
      <c r="N8" s="148"/>
      <c r="O8" s="223">
        <f t="shared" si="3"/>
        <v>0</v>
      </c>
      <c r="P8" s="234" t="s">
        <v>116</v>
      </c>
      <c r="Q8" s="231">
        <f t="shared" si="0"/>
        <v>3414.03</v>
      </c>
      <c r="R8" s="232">
        <f t="shared" si="0"/>
        <v>3822.8500000000004</v>
      </c>
      <c r="S8" s="233">
        <f t="shared" si="4"/>
        <v>7236.880000000001</v>
      </c>
    </row>
    <row r="9" spans="3:19" ht="14.25" thickBot="1" x14ac:dyDescent="0.4">
      <c r="C9" s="211">
        <v>42583</v>
      </c>
      <c r="D9" s="194">
        <f>777.14+390.81+1552.64+176.27</f>
        <v>2896.86</v>
      </c>
      <c r="E9" s="194"/>
      <c r="F9" s="215">
        <f t="shared" si="5"/>
        <v>2896.86</v>
      </c>
      <c r="G9" s="192"/>
      <c r="H9" s="219" t="s">
        <v>155</v>
      </c>
      <c r="I9" s="278">
        <f>(538.27+0.7)/2</f>
        <v>269.48500000000001</v>
      </c>
      <c r="J9" s="278">
        <f>I9</f>
        <v>269.48500000000001</v>
      </c>
      <c r="K9" s="224">
        <f t="shared" si="1"/>
        <v>538.97</v>
      </c>
      <c r="L9" s="218"/>
      <c r="M9" s="278"/>
      <c r="N9" s="278"/>
      <c r="O9" s="224">
        <f t="shared" si="3"/>
        <v>0</v>
      </c>
      <c r="P9" s="235"/>
      <c r="Q9" s="231">
        <f>I9+I17+I25+I33+I41+I49+M9+M17+M25+M33+M41+M49</f>
        <v>2607.1000000000004</v>
      </c>
      <c r="R9" s="232">
        <f>J9+J17+J25+J33+J41+J49+N9+N17+N25+N33+N41+N49</f>
        <v>3574.4000000000005</v>
      </c>
      <c r="S9" s="233">
        <f t="shared" si="4"/>
        <v>6181.5000000000009</v>
      </c>
    </row>
    <row r="10" spans="3:19" ht="14.25" thickBot="1" x14ac:dyDescent="0.45">
      <c r="C10" s="211">
        <v>42614</v>
      </c>
      <c r="D10" s="194"/>
      <c r="E10" s="194"/>
      <c r="F10" s="215">
        <f t="shared" si="5"/>
        <v>0</v>
      </c>
      <c r="G10" s="192"/>
      <c r="H10" s="217">
        <f>C3</f>
        <v>42401</v>
      </c>
      <c r="I10" s="197">
        <f>SUM(I11:I17)</f>
        <v>363.05</v>
      </c>
      <c r="J10" s="197">
        <f>SUM(J11:J17)</f>
        <v>1063.56</v>
      </c>
      <c r="K10" s="222">
        <f t="shared" si="1"/>
        <v>1426.61</v>
      </c>
      <c r="L10" s="217">
        <f>C9</f>
        <v>42583</v>
      </c>
      <c r="M10" s="197">
        <f>SUM(M11:M17)</f>
        <v>1964.4244999999999</v>
      </c>
      <c r="N10" s="197">
        <f>SUM(N11:N17)</f>
        <v>34533.9139</v>
      </c>
      <c r="O10" s="222">
        <f t="shared" si="3"/>
        <v>36498.338400000001</v>
      </c>
      <c r="P10" s="242"/>
      <c r="Q10" s="243">
        <f>SUM(Q3:Q9)</f>
        <v>15053.172500000001</v>
      </c>
      <c r="R10" s="244">
        <f>SUM(R3:R9)</f>
        <v>69648.086299999995</v>
      </c>
      <c r="S10" s="204">
        <f t="shared" si="4"/>
        <v>84701.258799999996</v>
      </c>
    </row>
    <row r="11" spans="3:19" ht="13.9" x14ac:dyDescent="0.35">
      <c r="C11" s="211">
        <v>42644</v>
      </c>
      <c r="D11" s="194">
        <f>519.9+565.89+(184.03+261.91)*1.19+366.12</f>
        <v>1982.5785999999998</v>
      </c>
      <c r="E11" s="194">
        <f>(727.26-184.03-261.91+116.69)*1.19+1145.34+219.6+448.95</f>
        <v>2287.5218999999997</v>
      </c>
      <c r="F11" s="215">
        <f t="shared" si="5"/>
        <v>4270.1004999999996</v>
      </c>
      <c r="G11" s="192"/>
      <c r="H11" s="218" t="str">
        <f t="shared" ref="H11:H16" si="6">H3</f>
        <v>Stellplatz</v>
      </c>
      <c r="I11" s="148">
        <v>0</v>
      </c>
      <c r="J11" s="276">
        <v>150</v>
      </c>
      <c r="K11" s="223">
        <f t="shared" si="1"/>
        <v>150</v>
      </c>
      <c r="L11" s="218" t="str">
        <f t="shared" ref="L11:L16" si="7">H3</f>
        <v>Stellplatz</v>
      </c>
      <c r="M11" s="148">
        <f>74.97+4*6*1.19</f>
        <v>103.53</v>
      </c>
      <c r="N11" s="148">
        <v>425.78</v>
      </c>
      <c r="O11" s="223">
        <f t="shared" si="3"/>
        <v>529.30999999999995</v>
      </c>
    </row>
    <row r="12" spans="3:19" ht="13.9" x14ac:dyDescent="0.35">
      <c r="C12" s="211">
        <v>42675</v>
      </c>
      <c r="D12" s="194"/>
      <c r="E12" s="194"/>
      <c r="F12" s="215">
        <f t="shared" si="5"/>
        <v>0</v>
      </c>
      <c r="G12" s="192"/>
      <c r="H12" s="218" t="str">
        <f t="shared" si="6"/>
        <v>Sprit</v>
      </c>
      <c r="I12" s="148"/>
      <c r="J12" s="148">
        <f>116.24+159.04+200.54</f>
        <v>475.81999999999994</v>
      </c>
      <c r="K12" s="223">
        <f t="shared" si="1"/>
        <v>475.81999999999994</v>
      </c>
      <c r="L12" s="218" t="str">
        <f t="shared" si="7"/>
        <v>Sprit</v>
      </c>
      <c r="M12" s="148">
        <f>308.59+(81.63+427.9+77.26+108.96+150.56+79.24)*1.19+196</f>
        <v>1605.9944999999998</v>
      </c>
      <c r="N12" s="148">
        <f>(178.29+182.25-150.56+213.95)*1.19+620</f>
        <v>1124.4766999999999</v>
      </c>
      <c r="O12" s="223">
        <f t="shared" si="3"/>
        <v>2730.4712</v>
      </c>
    </row>
    <row r="13" spans="3:19" ht="14.25" thickBot="1" x14ac:dyDescent="0.4">
      <c r="C13" s="212">
        <v>42705</v>
      </c>
      <c r="D13" s="195"/>
      <c r="E13" s="195">
        <f>628.75+132.94*1.19+315.61+181.33</f>
        <v>1283.8885999999998</v>
      </c>
      <c r="F13" s="215">
        <f t="shared" si="5"/>
        <v>1283.8885999999998</v>
      </c>
      <c r="G13" s="192"/>
      <c r="H13" s="218" t="str">
        <f t="shared" si="6"/>
        <v>Landungen</v>
      </c>
      <c r="I13" s="148"/>
      <c r="J13" s="148">
        <f>74.68</f>
        <v>74.680000000000007</v>
      </c>
      <c r="K13" s="223">
        <f t="shared" si="1"/>
        <v>74.680000000000007</v>
      </c>
      <c r="L13" s="218" t="str">
        <f t="shared" si="7"/>
        <v>Landungen</v>
      </c>
      <c r="M13" s="148">
        <f>112.62+131.38</f>
        <v>244</v>
      </c>
      <c r="N13" s="148">
        <f>12+8*9.2*1.19</f>
        <v>99.583999999999989</v>
      </c>
      <c r="O13" s="223">
        <f t="shared" si="3"/>
        <v>343.584</v>
      </c>
    </row>
    <row r="14" spans="3:19" ht="14.25" thickBot="1" x14ac:dyDescent="0.45">
      <c r="C14" s="213"/>
      <c r="D14" s="216">
        <f>SUM(D2:D13)</f>
        <v>6712.3386</v>
      </c>
      <c r="E14" s="216">
        <f>SUM(E2:E13)</f>
        <v>16636.390499999998</v>
      </c>
      <c r="F14" s="205">
        <f>SUM(F2:F13)</f>
        <v>23348.7291</v>
      </c>
      <c r="G14" s="148"/>
      <c r="H14" s="218" t="str">
        <f t="shared" si="6"/>
        <v>Öl</v>
      </c>
      <c r="I14" s="148"/>
      <c r="J14" s="148"/>
      <c r="K14" s="223">
        <f t="shared" si="1"/>
        <v>0</v>
      </c>
      <c r="L14" s="218" t="str">
        <f t="shared" si="7"/>
        <v>Öl</v>
      </c>
      <c r="M14" s="148"/>
      <c r="N14" s="148">
        <f>(7.56+6.72)*1.19</f>
        <v>16.993199999999998</v>
      </c>
      <c r="O14" s="223">
        <f t="shared" si="3"/>
        <v>16.993199999999998</v>
      </c>
      <c r="Q14" s="206" t="s">
        <v>139</v>
      </c>
      <c r="R14" s="207">
        <f>F14</f>
        <v>23348.7291</v>
      </c>
    </row>
    <row r="15" spans="3:19" ht="13.9" thickBot="1" x14ac:dyDescent="0.4">
      <c r="H15" s="218" t="str">
        <f t="shared" si="6"/>
        <v>Insp/Rep.</v>
      </c>
      <c r="I15" s="148"/>
      <c r="J15" s="148"/>
      <c r="K15" s="223">
        <f t="shared" si="1"/>
        <v>0</v>
      </c>
      <c r="L15" s="218" t="str">
        <f t="shared" si="7"/>
        <v>Insp/Rep.</v>
      </c>
      <c r="M15" s="148"/>
      <c r="N15" s="276">
        <f>20000+4901.16+5997.12</f>
        <v>30898.28</v>
      </c>
      <c r="O15" s="223">
        <f t="shared" si="3"/>
        <v>30898.28</v>
      </c>
      <c r="Q15" s="208" t="s">
        <v>140</v>
      </c>
      <c r="R15" s="209">
        <f>S10</f>
        <v>84701.258799999996</v>
      </c>
    </row>
    <row r="16" spans="3:19" ht="14.25" thickBot="1" x14ac:dyDescent="0.45">
      <c r="C16" s="694" t="s">
        <v>147</v>
      </c>
      <c r="D16" s="694"/>
      <c r="E16" s="694"/>
      <c r="F16" s="694"/>
      <c r="H16" s="218" t="str">
        <f t="shared" si="6"/>
        <v>Sonst</v>
      </c>
      <c r="I16" s="148">
        <v>363.05</v>
      </c>
      <c r="J16" s="148">
        <v>363.06</v>
      </c>
      <c r="K16" s="223">
        <f t="shared" si="1"/>
        <v>726.11</v>
      </c>
      <c r="L16" s="218" t="str">
        <f t="shared" si="7"/>
        <v>Sonst</v>
      </c>
      <c r="M16" s="148">
        <f>21.8/2</f>
        <v>10.9</v>
      </c>
      <c r="N16" s="148">
        <f>M16+17.5+40.4</f>
        <v>68.8</v>
      </c>
      <c r="O16" s="223">
        <f t="shared" si="3"/>
        <v>79.7</v>
      </c>
      <c r="Q16" s="210" t="s">
        <v>141</v>
      </c>
      <c r="R16" s="201">
        <f>R14-R15</f>
        <v>-61352.529699999999</v>
      </c>
    </row>
    <row r="17" spans="1:19" x14ac:dyDescent="0.35">
      <c r="C17" s="694"/>
      <c r="D17" s="694"/>
      <c r="E17" s="694"/>
      <c r="F17" s="694"/>
      <c r="H17" s="218"/>
      <c r="I17" s="278"/>
      <c r="J17" s="278"/>
      <c r="K17" s="224">
        <f t="shared" si="1"/>
        <v>0</v>
      </c>
      <c r="L17" s="218"/>
      <c r="M17" s="278"/>
      <c r="N17" s="278">
        <v>1900</v>
      </c>
      <c r="O17" s="224">
        <f t="shared" si="3"/>
        <v>1900</v>
      </c>
    </row>
    <row r="18" spans="1:19" ht="13.9" x14ac:dyDescent="0.35">
      <c r="A18" s="132" t="s">
        <v>57</v>
      </c>
      <c r="H18" s="217">
        <f>C4</f>
        <v>42430</v>
      </c>
      <c r="I18" s="197">
        <f>SUM(I19:I25)</f>
        <v>15</v>
      </c>
      <c r="J18" s="197">
        <f>SUM(J19:J25)</f>
        <v>1183.94</v>
      </c>
      <c r="K18" s="222">
        <f t="shared" si="1"/>
        <v>1198.94</v>
      </c>
      <c r="L18" s="217">
        <f>C10</f>
        <v>42614</v>
      </c>
      <c r="M18" s="197">
        <f>SUM(M19:M25)</f>
        <v>891.02600000000007</v>
      </c>
      <c r="N18" s="197">
        <f>SUM(N19:N25)</f>
        <v>1945.6060000000002</v>
      </c>
      <c r="O18" s="222">
        <f t="shared" si="3"/>
        <v>2836.6320000000005</v>
      </c>
      <c r="R18" s="281">
        <f>N15+J47-28084</f>
        <v>16947.940000000002</v>
      </c>
    </row>
    <row r="19" spans="1:19" ht="14.25" thickBot="1" x14ac:dyDescent="0.45">
      <c r="A19" s="188">
        <v>42552</v>
      </c>
      <c r="B19" s="188">
        <v>42583</v>
      </c>
      <c r="C19" s="188">
        <v>42614</v>
      </c>
      <c r="D19" s="188">
        <v>42644</v>
      </c>
      <c r="E19" s="188">
        <v>42675</v>
      </c>
      <c r="F19" s="187" t="s">
        <v>131</v>
      </c>
      <c r="H19" s="218" t="str">
        <f t="shared" ref="H19:H24" si="8">H3</f>
        <v>Stellplatz</v>
      </c>
      <c r="I19" s="148">
        <v>0</v>
      </c>
      <c r="J19" s="276">
        <v>150</v>
      </c>
      <c r="K19" s="223">
        <f t="shared" si="1"/>
        <v>150</v>
      </c>
      <c r="L19" s="218" t="str">
        <f t="shared" ref="L19:L24" si="9">H3</f>
        <v>Stellplatz</v>
      </c>
      <c r="M19" s="148">
        <f>126*1.19</f>
        <v>149.94</v>
      </c>
      <c r="N19" s="148">
        <f>575.72-M19</f>
        <v>425.78000000000003</v>
      </c>
      <c r="O19" s="223">
        <f t="shared" si="3"/>
        <v>575.72</v>
      </c>
      <c r="Q19" s="196" t="s">
        <v>142</v>
      </c>
    </row>
    <row r="20" spans="1:19" x14ac:dyDescent="0.35">
      <c r="A20" s="161">
        <v>4.8611111111111112E-3</v>
      </c>
      <c r="B20" s="161">
        <v>3.7499999999999999E-2</v>
      </c>
      <c r="C20" s="161">
        <v>5.7638888888888885E-2</v>
      </c>
      <c r="D20" s="161">
        <v>3.8194444444444441E-2</v>
      </c>
      <c r="H20" s="218" t="str">
        <f t="shared" si="8"/>
        <v>Sprit</v>
      </c>
      <c r="I20" s="148"/>
      <c r="J20" s="148">
        <f>187.37+478.57+207.68</f>
        <v>873.62000000000012</v>
      </c>
      <c r="K20" s="223">
        <f t="shared" si="1"/>
        <v>873.62000000000012</v>
      </c>
      <c r="L20" s="218" t="str">
        <f t="shared" si="9"/>
        <v>Sprit</v>
      </c>
      <c r="M20" s="148">
        <f>192.1+362.87</f>
        <v>554.97</v>
      </c>
      <c r="N20" s="148">
        <f>156.53</f>
        <v>156.53</v>
      </c>
      <c r="O20" s="223">
        <f t="shared" si="3"/>
        <v>711.5</v>
      </c>
      <c r="Q20" s="245">
        <f>C2</f>
        <v>42370</v>
      </c>
      <c r="R20" s="246">
        <f>F2-K2</f>
        <v>-945.59999999999991</v>
      </c>
      <c r="S20" s="247">
        <f>R20</f>
        <v>-945.59999999999991</v>
      </c>
    </row>
    <row r="21" spans="1:19" x14ac:dyDescent="0.35">
      <c r="A21" s="161">
        <v>3.472222222222222E-3</v>
      </c>
      <c r="B21" s="161">
        <v>3.472222222222222E-3</v>
      </c>
      <c r="C21" s="161">
        <v>3.472222222222222E-3</v>
      </c>
      <c r="D21" s="161">
        <v>3.472222222222222E-3</v>
      </c>
      <c r="E21" s="161">
        <v>3.472222222222222E-3</v>
      </c>
      <c r="F21" s="161">
        <v>3.472222222222222E-3</v>
      </c>
      <c r="H21" s="218" t="str">
        <f t="shared" si="8"/>
        <v>Landungen</v>
      </c>
      <c r="I21" s="148">
        <f>7.5*2</f>
        <v>15</v>
      </c>
      <c r="J21" s="148">
        <f>160.32</f>
        <v>160.32</v>
      </c>
      <c r="K21" s="223">
        <f t="shared" si="1"/>
        <v>175.32</v>
      </c>
      <c r="L21" s="218" t="str">
        <f t="shared" si="9"/>
        <v>Landungen</v>
      </c>
      <c r="M21" s="148">
        <f>15+7*9.2*1.19</f>
        <v>91.635999999999981</v>
      </c>
      <c r="N21" s="148">
        <f>7.5+2*9.2*1.19</f>
        <v>29.395999999999997</v>
      </c>
      <c r="O21" s="223">
        <f t="shared" si="3"/>
        <v>121.03199999999998</v>
      </c>
      <c r="Q21" s="248">
        <f>C3</f>
        <v>42401</v>
      </c>
      <c r="R21" s="249">
        <f>F3-K10</f>
        <v>-1168.9399999999998</v>
      </c>
      <c r="S21" s="233">
        <f>S20+R21</f>
        <v>-2114.54</v>
      </c>
    </row>
    <row r="22" spans="1:19" ht="13.9" x14ac:dyDescent="0.4">
      <c r="A22" s="189">
        <f>SUM(A20:A21)</f>
        <v>8.3333333333333332E-3</v>
      </c>
      <c r="B22" s="161">
        <v>2.7777777777777776E-2</v>
      </c>
      <c r="C22" s="161">
        <v>9.930555555555555E-2</v>
      </c>
      <c r="D22" s="161">
        <v>1.0416666666666666E-2</v>
      </c>
      <c r="H22" s="218" t="str">
        <f t="shared" si="8"/>
        <v>Öl</v>
      </c>
      <c r="I22" s="148"/>
      <c r="J22" s="148"/>
      <c r="K22" s="223">
        <f t="shared" si="1"/>
        <v>0</v>
      </c>
      <c r="L22" s="218" t="str">
        <f t="shared" si="9"/>
        <v>Öl</v>
      </c>
      <c r="M22" s="148"/>
      <c r="N22" s="148"/>
      <c r="O22" s="223">
        <f t="shared" si="3"/>
        <v>0</v>
      </c>
      <c r="Q22" s="248">
        <f t="shared" ref="Q22:Q31" si="10">C4</f>
        <v>42430</v>
      </c>
      <c r="R22" s="249">
        <f>F4-K18</f>
        <v>174.13999999999987</v>
      </c>
      <c r="S22" s="233">
        <f t="shared" ref="S22:S31" si="11">S21+R22</f>
        <v>-1940.4</v>
      </c>
    </row>
    <row r="23" spans="1:19" x14ac:dyDescent="0.35">
      <c r="A23" s="190">
        <f>A22</f>
        <v>8.3333333333333332E-3</v>
      </c>
      <c r="B23" s="161">
        <v>3.472222222222222E-3</v>
      </c>
      <c r="C23" s="161">
        <v>3.472222222222222E-3</v>
      </c>
      <c r="D23" s="161">
        <v>3.472222222222222E-3</v>
      </c>
      <c r="E23" s="161">
        <v>3.472222222222222E-3</v>
      </c>
      <c r="F23" s="161">
        <v>3.472222222222222E-3</v>
      </c>
      <c r="H23" s="218" t="str">
        <f t="shared" si="8"/>
        <v>Insp/Rep.</v>
      </c>
      <c r="I23" s="148"/>
      <c r="J23" s="148"/>
      <c r="K23" s="223">
        <f t="shared" si="1"/>
        <v>0</v>
      </c>
      <c r="L23" s="218" t="str">
        <f t="shared" si="9"/>
        <v>Insp/Rep.</v>
      </c>
      <c r="M23" s="148"/>
      <c r="N23" s="148">
        <v>1239.42</v>
      </c>
      <c r="O23" s="223">
        <f t="shared" si="3"/>
        <v>1239.42</v>
      </c>
      <c r="Q23" s="248">
        <f t="shared" si="10"/>
        <v>42461</v>
      </c>
      <c r="R23" s="249">
        <f>F5-K26</f>
        <v>-8665.26</v>
      </c>
      <c r="S23" s="233">
        <f t="shared" si="11"/>
        <v>-10605.66</v>
      </c>
    </row>
    <row r="24" spans="1:19" x14ac:dyDescent="0.35">
      <c r="B24" s="161">
        <v>5.6250000000000001E-2</v>
      </c>
      <c r="C24" s="161">
        <v>1.1805555555555555E-2</v>
      </c>
      <c r="D24" s="161">
        <v>5.6250000000000001E-2</v>
      </c>
      <c r="H24" s="218" t="str">
        <f t="shared" si="8"/>
        <v>Sonst</v>
      </c>
      <c r="I24" s="148"/>
      <c r="J24" s="148"/>
      <c r="K24" s="223">
        <f t="shared" si="1"/>
        <v>0</v>
      </c>
      <c r="L24" s="218" t="str">
        <f t="shared" si="9"/>
        <v>Sonst</v>
      </c>
      <c r="M24" s="148"/>
      <c r="N24" s="148"/>
      <c r="O24" s="223">
        <f t="shared" si="3"/>
        <v>0</v>
      </c>
      <c r="Q24" s="248">
        <f t="shared" si="10"/>
        <v>42491</v>
      </c>
      <c r="R24" s="249">
        <f>F6-K34</f>
        <v>50.599999999999454</v>
      </c>
      <c r="S24" s="233">
        <f t="shared" si="11"/>
        <v>-10555.060000000001</v>
      </c>
    </row>
    <row r="25" spans="1:19" x14ac:dyDescent="0.35">
      <c r="B25" s="161">
        <v>3.472222222222222E-3</v>
      </c>
      <c r="C25" s="161">
        <v>3.472222222222222E-3</v>
      </c>
      <c r="D25" s="161">
        <v>3.472222222222222E-3</v>
      </c>
      <c r="E25" s="161">
        <v>3.472222222222222E-3</v>
      </c>
      <c r="F25" s="161">
        <v>3.472222222222222E-3</v>
      </c>
      <c r="H25" s="277"/>
      <c r="I25" s="278"/>
      <c r="J25" s="278"/>
      <c r="K25" s="224">
        <f t="shared" si="1"/>
        <v>0</v>
      </c>
      <c r="L25" s="258"/>
      <c r="M25" s="278">
        <f>(47.35+141.61)/2</f>
        <v>94.48</v>
      </c>
      <c r="N25" s="278">
        <f>M25</f>
        <v>94.48</v>
      </c>
      <c r="O25" s="224">
        <f t="shared" si="3"/>
        <v>188.96</v>
      </c>
      <c r="Q25" s="248">
        <f t="shared" si="10"/>
        <v>42522</v>
      </c>
      <c r="R25" s="249">
        <f>F7-K42</f>
        <v>-11251.450700000001</v>
      </c>
      <c r="S25" s="233">
        <f t="shared" si="11"/>
        <v>-21806.510700000003</v>
      </c>
    </row>
    <row r="26" spans="1:19" ht="13.9" x14ac:dyDescent="0.35">
      <c r="B26" s="161">
        <v>2.6388888888888889E-2</v>
      </c>
      <c r="C26" s="161">
        <v>4.2361111111111106E-2</v>
      </c>
      <c r="D26" s="161">
        <v>5.9722222222222225E-2</v>
      </c>
      <c r="H26" s="217">
        <f>C5</f>
        <v>42461</v>
      </c>
      <c r="I26" s="197">
        <f>SUM(I27:I33)</f>
        <v>5001.18</v>
      </c>
      <c r="J26" s="197">
        <f>SUM(J27:J33)</f>
        <v>5662.67</v>
      </c>
      <c r="K26" s="222">
        <f t="shared" si="1"/>
        <v>10663.85</v>
      </c>
      <c r="L26" s="225">
        <f>C11</f>
        <v>42644</v>
      </c>
      <c r="M26" s="197">
        <f>SUM(M27:M33)</f>
        <v>373.38400000000001</v>
      </c>
      <c r="N26" s="197">
        <f>SUM(N27:N33)</f>
        <v>926.91910000000007</v>
      </c>
      <c r="O26" s="229">
        <f t="shared" si="3"/>
        <v>1300.3031000000001</v>
      </c>
      <c r="Q26" s="248">
        <f t="shared" si="10"/>
        <v>42552</v>
      </c>
      <c r="R26" s="249">
        <f>F8-O2</f>
        <v>292.58000000000015</v>
      </c>
      <c r="S26" s="233">
        <f t="shared" si="11"/>
        <v>-21513.930700000001</v>
      </c>
    </row>
    <row r="27" spans="1:19" x14ac:dyDescent="0.35">
      <c r="B27" s="161">
        <v>3.472222222222222E-3</v>
      </c>
      <c r="C27" s="161">
        <v>3.472222222222222E-3</v>
      </c>
      <c r="D27" s="161">
        <v>3.472222222222222E-3</v>
      </c>
      <c r="E27" s="161">
        <v>3.472222222222222E-3</v>
      </c>
      <c r="F27" s="161">
        <v>3.472222222222222E-3</v>
      </c>
      <c r="H27" s="218" t="str">
        <f t="shared" ref="H27:H32" si="12">H3</f>
        <v>Stellplatz</v>
      </c>
      <c r="I27" s="148">
        <v>0</v>
      </c>
      <c r="J27" s="148">
        <v>425.78</v>
      </c>
      <c r="K27" s="223">
        <f t="shared" si="1"/>
        <v>425.78</v>
      </c>
      <c r="L27" s="218" t="str">
        <f t="shared" ref="L27:L32" si="13">H3</f>
        <v>Stellplatz</v>
      </c>
      <c r="M27" s="148">
        <f>M19</f>
        <v>149.94</v>
      </c>
      <c r="N27" s="148">
        <f>N19</f>
        <v>425.78000000000003</v>
      </c>
      <c r="O27" s="223">
        <f t="shared" si="3"/>
        <v>575.72</v>
      </c>
      <c r="Q27" s="248">
        <f t="shared" si="10"/>
        <v>42583</v>
      </c>
      <c r="R27" s="249">
        <f>F9-O10</f>
        <v>-33601.4784</v>
      </c>
      <c r="S27" s="233">
        <f t="shared" si="11"/>
        <v>-55115.409100000004</v>
      </c>
    </row>
    <row r="28" spans="1:19" x14ac:dyDescent="0.35">
      <c r="B28" s="161">
        <v>5.0694444444444452E-2</v>
      </c>
      <c r="C28" s="161">
        <v>3.6111111111111115E-2</v>
      </c>
      <c r="D28" s="161">
        <v>2.5694444444444447E-2</v>
      </c>
      <c r="H28" s="218" t="str">
        <f t="shared" si="12"/>
        <v>Sprit</v>
      </c>
      <c r="I28" s="148"/>
      <c r="J28" s="148">
        <f>155.24+196.95+317.42+296.57</f>
        <v>966.18000000000006</v>
      </c>
      <c r="K28" s="223">
        <f t="shared" si="1"/>
        <v>966.18000000000006</v>
      </c>
      <c r="L28" s="218" t="str">
        <f t="shared" si="13"/>
        <v>Sprit</v>
      </c>
      <c r="M28" s="148">
        <f>131.95</f>
        <v>131.94999999999999</v>
      </c>
      <c r="N28" s="148">
        <f>116.69*1.19+292.68</f>
        <v>431.54110000000003</v>
      </c>
      <c r="O28" s="223">
        <f t="shared" si="3"/>
        <v>563.49109999999996</v>
      </c>
      <c r="Q28" s="248">
        <f t="shared" si="10"/>
        <v>42614</v>
      </c>
      <c r="R28" s="249">
        <f>F10-O18</f>
        <v>-2836.6320000000005</v>
      </c>
      <c r="S28" s="233">
        <f t="shared" si="11"/>
        <v>-57952.041100000002</v>
      </c>
    </row>
    <row r="29" spans="1:19" x14ac:dyDescent="0.35">
      <c r="B29" s="161">
        <v>3.472222222222222E-3</v>
      </c>
      <c r="C29" s="161">
        <v>3.472222222222222E-3</v>
      </c>
      <c r="D29" s="161">
        <v>3.472222222222222E-3</v>
      </c>
      <c r="E29" s="161">
        <v>3.472222222222222E-3</v>
      </c>
      <c r="F29" s="161">
        <v>3.472222222222222E-3</v>
      </c>
      <c r="H29" s="218" t="str">
        <f t="shared" si="12"/>
        <v>Landungen</v>
      </c>
      <c r="I29" s="148">
        <f>7.5</f>
        <v>7.5</v>
      </c>
      <c r="J29" s="148">
        <f>429.4</f>
        <v>429.4</v>
      </c>
      <c r="K29" s="223">
        <f t="shared" si="1"/>
        <v>436.9</v>
      </c>
      <c r="L29" s="218" t="str">
        <f t="shared" si="13"/>
        <v>Landungen</v>
      </c>
      <c r="M29" s="148">
        <f>3*9.2*1.19</f>
        <v>32.843999999999994</v>
      </c>
      <c r="N29" s="148">
        <f>1*9.2*1.19</f>
        <v>10.947999999999999</v>
      </c>
      <c r="O29" s="223">
        <f t="shared" si="3"/>
        <v>43.791999999999994</v>
      </c>
      <c r="Q29" s="248">
        <f t="shared" si="10"/>
        <v>42644</v>
      </c>
      <c r="R29" s="249">
        <f>F11-O26</f>
        <v>2969.7973999999995</v>
      </c>
      <c r="S29" s="233">
        <f t="shared" si="11"/>
        <v>-54982.243700000006</v>
      </c>
    </row>
    <row r="30" spans="1:19" ht="13.9" x14ac:dyDescent="0.4">
      <c r="B30" s="189">
        <f>SUM(B20:B29)</f>
        <v>0.2159722222222222</v>
      </c>
      <c r="C30" s="161">
        <v>0.10694444444444444</v>
      </c>
      <c r="D30" s="161">
        <v>7.9861111111111105E-2</v>
      </c>
      <c r="H30" s="218" t="str">
        <f t="shared" si="12"/>
        <v>Öl</v>
      </c>
      <c r="I30" s="148"/>
      <c r="J30" s="148"/>
      <c r="K30" s="223">
        <f t="shared" si="1"/>
        <v>0</v>
      </c>
      <c r="L30" s="218" t="str">
        <f t="shared" si="13"/>
        <v>Öl</v>
      </c>
      <c r="M30" s="148"/>
      <c r="N30" s="148"/>
      <c r="O30" s="223">
        <f t="shared" si="3"/>
        <v>0</v>
      </c>
      <c r="Q30" s="248">
        <f t="shared" si="10"/>
        <v>42675</v>
      </c>
      <c r="R30" s="249">
        <f>F12-O34</f>
        <v>-4951.1660000000002</v>
      </c>
      <c r="S30" s="233">
        <f t="shared" si="11"/>
        <v>-59933.409700000004</v>
      </c>
    </row>
    <row r="31" spans="1:19" ht="13.9" x14ac:dyDescent="0.4">
      <c r="B31" s="190">
        <f>A23+B30</f>
        <v>0.22430555555555554</v>
      </c>
      <c r="C31" s="161">
        <v>3.472222222222222E-3</v>
      </c>
      <c r="D31" s="161">
        <v>3.472222222222222E-3</v>
      </c>
      <c r="E31" s="161">
        <v>3.472222222222222E-3</v>
      </c>
      <c r="F31" s="161">
        <v>3.472222222222222E-3</v>
      </c>
      <c r="H31" s="218" t="str">
        <f t="shared" si="12"/>
        <v>Insp/Rep.</v>
      </c>
      <c r="I31" s="148">
        <v>4993.68</v>
      </c>
      <c r="J31" s="148">
        <v>3793.77</v>
      </c>
      <c r="K31" s="223">
        <f t="shared" si="1"/>
        <v>8787.4500000000007</v>
      </c>
      <c r="L31" s="218" t="str">
        <f t="shared" si="13"/>
        <v>Insp/Rep.</v>
      </c>
      <c r="M31" s="148"/>
      <c r="N31" s="148"/>
      <c r="O31" s="223">
        <f t="shared" si="3"/>
        <v>0</v>
      </c>
      <c r="Q31" s="250">
        <f t="shared" si="10"/>
        <v>42705</v>
      </c>
      <c r="R31" s="251">
        <f>F13-O42</f>
        <v>-1419.1200000000003</v>
      </c>
      <c r="S31" s="252">
        <f t="shared" si="11"/>
        <v>-61352.529700000006</v>
      </c>
    </row>
    <row r="32" spans="1:19" ht="14.25" thickBot="1" x14ac:dyDescent="0.45">
      <c r="C32" s="161">
        <v>7.2222222222222229E-2</v>
      </c>
      <c r="D32" s="191">
        <f>SUM(D20:D31)</f>
        <v>0.29097222222222219</v>
      </c>
      <c r="H32" s="218" t="str">
        <f t="shared" si="12"/>
        <v>Sonst</v>
      </c>
      <c r="I32" s="148"/>
      <c r="J32" s="148">
        <f>14.64+24.9+8</f>
        <v>47.54</v>
      </c>
      <c r="K32" s="223">
        <f t="shared" si="1"/>
        <v>47.54</v>
      </c>
      <c r="L32" s="218" t="str">
        <f t="shared" si="13"/>
        <v>Sonst</v>
      </c>
      <c r="M32" s="148"/>
      <c r="N32" s="148"/>
      <c r="O32" s="223">
        <f t="shared" si="3"/>
        <v>0</v>
      </c>
      <c r="Q32" s="242"/>
      <c r="R32" s="253">
        <f>SUM(R20:R31)</f>
        <v>-61352.529700000006</v>
      </c>
      <c r="S32" s="254"/>
    </row>
    <row r="33" spans="3:15" x14ac:dyDescent="0.35">
      <c r="C33" s="161">
        <v>3.472222222222222E-3</v>
      </c>
      <c r="D33" s="190">
        <f>C39+D32</f>
        <v>1.0222222222222221</v>
      </c>
      <c r="E33" s="161">
        <v>3.472222222222222E-3</v>
      </c>
      <c r="F33" s="161">
        <v>3.472222222222222E-3</v>
      </c>
      <c r="H33" s="218"/>
      <c r="I33" s="278"/>
      <c r="J33" s="278"/>
      <c r="K33" s="224">
        <f t="shared" si="1"/>
        <v>0</v>
      </c>
      <c r="L33" s="218"/>
      <c r="M33" s="278">
        <f>(73.2+44.1)/2</f>
        <v>58.650000000000006</v>
      </c>
      <c r="N33" s="278">
        <f>M33</f>
        <v>58.650000000000006</v>
      </c>
      <c r="O33" s="224">
        <f t="shared" si="3"/>
        <v>117.30000000000001</v>
      </c>
    </row>
    <row r="34" spans="3:15" ht="13.9" x14ac:dyDescent="0.35">
      <c r="C34" s="161">
        <v>3.9583333333333331E-2</v>
      </c>
      <c r="H34" s="217">
        <f>C6</f>
        <v>42491</v>
      </c>
      <c r="I34" s="197">
        <f>SUM(I35:I41)</f>
        <v>1792.085</v>
      </c>
      <c r="J34" s="197">
        <f>SUM(J35:J41)</f>
        <v>3705.4850000000006</v>
      </c>
      <c r="K34" s="222">
        <f t="shared" si="1"/>
        <v>5497.5700000000006</v>
      </c>
      <c r="L34" s="217">
        <f>C12</f>
        <v>42675</v>
      </c>
      <c r="M34" s="197">
        <f>SUM(M35:M41)</f>
        <v>1857.768</v>
      </c>
      <c r="N34" s="197">
        <f>SUM(N35:N41)</f>
        <v>3093.3980000000001</v>
      </c>
      <c r="O34" s="222">
        <f t="shared" si="3"/>
        <v>4951.1660000000002</v>
      </c>
    </row>
    <row r="35" spans="3:15" x14ac:dyDescent="0.35">
      <c r="C35" s="161">
        <v>3.472222222222222E-3</v>
      </c>
      <c r="E35" s="161">
        <v>3.472222222222222E-3</v>
      </c>
      <c r="F35" s="161">
        <v>3.472222222222222E-3</v>
      </c>
      <c r="H35" s="218" t="str">
        <f t="shared" ref="H35:H40" si="14">H3</f>
        <v>Stellplatz</v>
      </c>
      <c r="I35" s="148">
        <v>0</v>
      </c>
      <c r="J35" s="148">
        <v>425.78</v>
      </c>
      <c r="K35" s="223">
        <f t="shared" si="1"/>
        <v>425.78</v>
      </c>
      <c r="L35" s="218" t="str">
        <f t="shared" ref="L35:L40" si="15">H3</f>
        <v>Stellplatz</v>
      </c>
      <c r="M35" s="148">
        <f>M27</f>
        <v>149.94</v>
      </c>
      <c r="N35" s="148">
        <f>N27</f>
        <v>425.78000000000003</v>
      </c>
      <c r="O35" s="223">
        <f t="shared" si="3"/>
        <v>575.72</v>
      </c>
    </row>
    <row r="36" spans="3:15" ht="13.9" x14ac:dyDescent="0.4">
      <c r="C36" s="161">
        <v>9.7222222222222224E-3</v>
      </c>
      <c r="E36" s="191">
        <f>SUM(E20:E35)</f>
        <v>2.7777777777777783E-2</v>
      </c>
      <c r="F36" s="191">
        <f>SUM(F20:F35)</f>
        <v>2.7777777777777783E-2</v>
      </c>
      <c r="H36" s="218" t="str">
        <f t="shared" si="14"/>
        <v>Sprit</v>
      </c>
      <c r="I36" s="148"/>
      <c r="J36" s="148">
        <f>527.82+253.16+420.36+413.18</f>
        <v>1614.5200000000002</v>
      </c>
      <c r="K36" s="223">
        <f t="shared" si="1"/>
        <v>1614.5200000000002</v>
      </c>
      <c r="L36" s="218" t="str">
        <f t="shared" si="15"/>
        <v>Sprit</v>
      </c>
      <c r="M36" s="148">
        <f>244.66</f>
        <v>244.66</v>
      </c>
      <c r="N36" s="148"/>
      <c r="O36" s="223">
        <f t="shared" si="3"/>
        <v>244.66</v>
      </c>
    </row>
    <row r="37" spans="3:15" x14ac:dyDescent="0.35">
      <c r="C37" s="161">
        <v>3.472222222222222E-3</v>
      </c>
      <c r="E37" s="190">
        <f>E36+D33</f>
        <v>1.0499999999999998</v>
      </c>
      <c r="F37" s="190">
        <f>F36+E37</f>
        <v>1.0777777777777775</v>
      </c>
      <c r="H37" s="218" t="str">
        <f t="shared" si="14"/>
        <v>Landungen</v>
      </c>
      <c r="I37" s="148"/>
      <c r="J37" s="148">
        <v>272.94</v>
      </c>
      <c r="K37" s="223">
        <f t="shared" si="1"/>
        <v>272.94</v>
      </c>
      <c r="L37" s="218" t="str">
        <f t="shared" si="15"/>
        <v>Landungen</v>
      </c>
      <c r="M37" s="148">
        <f>1*9.2*1.19</f>
        <v>10.947999999999999</v>
      </c>
      <c r="N37" s="148">
        <f>1*9.2*1.19</f>
        <v>10.947999999999999</v>
      </c>
      <c r="O37" s="223">
        <f t="shared" si="3"/>
        <v>21.895999999999997</v>
      </c>
    </row>
    <row r="38" spans="3:15" ht="13.9" x14ac:dyDescent="0.4">
      <c r="C38" s="189">
        <f>SUM(C20:C37)</f>
        <v>0.50694444444444431</v>
      </c>
      <c r="H38" s="218" t="str">
        <f t="shared" si="14"/>
        <v>Öl</v>
      </c>
      <c r="I38" s="148"/>
      <c r="J38" s="148"/>
      <c r="K38" s="223">
        <f t="shared" si="1"/>
        <v>0</v>
      </c>
      <c r="L38" s="218" t="str">
        <f t="shared" si="15"/>
        <v>Öl</v>
      </c>
      <c r="M38" s="148"/>
      <c r="N38" s="148"/>
      <c r="O38" s="223">
        <f t="shared" si="3"/>
        <v>0</v>
      </c>
    </row>
    <row r="39" spans="3:15" x14ac:dyDescent="0.35">
      <c r="C39" s="190">
        <f>B31+C38</f>
        <v>0.73124999999999984</v>
      </c>
      <c r="H39" s="218" t="str">
        <f t="shared" si="14"/>
        <v>Insp/Rep.</v>
      </c>
      <c r="I39" s="148">
        <v>399.84</v>
      </c>
      <c r="J39" s="148"/>
      <c r="K39" s="223">
        <f t="shared" si="1"/>
        <v>399.84</v>
      </c>
      <c r="L39" s="218" t="str">
        <f t="shared" si="15"/>
        <v>Insp/Rep.</v>
      </c>
      <c r="M39" s="148"/>
      <c r="N39" s="148"/>
      <c r="O39" s="223">
        <f t="shared" si="3"/>
        <v>0</v>
      </c>
    </row>
    <row r="40" spans="3:15" x14ac:dyDescent="0.35">
      <c r="H40" s="218" t="str">
        <f t="shared" si="14"/>
        <v>Sonst</v>
      </c>
      <c r="I40" s="148">
        <f>409.96+238+1437.4/2+0</f>
        <v>1366.66</v>
      </c>
      <c r="J40" s="148">
        <f>I40</f>
        <v>1366.66</v>
      </c>
      <c r="K40" s="223">
        <f t="shared" si="1"/>
        <v>2733.32</v>
      </c>
      <c r="L40" s="218" t="str">
        <f t="shared" si="15"/>
        <v>Sonst</v>
      </c>
      <c r="M40" s="148">
        <f>1452.22</f>
        <v>1452.22</v>
      </c>
      <c r="N40" s="148">
        <f>M40</f>
        <v>1452.22</v>
      </c>
      <c r="O40" s="223">
        <f t="shared" si="3"/>
        <v>2904.44</v>
      </c>
    </row>
    <row r="41" spans="3:15" x14ac:dyDescent="0.35">
      <c r="H41" s="218"/>
      <c r="I41" s="278">
        <f>(51.17/2)</f>
        <v>25.585000000000001</v>
      </c>
      <c r="J41" s="278">
        <f>I41</f>
        <v>25.585000000000001</v>
      </c>
      <c r="K41" s="224">
        <f t="shared" si="1"/>
        <v>51.17</v>
      </c>
      <c r="L41" s="218"/>
      <c r="M41" s="278"/>
      <c r="N41" s="278">
        <f>1204.45</f>
        <v>1204.45</v>
      </c>
      <c r="O41" s="224">
        <f t="shared" si="3"/>
        <v>1204.45</v>
      </c>
    </row>
    <row r="42" spans="3:15" ht="13.9" x14ac:dyDescent="0.35">
      <c r="H42" s="217">
        <f>C7</f>
        <v>42522</v>
      </c>
      <c r="I42" s="197">
        <f>SUM(I43:I49)</f>
        <v>160.69999999999999</v>
      </c>
      <c r="J42" s="197">
        <f>SUM(J43:J49)</f>
        <v>15474.520700000001</v>
      </c>
      <c r="K42" s="222">
        <f t="shared" si="1"/>
        <v>15635.220700000002</v>
      </c>
      <c r="L42" s="217">
        <f>C13</f>
        <v>42705</v>
      </c>
      <c r="M42" s="197">
        <f>SUM(M43:M49)</f>
        <v>2226.9</v>
      </c>
      <c r="N42" s="197">
        <f>SUM(N43:N49)</f>
        <v>476.10859999999997</v>
      </c>
      <c r="O42" s="222">
        <f t="shared" si="3"/>
        <v>2703.0086000000001</v>
      </c>
    </row>
    <row r="43" spans="3:15" x14ac:dyDescent="0.35">
      <c r="H43" s="218" t="str">
        <f t="shared" ref="H43:H48" si="16">H3</f>
        <v>Stellplatz</v>
      </c>
      <c r="I43" s="148"/>
      <c r="J43" s="148"/>
      <c r="K43" s="223">
        <f t="shared" si="1"/>
        <v>0</v>
      </c>
      <c r="L43" s="218" t="str">
        <f t="shared" ref="L43:L48" si="17">H3</f>
        <v>Stellplatz</v>
      </c>
      <c r="M43" s="148"/>
      <c r="N43" s="148"/>
      <c r="O43" s="223">
        <f t="shared" si="3"/>
        <v>0</v>
      </c>
    </row>
    <row r="44" spans="3:15" x14ac:dyDescent="0.35">
      <c r="H44" s="218" t="str">
        <f t="shared" si="16"/>
        <v>Sprit</v>
      </c>
      <c r="I44" s="148"/>
      <c r="J44" s="148">
        <f>437.53*1.19+630.25</f>
        <v>1150.9106999999999</v>
      </c>
      <c r="K44" s="223">
        <f t="shared" si="1"/>
        <v>1150.9106999999999</v>
      </c>
      <c r="L44" s="218" t="str">
        <f t="shared" si="17"/>
        <v>Sprit</v>
      </c>
      <c r="M44" s="148"/>
      <c r="N44" s="148">
        <f>193.36+102.65+132.94*1.19</f>
        <v>454.20859999999999</v>
      </c>
      <c r="O44" s="223">
        <f t="shared" si="3"/>
        <v>454.20859999999999</v>
      </c>
    </row>
    <row r="45" spans="3:15" x14ac:dyDescent="0.35">
      <c r="H45" s="218" t="str">
        <f t="shared" si="16"/>
        <v>Landungen</v>
      </c>
      <c r="I45" s="148"/>
      <c r="J45" s="148">
        <f>7.5</f>
        <v>7.5</v>
      </c>
      <c r="K45" s="223">
        <f t="shared" si="1"/>
        <v>7.5</v>
      </c>
      <c r="L45" s="218" t="str">
        <f t="shared" si="17"/>
        <v>Landungen</v>
      </c>
      <c r="M45" s="148">
        <v>7.5</v>
      </c>
      <c r="N45" s="148">
        <f>21.9+0</f>
        <v>21.9</v>
      </c>
      <c r="O45" s="223">
        <f t="shared" si="3"/>
        <v>29.4</v>
      </c>
    </row>
    <row r="46" spans="3:15" x14ac:dyDescent="0.35">
      <c r="H46" s="218" t="str">
        <f t="shared" si="16"/>
        <v>Öl</v>
      </c>
      <c r="I46" s="148"/>
      <c r="J46" s="148"/>
      <c r="K46" s="223">
        <f t="shared" si="1"/>
        <v>0</v>
      </c>
      <c r="L46" s="218" t="str">
        <f t="shared" si="17"/>
        <v>Öl</v>
      </c>
      <c r="M46" s="148"/>
      <c r="N46" s="148"/>
      <c r="O46" s="223">
        <f t="shared" si="3"/>
        <v>0</v>
      </c>
    </row>
    <row r="47" spans="3:15" x14ac:dyDescent="0.35">
      <c r="H47" s="218" t="str">
        <f t="shared" si="16"/>
        <v>Insp/Rep.</v>
      </c>
      <c r="I47" s="148"/>
      <c r="J47" s="276">
        <f>4133.66+10000</f>
        <v>14133.66</v>
      </c>
      <c r="K47" s="223">
        <f t="shared" si="1"/>
        <v>14133.66</v>
      </c>
      <c r="L47" s="218" t="str">
        <f t="shared" si="17"/>
        <v>Insp/Rep.</v>
      </c>
      <c r="M47" s="148"/>
      <c r="N47" s="148"/>
      <c r="O47" s="223">
        <f t="shared" si="3"/>
        <v>0</v>
      </c>
    </row>
    <row r="48" spans="3:15" x14ac:dyDescent="0.35">
      <c r="H48" s="218" t="str">
        <f t="shared" si="16"/>
        <v>Sonst</v>
      </c>
      <c r="I48" s="148">
        <f>321.4/2</f>
        <v>160.69999999999999</v>
      </c>
      <c r="J48" s="148">
        <f>I48</f>
        <v>160.69999999999999</v>
      </c>
      <c r="K48" s="223">
        <f t="shared" si="1"/>
        <v>321.39999999999998</v>
      </c>
      <c r="L48" s="218" t="str">
        <f t="shared" si="17"/>
        <v>Sonst</v>
      </c>
      <c r="M48" s="148">
        <f>60.5</f>
        <v>60.5</v>
      </c>
      <c r="N48" s="148"/>
      <c r="O48" s="223">
        <f t="shared" si="3"/>
        <v>60.5</v>
      </c>
    </row>
    <row r="49" spans="8:15" ht="13.9" thickBot="1" x14ac:dyDescent="0.4">
      <c r="H49" s="259"/>
      <c r="I49" s="279"/>
      <c r="J49" s="280">
        <f>21.75</f>
        <v>21.75</v>
      </c>
      <c r="K49" s="226">
        <f>I49+J49</f>
        <v>21.75</v>
      </c>
      <c r="L49" s="259"/>
      <c r="M49" s="279">
        <f>1204.45+954.45</f>
        <v>2158.9</v>
      </c>
      <c r="N49" s="280"/>
      <c r="O49" s="226">
        <f>M49+N49</f>
        <v>2158.9</v>
      </c>
    </row>
    <row r="55" spans="8:15" ht="13.9" x14ac:dyDescent="0.35">
      <c r="I55" s="192"/>
      <c r="J55" s="192"/>
    </row>
  </sheetData>
  <mergeCells count="1">
    <mergeCell ref="C16:F1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W66"/>
  <sheetViews>
    <sheetView workbookViewId="0">
      <pane ySplit="1" topLeftCell="A42" activePane="bottomLeft" state="frozen"/>
      <selection pane="bottomLeft" activeCell="D1" sqref="D1"/>
    </sheetView>
  </sheetViews>
  <sheetFormatPr baseColWidth="10" defaultColWidth="11.3984375" defaultRowHeight="13.5" x14ac:dyDescent="0.35"/>
  <cols>
    <col min="1" max="2" width="11.3984375" style="132"/>
    <col min="3" max="3" width="13.73046875" style="132" bestFit="1" customWidth="1"/>
    <col min="4" max="5" width="11.3984375" style="132"/>
    <col min="6" max="6" width="12.3984375" style="132" bestFit="1" customWidth="1"/>
    <col min="7" max="7" width="11.3984375" style="132"/>
    <col min="8" max="8" width="12.59765625" style="132" bestFit="1" customWidth="1"/>
    <col min="9" max="10" width="11.3984375" style="132"/>
    <col min="11" max="11" width="11.3984375" style="193"/>
    <col min="12" max="12" width="12.59765625" style="132" bestFit="1" customWidth="1"/>
    <col min="13" max="14" width="11.3984375" style="132"/>
    <col min="15" max="15" width="11.3984375" style="115"/>
    <col min="16" max="16" width="12.59765625" style="132" bestFit="1" customWidth="1"/>
    <col min="17" max="17" width="12.1328125" style="132" bestFit="1" customWidth="1"/>
    <col min="18" max="18" width="12.1328125" style="132" customWidth="1"/>
    <col min="19" max="19" width="11.3984375" style="132"/>
    <col min="20" max="20" width="12.1328125" style="132" customWidth="1"/>
    <col min="21" max="16384" width="11.3984375" style="132"/>
  </cols>
  <sheetData>
    <row r="1" spans="3:21" ht="15" x14ac:dyDescent="0.4">
      <c r="C1" s="199" t="s">
        <v>119</v>
      </c>
      <c r="D1" s="214" t="s">
        <v>5</v>
      </c>
      <c r="E1" s="214" t="s">
        <v>4</v>
      </c>
      <c r="F1" s="213"/>
      <c r="G1" s="132" t="s">
        <v>146</v>
      </c>
      <c r="H1" s="200" t="s">
        <v>132</v>
      </c>
      <c r="I1" s="227" t="s">
        <v>5</v>
      </c>
      <c r="J1" s="227" t="s">
        <v>4</v>
      </c>
      <c r="K1" s="220"/>
      <c r="L1" s="221"/>
      <c r="M1" s="227" t="s">
        <v>5</v>
      </c>
      <c r="N1" s="227" t="s">
        <v>4</v>
      </c>
      <c r="O1" s="228"/>
      <c r="P1" s="202" t="s">
        <v>136</v>
      </c>
      <c r="Q1" s="236" t="s">
        <v>5</v>
      </c>
      <c r="R1" s="237" t="s">
        <v>4</v>
      </c>
      <c r="S1" s="238"/>
    </row>
    <row r="2" spans="3:21" s="187" customFormat="1" ht="14.25" thickBot="1" x14ac:dyDescent="0.45">
      <c r="C2" s="211">
        <v>43466</v>
      </c>
      <c r="D2" s="198"/>
      <c r="E2" s="198"/>
      <c r="F2" s="215">
        <f>D2+E2</f>
        <v>0</v>
      </c>
      <c r="G2" s="192"/>
      <c r="H2" s="217">
        <f>C2</f>
        <v>43466</v>
      </c>
      <c r="I2" s="197">
        <f>SUM(I3:I10)</f>
        <v>0</v>
      </c>
      <c r="J2" s="197">
        <f>SUM(J3:J10)</f>
        <v>0</v>
      </c>
      <c r="K2" s="222">
        <f>I2+J2</f>
        <v>0</v>
      </c>
      <c r="L2" s="217">
        <f>C8</f>
        <v>43647</v>
      </c>
      <c r="M2" s="197">
        <f>SUM(M3:M10)</f>
        <v>0</v>
      </c>
      <c r="N2" s="197">
        <f>SUM(N3:N10)</f>
        <v>0</v>
      </c>
      <c r="O2" s="222">
        <f>M2+N2</f>
        <v>0</v>
      </c>
      <c r="P2" s="203" t="s">
        <v>137</v>
      </c>
      <c r="Q2" s="239">
        <f t="shared" ref="Q2:R10" si="0">I2+I11+I20+I29+I38+I47+M2+M11+M20+M29+M38+M47</f>
        <v>0</v>
      </c>
      <c r="R2" s="240">
        <f t="shared" si="0"/>
        <v>0</v>
      </c>
      <c r="S2" s="241">
        <f>Q2+R2</f>
        <v>0</v>
      </c>
    </row>
    <row r="3" spans="3:21" ht="13.9" x14ac:dyDescent="0.35">
      <c r="C3" s="211">
        <v>43497</v>
      </c>
      <c r="D3" s="194"/>
      <c r="E3" s="194"/>
      <c r="F3" s="215">
        <f>D3+E3</f>
        <v>0</v>
      </c>
      <c r="G3" s="192"/>
      <c r="H3" s="218" t="s">
        <v>133</v>
      </c>
      <c r="I3" s="148"/>
      <c r="J3" s="148"/>
      <c r="K3" s="223">
        <f t="shared" ref="K3:K54" si="1">I3+J3</f>
        <v>0</v>
      </c>
      <c r="L3" s="218" t="str">
        <f t="shared" ref="L3:L10" si="2">H3</f>
        <v>Stellplatz</v>
      </c>
      <c r="M3" s="148"/>
      <c r="N3" s="148"/>
      <c r="O3" s="223">
        <f t="shared" ref="O3:O54" si="3">M3+N3</f>
        <v>0</v>
      </c>
      <c r="P3" s="230" t="str">
        <f t="shared" ref="P3:P10" si="4">H3</f>
        <v>Stellplatz</v>
      </c>
      <c r="Q3" s="231">
        <f t="shared" si="0"/>
        <v>0</v>
      </c>
      <c r="R3" s="232">
        <f t="shared" si="0"/>
        <v>0</v>
      </c>
      <c r="S3" s="233">
        <f>Q3+R3</f>
        <v>0</v>
      </c>
      <c r="T3" s="507" t="e">
        <f>S3/$S$11</f>
        <v>#DIV/0!</v>
      </c>
    </row>
    <row r="4" spans="3:21" ht="13.9" x14ac:dyDescent="0.35">
      <c r="C4" s="211">
        <v>43525</v>
      </c>
      <c r="D4" s="194"/>
      <c r="E4" s="194"/>
      <c r="F4" s="215">
        <f t="shared" ref="F4:F13" si="5">D4+E4</f>
        <v>0</v>
      </c>
      <c r="G4" s="192"/>
      <c r="H4" s="218" t="s">
        <v>134</v>
      </c>
      <c r="I4" s="148"/>
      <c r="J4" s="148"/>
      <c r="K4" s="223">
        <f t="shared" si="1"/>
        <v>0</v>
      </c>
      <c r="L4" s="218" t="str">
        <f t="shared" si="2"/>
        <v>Sprit</v>
      </c>
      <c r="M4" s="148"/>
      <c r="N4" s="148"/>
      <c r="O4" s="223">
        <f t="shared" si="3"/>
        <v>0</v>
      </c>
      <c r="P4" s="234" t="str">
        <f t="shared" si="4"/>
        <v>Sprit</v>
      </c>
      <c r="Q4" s="231">
        <f t="shared" si="0"/>
        <v>0</v>
      </c>
      <c r="R4" s="232">
        <f t="shared" si="0"/>
        <v>0</v>
      </c>
      <c r="S4" s="233">
        <f t="shared" ref="S4:S10" si="6">Q4+R4</f>
        <v>0</v>
      </c>
      <c r="T4" s="508" t="e">
        <f t="shared" ref="T4:T10" si="7">S4/$S$11</f>
        <v>#DIV/0!</v>
      </c>
    </row>
    <row r="5" spans="3:21" ht="13.9" x14ac:dyDescent="0.35">
      <c r="C5" s="211">
        <v>43556</v>
      </c>
      <c r="D5" s="194"/>
      <c r="E5" s="194"/>
      <c r="F5" s="215">
        <f t="shared" si="5"/>
        <v>0</v>
      </c>
      <c r="G5" s="192"/>
      <c r="H5" s="218" t="s">
        <v>15</v>
      </c>
      <c r="I5" s="148"/>
      <c r="J5" s="148"/>
      <c r="K5" s="223">
        <f t="shared" si="1"/>
        <v>0</v>
      </c>
      <c r="L5" s="218" t="str">
        <f t="shared" si="2"/>
        <v>Landungen</v>
      </c>
      <c r="M5" s="148"/>
      <c r="N5" s="148"/>
      <c r="O5" s="223">
        <f t="shared" si="3"/>
        <v>0</v>
      </c>
      <c r="P5" s="234" t="str">
        <f t="shared" si="4"/>
        <v>Landungen</v>
      </c>
      <c r="Q5" s="231">
        <f t="shared" si="0"/>
        <v>0</v>
      </c>
      <c r="R5" s="232">
        <f t="shared" si="0"/>
        <v>0</v>
      </c>
      <c r="S5" s="233">
        <f t="shared" si="6"/>
        <v>0</v>
      </c>
      <c r="T5" s="508" t="e">
        <f t="shared" si="7"/>
        <v>#DIV/0!</v>
      </c>
    </row>
    <row r="6" spans="3:21" ht="13.9" x14ac:dyDescent="0.35">
      <c r="C6" s="211">
        <v>43586</v>
      </c>
      <c r="D6" s="194"/>
      <c r="E6" s="194"/>
      <c r="F6" s="215">
        <f t="shared" si="5"/>
        <v>0</v>
      </c>
      <c r="G6" s="192"/>
      <c r="H6" s="218" t="s">
        <v>135</v>
      </c>
      <c r="I6" s="148"/>
      <c r="J6" s="148"/>
      <c r="K6" s="223">
        <f t="shared" si="1"/>
        <v>0</v>
      </c>
      <c r="L6" s="218" t="str">
        <f t="shared" si="2"/>
        <v>Öl</v>
      </c>
      <c r="M6" s="148"/>
      <c r="N6" s="148"/>
      <c r="O6" s="223">
        <f t="shared" si="3"/>
        <v>0</v>
      </c>
      <c r="P6" s="234" t="str">
        <f t="shared" si="4"/>
        <v>Öl</v>
      </c>
      <c r="Q6" s="231">
        <f t="shared" si="0"/>
        <v>0</v>
      </c>
      <c r="R6" s="232">
        <f t="shared" si="0"/>
        <v>0</v>
      </c>
      <c r="S6" s="233">
        <f>Q6+R6</f>
        <v>0</v>
      </c>
      <c r="T6" s="508" t="e">
        <f t="shared" si="7"/>
        <v>#DIV/0!</v>
      </c>
    </row>
    <row r="7" spans="3:21" ht="13.9" x14ac:dyDescent="0.35">
      <c r="C7" s="211">
        <v>43617</v>
      </c>
      <c r="D7" s="194"/>
      <c r="E7" s="194"/>
      <c r="F7" s="215">
        <f t="shared" si="5"/>
        <v>0</v>
      </c>
      <c r="G7" s="192"/>
      <c r="H7" s="218" t="s">
        <v>223</v>
      </c>
      <c r="I7" s="148"/>
      <c r="J7" s="148"/>
      <c r="K7" s="223">
        <f t="shared" si="1"/>
        <v>0</v>
      </c>
      <c r="L7" s="218" t="str">
        <f t="shared" si="2"/>
        <v>Inspektion</v>
      </c>
      <c r="M7" s="148"/>
      <c r="N7" s="148"/>
      <c r="O7" s="223">
        <f t="shared" si="3"/>
        <v>0</v>
      </c>
      <c r="P7" s="234" t="str">
        <f t="shared" si="4"/>
        <v>Inspektion</v>
      </c>
      <c r="Q7" s="231">
        <f t="shared" si="0"/>
        <v>0</v>
      </c>
      <c r="R7" s="232">
        <f t="shared" si="0"/>
        <v>0</v>
      </c>
      <c r="S7" s="233">
        <f t="shared" si="6"/>
        <v>0</v>
      </c>
      <c r="T7" s="508" t="e">
        <f t="shared" si="7"/>
        <v>#DIV/0!</v>
      </c>
    </row>
    <row r="8" spans="3:21" ht="13.9" x14ac:dyDescent="0.35">
      <c r="C8" s="211">
        <v>43647</v>
      </c>
      <c r="D8" s="194"/>
      <c r="E8" s="194"/>
      <c r="F8" s="215">
        <f t="shared" si="5"/>
        <v>0</v>
      </c>
      <c r="G8" s="192"/>
      <c r="H8" s="218" t="s">
        <v>222</v>
      </c>
      <c r="I8" s="148"/>
      <c r="J8" s="148"/>
      <c r="K8" s="223">
        <f t="shared" si="1"/>
        <v>0</v>
      </c>
      <c r="L8" s="218" t="str">
        <f t="shared" si="2"/>
        <v>Reparatur</v>
      </c>
      <c r="M8" s="148"/>
      <c r="N8" s="148"/>
      <c r="O8" s="223">
        <f t="shared" si="3"/>
        <v>0</v>
      </c>
      <c r="P8" s="234" t="str">
        <f t="shared" si="4"/>
        <v>Reparatur</v>
      </c>
      <c r="Q8" s="231">
        <f t="shared" si="0"/>
        <v>0</v>
      </c>
      <c r="R8" s="232">
        <f t="shared" si="0"/>
        <v>0</v>
      </c>
      <c r="S8" s="233">
        <f>Q8+R8</f>
        <v>0</v>
      </c>
      <c r="T8" s="508" t="e">
        <f t="shared" si="7"/>
        <v>#DIV/0!</v>
      </c>
    </row>
    <row r="9" spans="3:21" ht="13.9" x14ac:dyDescent="0.35">
      <c r="C9" s="211">
        <v>43678</v>
      </c>
      <c r="D9" s="194"/>
      <c r="E9" s="194"/>
      <c r="F9" s="215">
        <f t="shared" si="5"/>
        <v>0</v>
      </c>
      <c r="G9" s="192"/>
      <c r="H9" s="218" t="s">
        <v>220</v>
      </c>
      <c r="I9" s="148"/>
      <c r="J9" s="148"/>
      <c r="K9" s="223">
        <f t="shared" si="1"/>
        <v>0</v>
      </c>
      <c r="L9" s="218" t="str">
        <f t="shared" si="2"/>
        <v>Invest</v>
      </c>
      <c r="M9" s="148"/>
      <c r="N9" s="148"/>
      <c r="O9" s="223">
        <f t="shared" si="3"/>
        <v>0</v>
      </c>
      <c r="P9" s="234" t="str">
        <f t="shared" si="4"/>
        <v>Invest</v>
      </c>
      <c r="Q9" s="231">
        <f t="shared" si="0"/>
        <v>0</v>
      </c>
      <c r="R9" s="232">
        <f t="shared" si="0"/>
        <v>0</v>
      </c>
      <c r="S9" s="233">
        <f t="shared" si="6"/>
        <v>0</v>
      </c>
      <c r="T9" s="508" t="e">
        <f t="shared" si="7"/>
        <v>#DIV/0!</v>
      </c>
    </row>
    <row r="10" spans="3:21" ht="14.25" thickBot="1" x14ac:dyDescent="0.4">
      <c r="C10" s="211">
        <v>43709</v>
      </c>
      <c r="D10" s="194"/>
      <c r="E10" s="194"/>
      <c r="F10" s="215">
        <f t="shared" si="5"/>
        <v>0</v>
      </c>
      <c r="G10" s="192"/>
      <c r="H10" s="277" t="s">
        <v>116</v>
      </c>
      <c r="I10" s="278"/>
      <c r="J10" s="278"/>
      <c r="K10" s="224">
        <f t="shared" si="1"/>
        <v>0</v>
      </c>
      <c r="L10" s="277" t="str">
        <f t="shared" si="2"/>
        <v>Sonst</v>
      </c>
      <c r="M10" s="278"/>
      <c r="N10" s="278"/>
      <c r="O10" s="224">
        <f t="shared" si="3"/>
        <v>0</v>
      </c>
      <c r="P10" s="277" t="str">
        <f t="shared" si="4"/>
        <v>Sonst</v>
      </c>
      <c r="Q10" s="231">
        <f t="shared" si="0"/>
        <v>0</v>
      </c>
      <c r="R10" s="232">
        <f t="shared" si="0"/>
        <v>0</v>
      </c>
      <c r="S10" s="233">
        <f t="shared" si="6"/>
        <v>0</v>
      </c>
      <c r="T10" s="509" t="e">
        <f t="shared" si="7"/>
        <v>#DIV/0!</v>
      </c>
    </row>
    <row r="11" spans="3:21" ht="14.25" thickBot="1" x14ac:dyDescent="0.45">
      <c r="C11" s="211">
        <v>43739</v>
      </c>
      <c r="D11" s="194"/>
      <c r="E11" s="194"/>
      <c r="F11" s="215">
        <f t="shared" si="5"/>
        <v>0</v>
      </c>
      <c r="G11" s="192"/>
      <c r="H11" s="217">
        <f>C3</f>
        <v>43497</v>
      </c>
      <c r="I11" s="197">
        <f>SUM(I12:I19)</f>
        <v>0</v>
      </c>
      <c r="J11" s="197">
        <f>SUM(J12:J19)</f>
        <v>0</v>
      </c>
      <c r="K11" s="222">
        <f t="shared" si="1"/>
        <v>0</v>
      </c>
      <c r="L11" s="217">
        <f>C9</f>
        <v>43678</v>
      </c>
      <c r="M11" s="197">
        <f>SUM(M12:M19)</f>
        <v>0</v>
      </c>
      <c r="N11" s="197">
        <f>SUM(N12:N19)</f>
        <v>0</v>
      </c>
      <c r="O11" s="222">
        <f t="shared" si="3"/>
        <v>0</v>
      </c>
      <c r="P11" s="242"/>
      <c r="Q11" s="243">
        <f>SUM(Q3:Q10)</f>
        <v>0</v>
      </c>
      <c r="R11" s="244">
        <f>SUM(R3:R10)</f>
        <v>0</v>
      </c>
      <c r="S11" s="204">
        <f>Q11+R11</f>
        <v>0</v>
      </c>
      <c r="T11" s="510" t="e">
        <f>S11/$S$11</f>
        <v>#DIV/0!</v>
      </c>
    </row>
    <row r="12" spans="3:21" ht="13.9" x14ac:dyDescent="0.35">
      <c r="C12" s="211">
        <v>43770</v>
      </c>
      <c r="D12" s="194"/>
      <c r="E12" s="194"/>
      <c r="F12" s="215">
        <f t="shared" si="5"/>
        <v>0</v>
      </c>
      <c r="G12" s="192"/>
      <c r="H12" s="218" t="str">
        <f t="shared" ref="H12:H17" si="8">H3</f>
        <v>Stellplatz</v>
      </c>
      <c r="I12" s="148"/>
      <c r="J12" s="148"/>
      <c r="K12" s="223">
        <f t="shared" si="1"/>
        <v>0</v>
      </c>
      <c r="L12" s="218" t="str">
        <f t="shared" ref="L12:L17" si="9">H3</f>
        <v>Stellplatz</v>
      </c>
      <c r="M12" s="148"/>
      <c r="N12" s="148"/>
      <c r="O12" s="223">
        <f t="shared" si="3"/>
        <v>0</v>
      </c>
    </row>
    <row r="13" spans="3:21" ht="14.25" thickBot="1" x14ac:dyDescent="0.4">
      <c r="C13" s="211">
        <v>43800</v>
      </c>
      <c r="D13" s="195"/>
      <c r="E13" s="195"/>
      <c r="F13" s="215">
        <f t="shared" si="5"/>
        <v>0</v>
      </c>
      <c r="G13" s="295"/>
      <c r="H13" s="218" t="str">
        <f t="shared" si="8"/>
        <v>Sprit</v>
      </c>
      <c r="I13" s="148"/>
      <c r="J13" s="148"/>
      <c r="K13" s="223">
        <f t="shared" si="1"/>
        <v>0</v>
      </c>
      <c r="L13" s="218" t="str">
        <f t="shared" si="9"/>
        <v>Sprit</v>
      </c>
      <c r="M13" s="148"/>
      <c r="N13" s="148"/>
      <c r="O13" s="223">
        <f t="shared" si="3"/>
        <v>0</v>
      </c>
    </row>
    <row r="14" spans="3:21" ht="14.25" thickBot="1" x14ac:dyDescent="0.45">
      <c r="C14" s="213"/>
      <c r="D14" s="216">
        <f>SUM(D2:D13)</f>
        <v>0</v>
      </c>
      <c r="E14" s="216">
        <f>SUM(E2:E13)</f>
        <v>0</v>
      </c>
      <c r="F14" s="205">
        <f>SUM(F2:F13)</f>
        <v>0</v>
      </c>
      <c r="G14" s="149">
        <f>SUM(G2:G13)</f>
        <v>0</v>
      </c>
      <c r="H14" s="218" t="str">
        <f t="shared" si="8"/>
        <v>Landungen</v>
      </c>
      <c r="I14" s="148"/>
      <c r="J14" s="148"/>
      <c r="K14" s="223">
        <f t="shared" si="1"/>
        <v>0</v>
      </c>
      <c r="L14" s="218" t="str">
        <f t="shared" si="9"/>
        <v>Landungen</v>
      </c>
      <c r="M14" s="148"/>
      <c r="N14" s="148"/>
      <c r="O14" s="223">
        <f t="shared" si="3"/>
        <v>0</v>
      </c>
    </row>
    <row r="15" spans="3:21" x14ac:dyDescent="0.35">
      <c r="C15" s="349"/>
      <c r="H15" s="218" t="str">
        <f t="shared" si="8"/>
        <v>Öl</v>
      </c>
      <c r="I15" s="148"/>
      <c r="J15" s="148"/>
      <c r="K15" s="223">
        <f t="shared" si="1"/>
        <v>0</v>
      </c>
      <c r="L15" s="218" t="str">
        <f t="shared" si="9"/>
        <v>Öl</v>
      </c>
      <c r="M15" s="148"/>
      <c r="N15" s="148"/>
      <c r="O15" s="223">
        <f t="shared" si="3"/>
        <v>0</v>
      </c>
      <c r="Q15" s="206" t="s">
        <v>139</v>
      </c>
      <c r="R15" s="207">
        <f>F14</f>
        <v>0</v>
      </c>
      <c r="T15" s="206" t="s">
        <v>139</v>
      </c>
      <c r="U15" s="207">
        <f>R15</f>
        <v>0</v>
      </c>
    </row>
    <row r="16" spans="3:21" ht="13.9" thickBot="1" x14ac:dyDescent="0.4">
      <c r="C16" s="349"/>
      <c r="H16" s="218" t="str">
        <f t="shared" si="8"/>
        <v>Inspektion</v>
      </c>
      <c r="I16" s="148"/>
      <c r="J16" s="148"/>
      <c r="K16" s="223">
        <f t="shared" si="1"/>
        <v>0</v>
      </c>
      <c r="L16" s="218" t="str">
        <f t="shared" si="9"/>
        <v>Inspektion</v>
      </c>
      <c r="M16" s="148"/>
      <c r="N16" s="148"/>
      <c r="O16" s="223">
        <f t="shared" si="3"/>
        <v>0</v>
      </c>
      <c r="Q16" s="208" t="s">
        <v>140</v>
      </c>
      <c r="R16" s="209">
        <f>S11</f>
        <v>0</v>
      </c>
      <c r="T16" s="208" t="s">
        <v>140</v>
      </c>
      <c r="U16" s="209">
        <f>R16-G14</f>
        <v>0</v>
      </c>
    </row>
    <row r="17" spans="1:21" ht="14.25" thickBot="1" x14ac:dyDescent="0.45">
      <c r="C17" s="349"/>
      <c r="H17" s="218" t="str">
        <f t="shared" si="8"/>
        <v>Reparatur</v>
      </c>
      <c r="I17" s="148"/>
      <c r="J17" s="148"/>
      <c r="K17" s="223">
        <f>I17+J17</f>
        <v>0</v>
      </c>
      <c r="L17" s="218" t="str">
        <f t="shared" si="9"/>
        <v>Reparatur</v>
      </c>
      <c r="M17" s="148"/>
      <c r="N17" s="148"/>
      <c r="O17" s="223">
        <f>M17+N17</f>
        <v>0</v>
      </c>
      <c r="P17" s="281"/>
      <c r="Q17" s="210" t="s">
        <v>141</v>
      </c>
      <c r="R17" s="201">
        <f>R15-R16</f>
        <v>0</v>
      </c>
      <c r="T17" s="210" t="s">
        <v>141</v>
      </c>
      <c r="U17" s="201">
        <f>U15-U16</f>
        <v>0</v>
      </c>
    </row>
    <row r="18" spans="1:21" x14ac:dyDescent="0.35">
      <c r="H18" s="218" t="str">
        <f>H9</f>
        <v>Invest</v>
      </c>
      <c r="I18" s="148"/>
      <c r="J18" s="148"/>
      <c r="K18" s="223">
        <f t="shared" si="1"/>
        <v>0</v>
      </c>
      <c r="L18" s="218" t="str">
        <f>H9</f>
        <v>Invest</v>
      </c>
      <c r="M18" s="148"/>
      <c r="N18" s="148"/>
      <c r="O18" s="223">
        <f t="shared" si="3"/>
        <v>0</v>
      </c>
      <c r="P18" s="281"/>
    </row>
    <row r="19" spans="1:21" ht="14.25" thickBot="1" x14ac:dyDescent="0.4">
      <c r="A19" s="188"/>
      <c r="B19" s="188"/>
      <c r="C19" s="694" t="s">
        <v>147</v>
      </c>
      <c r="D19" s="694"/>
      <c r="E19" s="694"/>
      <c r="F19" s="694"/>
      <c r="H19" s="277" t="str">
        <f>H10</f>
        <v>Sonst</v>
      </c>
      <c r="I19" s="278"/>
      <c r="J19" s="278"/>
      <c r="K19" s="224">
        <f t="shared" si="1"/>
        <v>0</v>
      </c>
      <c r="L19" s="277" t="str">
        <f>H10</f>
        <v>Sonst</v>
      </c>
      <c r="M19" s="278"/>
      <c r="N19" s="278"/>
      <c r="O19" s="224">
        <f t="shared" si="3"/>
        <v>0</v>
      </c>
    </row>
    <row r="20" spans="1:21" ht="14.25" thickBot="1" x14ac:dyDescent="0.4">
      <c r="A20" s="161"/>
      <c r="B20" s="161"/>
      <c r="C20" s="694"/>
      <c r="D20" s="694"/>
      <c r="E20" s="694"/>
      <c r="F20" s="694"/>
      <c r="H20" s="217">
        <f>C4</f>
        <v>43525</v>
      </c>
      <c r="I20" s="197">
        <f>SUM(I21:I28)</f>
        <v>0</v>
      </c>
      <c r="J20" s="197">
        <f>SUM(J21:J28)</f>
        <v>0</v>
      </c>
      <c r="K20" s="222">
        <f t="shared" si="1"/>
        <v>0</v>
      </c>
      <c r="L20" s="217">
        <f>C10</f>
        <v>43709</v>
      </c>
      <c r="M20" s="197">
        <f>SUM(M21:M28)</f>
        <v>0</v>
      </c>
      <c r="N20" s="197">
        <f>SUM(N21:N28)</f>
        <v>0</v>
      </c>
      <c r="O20" s="222">
        <f t="shared" si="3"/>
        <v>0</v>
      </c>
      <c r="Q20" s="358" t="s">
        <v>142</v>
      </c>
      <c r="R20" s="359"/>
      <c r="S20" s="360" t="s">
        <v>162</v>
      </c>
      <c r="T20" s="696" t="s">
        <v>169</v>
      </c>
      <c r="U20" s="697"/>
    </row>
    <row r="21" spans="1:21" x14ac:dyDescent="0.35">
      <c r="A21" s="161"/>
      <c r="B21" s="161"/>
      <c r="C21" s="335" t="e">
        <f>#REF!</f>
        <v>#REF!</v>
      </c>
      <c r="D21" s="336" t="e">
        <f>#REF!</f>
        <v>#REF!</v>
      </c>
      <c r="E21" s="336" t="e">
        <f>#REF!</f>
        <v>#REF!</v>
      </c>
      <c r="F21" s="337" t="e">
        <f>#REF!</f>
        <v>#REF!</v>
      </c>
      <c r="H21" s="218" t="str">
        <f t="shared" ref="H21:H26" si="10">H3</f>
        <v>Stellplatz</v>
      </c>
      <c r="I21" s="148"/>
      <c r="J21" s="148"/>
      <c r="K21" s="223">
        <f t="shared" si="1"/>
        <v>0</v>
      </c>
      <c r="L21" s="218" t="str">
        <f t="shared" ref="L21:L26" si="11">H3</f>
        <v>Stellplatz</v>
      </c>
      <c r="M21" s="148"/>
      <c r="N21" s="148"/>
      <c r="O21" s="223">
        <f t="shared" si="3"/>
        <v>0</v>
      </c>
      <c r="Q21" s="245">
        <f>C2</f>
        <v>43466</v>
      </c>
      <c r="R21" s="246">
        <f>F2-K2</f>
        <v>0</v>
      </c>
      <c r="S21" s="246">
        <f>R21</f>
        <v>0</v>
      </c>
      <c r="T21" s="289">
        <f t="shared" ref="T21:T32" si="12">R21+G2</f>
        <v>0</v>
      </c>
      <c r="U21" s="247">
        <f>T21</f>
        <v>0</v>
      </c>
    </row>
    <row r="22" spans="1:21" x14ac:dyDescent="0.35">
      <c r="A22" s="261"/>
      <c r="B22" s="616" t="s">
        <v>329</v>
      </c>
      <c r="C22" s="361">
        <v>0</v>
      </c>
      <c r="D22" s="338">
        <v>0</v>
      </c>
      <c r="E22" s="338">
        <v>0</v>
      </c>
      <c r="F22" s="339">
        <v>0</v>
      </c>
      <c r="H22" s="218" t="str">
        <f t="shared" si="10"/>
        <v>Sprit</v>
      </c>
      <c r="I22" s="148"/>
      <c r="J22" s="148"/>
      <c r="K22" s="223">
        <f t="shared" si="1"/>
        <v>0</v>
      </c>
      <c r="L22" s="218" t="str">
        <f t="shared" si="11"/>
        <v>Sprit</v>
      </c>
      <c r="M22" s="148"/>
      <c r="N22" s="148"/>
      <c r="O22" s="223">
        <f t="shared" si="3"/>
        <v>0</v>
      </c>
      <c r="Q22" s="248">
        <f>C3</f>
        <v>43497</v>
      </c>
      <c r="R22" s="249">
        <f>F3-K11</f>
        <v>0</v>
      </c>
      <c r="S22" s="249">
        <f>S21+R22</f>
        <v>0</v>
      </c>
      <c r="T22" s="290">
        <f t="shared" si="12"/>
        <v>0</v>
      </c>
      <c r="U22" s="233">
        <f>U21+T22</f>
        <v>0</v>
      </c>
    </row>
    <row r="23" spans="1:21" x14ac:dyDescent="0.35">
      <c r="A23" s="190"/>
      <c r="B23" s="617" t="s">
        <v>330</v>
      </c>
      <c r="C23" s="362">
        <v>0</v>
      </c>
      <c r="D23" s="161">
        <v>0</v>
      </c>
      <c r="E23" s="161">
        <v>0</v>
      </c>
      <c r="F23" s="340">
        <v>0</v>
      </c>
      <c r="H23" s="218" t="str">
        <f t="shared" si="10"/>
        <v>Landungen</v>
      </c>
      <c r="I23" s="148"/>
      <c r="J23" s="148"/>
      <c r="K23" s="223">
        <f t="shared" si="1"/>
        <v>0</v>
      </c>
      <c r="L23" s="218" t="str">
        <f t="shared" si="11"/>
        <v>Landungen</v>
      </c>
      <c r="M23" s="148"/>
      <c r="N23" s="148"/>
      <c r="O23" s="223">
        <f t="shared" si="3"/>
        <v>0</v>
      </c>
      <c r="Q23" s="248">
        <f t="shared" ref="Q23:Q32" si="13">C4</f>
        <v>43525</v>
      </c>
      <c r="R23" s="249">
        <f>F4-K20</f>
        <v>0</v>
      </c>
      <c r="S23" s="249">
        <f t="shared" ref="S23:S32" si="14">S22+R23</f>
        <v>0</v>
      </c>
      <c r="T23" s="290">
        <f t="shared" si="12"/>
        <v>0</v>
      </c>
      <c r="U23" s="233">
        <f t="shared" ref="U23:U32" si="15">U22+T23</f>
        <v>0</v>
      </c>
    </row>
    <row r="24" spans="1:21" x14ac:dyDescent="0.35">
      <c r="B24" s="617">
        <v>4</v>
      </c>
      <c r="C24" s="362">
        <v>0</v>
      </c>
      <c r="D24" s="161">
        <v>0</v>
      </c>
      <c r="E24" s="161">
        <v>0</v>
      </c>
      <c r="F24" s="340">
        <v>0</v>
      </c>
      <c r="H24" s="218" t="str">
        <f t="shared" si="10"/>
        <v>Öl</v>
      </c>
      <c r="I24" s="148"/>
      <c r="J24" s="148"/>
      <c r="K24" s="223">
        <f t="shared" si="1"/>
        <v>0</v>
      </c>
      <c r="L24" s="218" t="str">
        <f t="shared" si="11"/>
        <v>Öl</v>
      </c>
      <c r="M24" s="148"/>
      <c r="N24" s="148"/>
      <c r="O24" s="223">
        <f t="shared" si="3"/>
        <v>0</v>
      </c>
      <c r="Q24" s="248">
        <f t="shared" si="13"/>
        <v>43556</v>
      </c>
      <c r="R24" s="249">
        <f>F5-K29</f>
        <v>0</v>
      </c>
      <c r="S24" s="249">
        <f t="shared" si="14"/>
        <v>0</v>
      </c>
      <c r="T24" s="290">
        <f t="shared" si="12"/>
        <v>0</v>
      </c>
      <c r="U24" s="233">
        <f t="shared" si="15"/>
        <v>0</v>
      </c>
    </row>
    <row r="25" spans="1:21" x14ac:dyDescent="0.35">
      <c r="B25" s="617">
        <v>5</v>
      </c>
      <c r="C25" s="362">
        <v>0</v>
      </c>
      <c r="D25" s="161">
        <v>0</v>
      </c>
      <c r="E25" s="161">
        <v>0</v>
      </c>
      <c r="F25" s="340">
        <v>0</v>
      </c>
      <c r="H25" s="218" t="str">
        <f t="shared" si="10"/>
        <v>Inspektion</v>
      </c>
      <c r="I25" s="148"/>
      <c r="J25" s="148"/>
      <c r="K25" s="223">
        <f t="shared" si="1"/>
        <v>0</v>
      </c>
      <c r="L25" s="218" t="str">
        <f t="shared" si="11"/>
        <v>Inspektion</v>
      </c>
      <c r="M25" s="148"/>
      <c r="N25" s="148"/>
      <c r="O25" s="223">
        <f t="shared" si="3"/>
        <v>0</v>
      </c>
      <c r="Q25" s="248">
        <f t="shared" si="13"/>
        <v>43586</v>
      </c>
      <c r="R25" s="249">
        <f>F6-K38</f>
        <v>0</v>
      </c>
      <c r="S25" s="249">
        <f t="shared" si="14"/>
        <v>0</v>
      </c>
      <c r="T25" s="290">
        <f t="shared" si="12"/>
        <v>0</v>
      </c>
      <c r="U25" s="233">
        <f t="shared" si="15"/>
        <v>0</v>
      </c>
    </row>
    <row r="26" spans="1:21" x14ac:dyDescent="0.35">
      <c r="B26" s="617">
        <v>6</v>
      </c>
      <c r="C26" s="362">
        <v>0</v>
      </c>
      <c r="D26" s="161">
        <v>0</v>
      </c>
      <c r="E26" s="161">
        <v>0</v>
      </c>
      <c r="F26" s="340">
        <v>0</v>
      </c>
      <c r="H26" s="218" t="str">
        <f t="shared" si="10"/>
        <v>Reparatur</v>
      </c>
      <c r="I26" s="148"/>
      <c r="J26" s="148"/>
      <c r="K26" s="223">
        <f>I26+J26</f>
        <v>0</v>
      </c>
      <c r="L26" s="218" t="str">
        <f t="shared" si="11"/>
        <v>Reparatur</v>
      </c>
      <c r="M26" s="148"/>
      <c r="N26" s="148"/>
      <c r="O26" s="223">
        <f>M26+N26</f>
        <v>0</v>
      </c>
      <c r="Q26" s="248">
        <f t="shared" si="13"/>
        <v>43617</v>
      </c>
      <c r="R26" s="249">
        <f>F7-K47</f>
        <v>0</v>
      </c>
      <c r="S26" s="249">
        <f t="shared" si="14"/>
        <v>0</v>
      </c>
      <c r="T26" s="290">
        <f t="shared" si="12"/>
        <v>0</v>
      </c>
      <c r="U26" s="233">
        <f t="shared" si="15"/>
        <v>0</v>
      </c>
    </row>
    <row r="27" spans="1:21" x14ac:dyDescent="0.35">
      <c r="B27" s="617">
        <v>7</v>
      </c>
      <c r="C27" s="362">
        <v>0</v>
      </c>
      <c r="D27" s="161">
        <v>0</v>
      </c>
      <c r="E27" s="161">
        <v>0</v>
      </c>
      <c r="F27" s="340">
        <v>0</v>
      </c>
      <c r="H27" s="218" t="str">
        <f>H9</f>
        <v>Invest</v>
      </c>
      <c r="I27" s="615"/>
      <c r="J27" s="148"/>
      <c r="K27" s="223">
        <f t="shared" si="1"/>
        <v>0</v>
      </c>
      <c r="L27" s="218" t="str">
        <f>H9</f>
        <v>Invest</v>
      </c>
      <c r="M27" s="148"/>
      <c r="N27" s="148"/>
      <c r="O27" s="223">
        <f t="shared" si="3"/>
        <v>0</v>
      </c>
      <c r="Q27" s="248">
        <f t="shared" si="13"/>
        <v>43647</v>
      </c>
      <c r="R27" s="249">
        <f>F8-O2</f>
        <v>0</v>
      </c>
      <c r="S27" s="249">
        <f t="shared" si="14"/>
        <v>0</v>
      </c>
      <c r="T27" s="290">
        <f t="shared" si="12"/>
        <v>0</v>
      </c>
      <c r="U27" s="233">
        <f t="shared" si="15"/>
        <v>0</v>
      </c>
    </row>
    <row r="28" spans="1:21" x14ac:dyDescent="0.35">
      <c r="B28" s="617">
        <v>8</v>
      </c>
      <c r="C28" s="362">
        <v>0</v>
      </c>
      <c r="D28" s="161">
        <v>0</v>
      </c>
      <c r="E28" s="161">
        <v>0</v>
      </c>
      <c r="F28" s="340">
        <v>0</v>
      </c>
      <c r="H28" s="277" t="str">
        <f>H10</f>
        <v>Sonst</v>
      </c>
      <c r="I28" s="278"/>
      <c r="J28" s="278"/>
      <c r="K28" s="224">
        <f t="shared" si="1"/>
        <v>0</v>
      </c>
      <c r="L28" s="282" t="str">
        <f>L10</f>
        <v>Sonst</v>
      </c>
      <c r="M28" s="278"/>
      <c r="N28" s="278"/>
      <c r="O28" s="224">
        <f t="shared" si="3"/>
        <v>0</v>
      </c>
      <c r="Q28" s="248">
        <f t="shared" si="13"/>
        <v>43678</v>
      </c>
      <c r="R28" s="249">
        <f>F9-O11</f>
        <v>0</v>
      </c>
      <c r="S28" s="249">
        <f t="shared" si="14"/>
        <v>0</v>
      </c>
      <c r="T28" s="290">
        <f t="shared" si="12"/>
        <v>0</v>
      </c>
      <c r="U28" s="233">
        <f t="shared" si="15"/>
        <v>0</v>
      </c>
    </row>
    <row r="29" spans="1:21" ht="13.9" x14ac:dyDescent="0.35">
      <c r="B29" s="617">
        <v>9</v>
      </c>
      <c r="C29" s="362">
        <v>0</v>
      </c>
      <c r="D29" s="161">
        <v>0</v>
      </c>
      <c r="E29" s="161">
        <v>0</v>
      </c>
      <c r="F29" s="340">
        <v>0</v>
      </c>
      <c r="H29" s="217">
        <f>C5</f>
        <v>43556</v>
      </c>
      <c r="I29" s="197">
        <f>SUM(I30:I37)</f>
        <v>0</v>
      </c>
      <c r="J29" s="197">
        <f>SUM(J30:J37)</f>
        <v>0</v>
      </c>
      <c r="K29" s="222">
        <f t="shared" si="1"/>
        <v>0</v>
      </c>
      <c r="L29" s="225">
        <f>C11</f>
        <v>43739</v>
      </c>
      <c r="M29" s="197">
        <f>SUM(M30:M37)</f>
        <v>0</v>
      </c>
      <c r="N29" s="197">
        <f>SUM(N30:N37)</f>
        <v>0</v>
      </c>
      <c r="O29" s="229">
        <f t="shared" si="3"/>
        <v>0</v>
      </c>
      <c r="Q29" s="248">
        <f t="shared" si="13"/>
        <v>43709</v>
      </c>
      <c r="R29" s="249">
        <f>F10-O20</f>
        <v>0</v>
      </c>
      <c r="S29" s="249">
        <f t="shared" si="14"/>
        <v>0</v>
      </c>
      <c r="T29" s="290">
        <f t="shared" si="12"/>
        <v>0</v>
      </c>
      <c r="U29" s="233">
        <f t="shared" si="15"/>
        <v>0</v>
      </c>
    </row>
    <row r="30" spans="1:21" x14ac:dyDescent="0.35">
      <c r="B30" s="617">
        <v>10</v>
      </c>
      <c r="C30" s="362">
        <v>0</v>
      </c>
      <c r="D30" s="161">
        <v>0</v>
      </c>
      <c r="E30" s="161">
        <v>0</v>
      </c>
      <c r="F30" s="340">
        <v>0</v>
      </c>
      <c r="H30" s="218" t="str">
        <f t="shared" ref="H30:H35" si="16">H3</f>
        <v>Stellplatz</v>
      </c>
      <c r="I30" s="148"/>
      <c r="J30" s="148"/>
      <c r="K30" s="223">
        <f t="shared" si="1"/>
        <v>0</v>
      </c>
      <c r="L30" s="218" t="str">
        <f t="shared" ref="L30:L35" si="17">H3</f>
        <v>Stellplatz</v>
      </c>
      <c r="M30" s="148"/>
      <c r="N30" s="148"/>
      <c r="O30" s="223">
        <f t="shared" si="3"/>
        <v>0</v>
      </c>
      <c r="Q30" s="248">
        <f t="shared" si="13"/>
        <v>43739</v>
      </c>
      <c r="R30" s="249">
        <f>F11-O29</f>
        <v>0</v>
      </c>
      <c r="S30" s="249">
        <f t="shared" si="14"/>
        <v>0</v>
      </c>
      <c r="T30" s="290">
        <f t="shared" si="12"/>
        <v>0</v>
      </c>
      <c r="U30" s="233">
        <f t="shared" si="15"/>
        <v>0</v>
      </c>
    </row>
    <row r="31" spans="1:21" x14ac:dyDescent="0.35">
      <c r="B31" s="617">
        <v>11</v>
      </c>
      <c r="C31" s="362">
        <v>0</v>
      </c>
      <c r="D31" s="161">
        <v>0</v>
      </c>
      <c r="E31" s="161">
        <v>0</v>
      </c>
      <c r="F31" s="340">
        <v>0</v>
      </c>
      <c r="H31" s="218" t="str">
        <f t="shared" si="16"/>
        <v>Sprit</v>
      </c>
      <c r="I31" s="148"/>
      <c r="J31" s="148"/>
      <c r="K31" s="223">
        <f t="shared" si="1"/>
        <v>0</v>
      </c>
      <c r="L31" s="218" t="str">
        <f t="shared" si="17"/>
        <v>Sprit</v>
      </c>
      <c r="M31" s="148"/>
      <c r="N31" s="148"/>
      <c r="O31" s="223">
        <f t="shared" si="3"/>
        <v>0</v>
      </c>
      <c r="Q31" s="248">
        <f t="shared" si="13"/>
        <v>43770</v>
      </c>
      <c r="R31" s="249">
        <f>F12-O38</f>
        <v>0</v>
      </c>
      <c r="S31" s="249">
        <f t="shared" si="14"/>
        <v>0</v>
      </c>
      <c r="T31" s="290">
        <f t="shared" si="12"/>
        <v>0</v>
      </c>
      <c r="U31" s="233">
        <f t="shared" si="15"/>
        <v>0</v>
      </c>
    </row>
    <row r="32" spans="1:21" ht="13.9" x14ac:dyDescent="0.4">
      <c r="B32" s="617">
        <v>12</v>
      </c>
      <c r="C32" s="362">
        <v>0</v>
      </c>
      <c r="D32" s="161">
        <v>0</v>
      </c>
      <c r="E32" s="161">
        <v>0</v>
      </c>
      <c r="F32" s="340">
        <v>0</v>
      </c>
      <c r="H32" s="218" t="str">
        <f t="shared" si="16"/>
        <v>Landungen</v>
      </c>
      <c r="I32" s="148"/>
      <c r="J32" s="148"/>
      <c r="K32" s="223">
        <f t="shared" si="1"/>
        <v>0</v>
      </c>
      <c r="L32" s="218" t="str">
        <f t="shared" si="17"/>
        <v>Landungen</v>
      </c>
      <c r="M32" s="148"/>
      <c r="N32" s="148"/>
      <c r="O32" s="223">
        <f t="shared" si="3"/>
        <v>0</v>
      </c>
      <c r="Q32" s="250">
        <f t="shared" si="13"/>
        <v>43800</v>
      </c>
      <c r="R32" s="251">
        <f>F13-O47</f>
        <v>0</v>
      </c>
      <c r="S32" s="287">
        <f t="shared" si="14"/>
        <v>0</v>
      </c>
      <c r="T32" s="291">
        <f t="shared" si="12"/>
        <v>0</v>
      </c>
      <c r="U32" s="252">
        <f t="shared" si="15"/>
        <v>0</v>
      </c>
    </row>
    <row r="33" spans="2:23" ht="14.25" thickBot="1" x14ac:dyDescent="0.45">
      <c r="B33" s="617">
        <v>13</v>
      </c>
      <c r="C33" s="362">
        <v>0</v>
      </c>
      <c r="D33" s="161">
        <v>0</v>
      </c>
      <c r="E33" s="161">
        <v>0</v>
      </c>
      <c r="F33" s="340">
        <v>0</v>
      </c>
      <c r="H33" s="218" t="str">
        <f t="shared" si="16"/>
        <v>Öl</v>
      </c>
      <c r="I33" s="148"/>
      <c r="J33" s="148"/>
      <c r="K33" s="223">
        <f t="shared" si="1"/>
        <v>0</v>
      </c>
      <c r="L33" s="218" t="str">
        <f t="shared" si="17"/>
        <v>Öl</v>
      </c>
      <c r="M33" s="148"/>
      <c r="N33" s="148"/>
      <c r="O33" s="223">
        <f t="shared" si="3"/>
        <v>0</v>
      </c>
      <c r="Q33" s="242"/>
      <c r="R33" s="253">
        <f>SUM(R21:R32)</f>
        <v>0</v>
      </c>
      <c r="S33" s="288"/>
      <c r="T33" s="307">
        <f>SUM(T21:T32)</f>
        <v>0</v>
      </c>
      <c r="U33" s="254"/>
    </row>
    <row r="34" spans="2:23" x14ac:dyDescent="0.35">
      <c r="B34" s="617">
        <v>14</v>
      </c>
      <c r="C34" s="362">
        <v>0</v>
      </c>
      <c r="D34" s="161">
        <v>0</v>
      </c>
      <c r="E34" s="161">
        <v>0</v>
      </c>
      <c r="F34" s="340">
        <v>0</v>
      </c>
      <c r="H34" s="218" t="str">
        <f t="shared" si="16"/>
        <v>Inspektion</v>
      </c>
      <c r="I34" s="148"/>
      <c r="J34" s="148"/>
      <c r="K34" s="223">
        <f t="shared" si="1"/>
        <v>0</v>
      </c>
      <c r="L34" s="218" t="str">
        <f t="shared" si="17"/>
        <v>Inspektion</v>
      </c>
      <c r="M34" s="148"/>
      <c r="N34" s="148"/>
      <c r="O34" s="223">
        <f t="shared" si="3"/>
        <v>0</v>
      </c>
      <c r="T34" s="148"/>
    </row>
    <row r="35" spans="2:23" x14ac:dyDescent="0.35">
      <c r="B35" s="617">
        <v>15</v>
      </c>
      <c r="C35" s="362">
        <v>0</v>
      </c>
      <c r="D35" s="161">
        <v>0</v>
      </c>
      <c r="E35" s="161">
        <v>0</v>
      </c>
      <c r="F35" s="340">
        <v>0</v>
      </c>
      <c r="H35" s="218" t="str">
        <f t="shared" si="16"/>
        <v>Reparatur</v>
      </c>
      <c r="I35" s="148"/>
      <c r="J35" s="148"/>
      <c r="K35" s="223">
        <f>I35+J35</f>
        <v>0</v>
      </c>
      <c r="L35" s="218" t="str">
        <f t="shared" si="17"/>
        <v>Reparatur</v>
      </c>
      <c r="M35" s="148"/>
      <c r="N35" s="148"/>
      <c r="O35" s="223">
        <f>M35+N35</f>
        <v>0</v>
      </c>
      <c r="T35" s="148"/>
    </row>
    <row r="36" spans="2:23" x14ac:dyDescent="0.35">
      <c r="B36" s="617">
        <v>16</v>
      </c>
      <c r="C36" s="362">
        <v>0</v>
      </c>
      <c r="D36" s="161">
        <v>0</v>
      </c>
      <c r="E36" s="161">
        <v>0</v>
      </c>
      <c r="F36" s="340">
        <v>0</v>
      </c>
      <c r="H36" s="218" t="str">
        <f>H9</f>
        <v>Invest</v>
      </c>
      <c r="I36" s="148"/>
      <c r="J36" s="148"/>
      <c r="K36" s="223">
        <f t="shared" si="1"/>
        <v>0</v>
      </c>
      <c r="L36" s="218" t="str">
        <f>H9</f>
        <v>Invest</v>
      </c>
      <c r="M36" s="148"/>
      <c r="N36" s="148"/>
      <c r="O36" s="223">
        <f t="shared" si="3"/>
        <v>0</v>
      </c>
      <c r="T36" s="384" t="s">
        <v>5</v>
      </c>
      <c r="U36" s="385" t="s">
        <v>4</v>
      </c>
      <c r="V36" s="385" t="s">
        <v>219</v>
      </c>
    </row>
    <row r="37" spans="2:23" x14ac:dyDescent="0.35">
      <c r="B37" s="617">
        <v>17</v>
      </c>
      <c r="C37" s="362">
        <v>0</v>
      </c>
      <c r="D37" s="161">
        <v>0</v>
      </c>
      <c r="E37" s="161">
        <v>0</v>
      </c>
      <c r="F37" s="340">
        <v>0</v>
      </c>
      <c r="H37" s="277" t="str">
        <f>H10</f>
        <v>Sonst</v>
      </c>
      <c r="I37" s="278"/>
      <c r="J37" s="278"/>
      <c r="K37" s="224">
        <f t="shared" si="1"/>
        <v>0</v>
      </c>
      <c r="L37" s="282" t="str">
        <f>H10</f>
        <v>Sonst</v>
      </c>
      <c r="M37" s="278"/>
      <c r="N37" s="278"/>
      <c r="O37" s="224">
        <f t="shared" si="3"/>
        <v>0</v>
      </c>
      <c r="Q37" s="460" t="s">
        <v>212</v>
      </c>
      <c r="R37" s="698" t="s">
        <v>213</v>
      </c>
      <c r="S37" s="698"/>
      <c r="T37" s="461">
        <f>I46</f>
        <v>0</v>
      </c>
      <c r="U37" s="461">
        <f>J46</f>
        <v>0</v>
      </c>
      <c r="V37" s="462">
        <f t="shared" ref="V37:V42" si="18">T37+U37</f>
        <v>0</v>
      </c>
    </row>
    <row r="38" spans="2:23" ht="13.9" x14ac:dyDescent="0.35">
      <c r="B38" s="617">
        <v>18</v>
      </c>
      <c r="C38" s="362">
        <v>0</v>
      </c>
      <c r="D38" s="161">
        <v>0</v>
      </c>
      <c r="E38" s="161">
        <v>0</v>
      </c>
      <c r="F38" s="340">
        <v>0</v>
      </c>
      <c r="H38" s="217">
        <f>C6</f>
        <v>43586</v>
      </c>
      <c r="I38" s="197">
        <f>SUM(I39:I46)</f>
        <v>0</v>
      </c>
      <c r="J38" s="197">
        <f>SUM(J39:J46)</f>
        <v>0</v>
      </c>
      <c r="K38" s="222">
        <f t="shared" si="1"/>
        <v>0</v>
      </c>
      <c r="L38" s="217">
        <f>C12</f>
        <v>43770</v>
      </c>
      <c r="M38" s="197">
        <f>SUM(M39:M46)</f>
        <v>0</v>
      </c>
      <c r="N38" s="197">
        <f>SUM(N39:N46)</f>
        <v>0</v>
      </c>
      <c r="O38" s="222">
        <f t="shared" si="3"/>
        <v>0</v>
      </c>
      <c r="Q38" s="463"/>
      <c r="R38" s="695" t="s">
        <v>214</v>
      </c>
      <c r="S38" s="695"/>
      <c r="T38" s="148">
        <f>I3*12</f>
        <v>0</v>
      </c>
      <c r="U38" s="148">
        <v>0</v>
      </c>
      <c r="V38" s="464">
        <f t="shared" si="18"/>
        <v>0</v>
      </c>
    </row>
    <row r="39" spans="2:23" x14ac:dyDescent="0.35">
      <c r="B39" s="617">
        <v>19</v>
      </c>
      <c r="C39" s="362">
        <v>0</v>
      </c>
      <c r="D39" s="161">
        <v>0</v>
      </c>
      <c r="E39" s="161">
        <v>0</v>
      </c>
      <c r="F39" s="340">
        <v>0</v>
      </c>
      <c r="H39" s="218" t="str">
        <f t="shared" ref="H39:H44" si="19">H3</f>
        <v>Stellplatz</v>
      </c>
      <c r="I39" s="148"/>
      <c r="J39" s="148"/>
      <c r="K39" s="223">
        <f t="shared" si="1"/>
        <v>0</v>
      </c>
      <c r="L39" s="218" t="str">
        <f t="shared" ref="L39:L44" si="20">H3</f>
        <v>Stellplatz</v>
      </c>
      <c r="M39" s="148"/>
      <c r="N39" s="148"/>
      <c r="O39" s="223">
        <f t="shared" si="3"/>
        <v>0</v>
      </c>
      <c r="Q39" s="463"/>
      <c r="R39" s="695" t="s">
        <v>215</v>
      </c>
      <c r="S39" s="695"/>
      <c r="T39" s="148">
        <v>0</v>
      </c>
      <c r="U39" s="148">
        <f>J3*12</f>
        <v>0</v>
      </c>
      <c r="V39" s="464">
        <f t="shared" si="18"/>
        <v>0</v>
      </c>
    </row>
    <row r="40" spans="2:23" x14ac:dyDescent="0.35">
      <c r="B40" s="617">
        <v>20</v>
      </c>
      <c r="C40" s="362">
        <v>0</v>
      </c>
      <c r="D40" s="161">
        <v>0</v>
      </c>
      <c r="E40" s="161">
        <v>0</v>
      </c>
      <c r="F40" s="340">
        <v>0</v>
      </c>
      <c r="H40" s="218" t="str">
        <f t="shared" si="19"/>
        <v>Sprit</v>
      </c>
      <c r="I40" s="148"/>
      <c r="J40" s="148"/>
      <c r="K40" s="223">
        <f t="shared" si="1"/>
        <v>0</v>
      </c>
      <c r="L40" s="218" t="str">
        <f t="shared" si="20"/>
        <v>Sprit</v>
      </c>
      <c r="M40" s="148"/>
      <c r="N40" s="148"/>
      <c r="O40" s="223">
        <f t="shared" si="3"/>
        <v>0</v>
      </c>
      <c r="Q40" s="463"/>
      <c r="R40" s="695" t="s">
        <v>216</v>
      </c>
      <c r="S40" s="695"/>
      <c r="T40" s="148">
        <v>500</v>
      </c>
      <c r="U40" s="148">
        <v>500</v>
      </c>
      <c r="V40" s="464">
        <f t="shared" si="18"/>
        <v>1000</v>
      </c>
    </row>
    <row r="41" spans="2:23" x14ac:dyDescent="0.35">
      <c r="B41" s="617">
        <v>21</v>
      </c>
      <c r="C41" s="362">
        <v>0</v>
      </c>
      <c r="D41" s="161">
        <v>0</v>
      </c>
      <c r="E41" s="161">
        <v>0</v>
      </c>
      <c r="F41" s="340">
        <v>0</v>
      </c>
      <c r="H41" s="218" t="str">
        <f t="shared" si="19"/>
        <v>Landungen</v>
      </c>
      <c r="I41" s="148"/>
      <c r="J41" s="148"/>
      <c r="K41" s="223">
        <f t="shared" si="1"/>
        <v>0</v>
      </c>
      <c r="L41" s="218" t="str">
        <f t="shared" si="20"/>
        <v>Landungen</v>
      </c>
      <c r="M41" s="148"/>
      <c r="N41" s="148"/>
      <c r="O41" s="223">
        <f t="shared" si="3"/>
        <v>0</v>
      </c>
      <c r="Q41" s="463"/>
      <c r="R41" s="193"/>
      <c r="S41" s="193" t="s">
        <v>220</v>
      </c>
      <c r="T41" s="148">
        <f>Q9</f>
        <v>0</v>
      </c>
      <c r="U41" s="148">
        <f>R9</f>
        <v>0</v>
      </c>
      <c r="V41" s="464">
        <f t="shared" si="18"/>
        <v>0</v>
      </c>
    </row>
    <row r="42" spans="2:23" x14ac:dyDescent="0.35">
      <c r="B42" s="617">
        <v>22</v>
      </c>
      <c r="C42" s="362">
        <v>0</v>
      </c>
      <c r="D42" s="161">
        <v>0</v>
      </c>
      <c r="E42" s="161">
        <v>0</v>
      </c>
      <c r="F42" s="340">
        <v>0</v>
      </c>
      <c r="H42" s="218" t="str">
        <f t="shared" si="19"/>
        <v>Öl</v>
      </c>
      <c r="I42" s="148"/>
      <c r="J42" s="148"/>
      <c r="K42" s="223">
        <f t="shared" si="1"/>
        <v>0</v>
      </c>
      <c r="L42" s="218" t="str">
        <f t="shared" si="20"/>
        <v>Öl</v>
      </c>
      <c r="M42" s="148"/>
      <c r="N42" s="148"/>
      <c r="O42" s="223">
        <f t="shared" si="3"/>
        <v>0</v>
      </c>
      <c r="Q42" s="463"/>
      <c r="R42" s="695" t="s">
        <v>221</v>
      </c>
      <c r="S42" s="695"/>
      <c r="T42" s="459">
        <f>Q8+Q10-T37</f>
        <v>0</v>
      </c>
      <c r="U42" s="459">
        <f>R8+R10-U37</f>
        <v>0</v>
      </c>
      <c r="V42" s="465">
        <f t="shared" si="18"/>
        <v>0</v>
      </c>
    </row>
    <row r="43" spans="2:23" x14ac:dyDescent="0.35">
      <c r="B43" s="617">
        <v>23</v>
      </c>
      <c r="C43" s="362">
        <v>0</v>
      </c>
      <c r="D43" s="161">
        <v>0</v>
      </c>
      <c r="E43" s="161">
        <v>0</v>
      </c>
      <c r="F43" s="340">
        <v>0</v>
      </c>
      <c r="H43" s="218" t="str">
        <f t="shared" si="19"/>
        <v>Inspektion</v>
      </c>
      <c r="I43" s="148"/>
      <c r="J43" s="148"/>
      <c r="K43" s="223">
        <f t="shared" si="1"/>
        <v>0</v>
      </c>
      <c r="L43" s="218" t="str">
        <f t="shared" si="20"/>
        <v>Inspektion</v>
      </c>
      <c r="M43" s="148"/>
      <c r="N43" s="148"/>
      <c r="O43" s="223">
        <f t="shared" si="3"/>
        <v>0</v>
      </c>
      <c r="Q43" s="466"/>
      <c r="R43" s="580"/>
      <c r="S43" s="580"/>
      <c r="T43" s="467"/>
      <c r="U43" s="467"/>
      <c r="V43" s="465">
        <f>SUM(V37:V42)</f>
        <v>1000</v>
      </c>
      <c r="W43" s="194">
        <f>V43</f>
        <v>1000</v>
      </c>
    </row>
    <row r="44" spans="2:23" x14ac:dyDescent="0.35">
      <c r="B44" s="617">
        <v>24</v>
      </c>
      <c r="C44" s="362">
        <v>0</v>
      </c>
      <c r="D44" s="161">
        <v>0</v>
      </c>
      <c r="E44" s="161">
        <v>0</v>
      </c>
      <c r="F44" s="340">
        <v>0</v>
      </c>
      <c r="H44" s="218" t="str">
        <f t="shared" si="19"/>
        <v>Reparatur</v>
      </c>
      <c r="I44" s="148"/>
      <c r="J44" s="148"/>
      <c r="K44" s="223">
        <f>I44+J44</f>
        <v>0</v>
      </c>
      <c r="L44" s="218" t="str">
        <f t="shared" si="20"/>
        <v>Reparatur</v>
      </c>
      <c r="M44" s="148"/>
      <c r="N44" s="148"/>
      <c r="O44" s="223">
        <f>M44+N44</f>
        <v>0</v>
      </c>
      <c r="T44" s="148"/>
      <c r="U44" s="148"/>
      <c r="V44" s="194"/>
      <c r="W44" s="194"/>
    </row>
    <row r="45" spans="2:23" x14ac:dyDescent="0.35">
      <c r="B45" s="617">
        <v>25</v>
      </c>
      <c r="C45" s="362">
        <v>0</v>
      </c>
      <c r="D45" s="161">
        <v>0</v>
      </c>
      <c r="E45" s="161">
        <v>0</v>
      </c>
      <c r="F45" s="340">
        <v>0</v>
      </c>
      <c r="H45" s="218" t="str">
        <f>H9</f>
        <v>Invest</v>
      </c>
      <c r="I45" s="148"/>
      <c r="J45" s="148"/>
      <c r="K45" s="223">
        <f t="shared" si="1"/>
        <v>0</v>
      </c>
      <c r="L45" s="218" t="str">
        <f>H9</f>
        <v>Invest</v>
      </c>
      <c r="M45" s="148"/>
      <c r="N45" s="148"/>
      <c r="O45" s="223">
        <f t="shared" si="3"/>
        <v>0</v>
      </c>
      <c r="Q45" s="460" t="s">
        <v>217</v>
      </c>
      <c r="R45" s="698" t="s">
        <v>134</v>
      </c>
      <c r="S45" s="698"/>
      <c r="T45" s="461">
        <f>Q4</f>
        <v>0</v>
      </c>
      <c r="U45" s="461">
        <f>R4</f>
        <v>0</v>
      </c>
      <c r="V45" s="462">
        <f>T45+U45</f>
        <v>0</v>
      </c>
      <c r="W45" s="194"/>
    </row>
    <row r="46" spans="2:23" x14ac:dyDescent="0.35">
      <c r="B46" s="617">
        <v>26</v>
      </c>
      <c r="C46" s="362">
        <v>0</v>
      </c>
      <c r="D46" s="161">
        <v>0</v>
      </c>
      <c r="E46" s="161">
        <v>0</v>
      </c>
      <c r="F46" s="340">
        <v>0</v>
      </c>
      <c r="H46" s="277" t="str">
        <f>H10</f>
        <v>Sonst</v>
      </c>
      <c r="I46" s="278"/>
      <c r="J46" s="278"/>
      <c r="K46" s="224">
        <f t="shared" si="1"/>
        <v>0</v>
      </c>
      <c r="L46" s="282" t="str">
        <f>H10</f>
        <v>Sonst</v>
      </c>
      <c r="M46" s="278"/>
      <c r="N46" s="278"/>
      <c r="O46" s="224">
        <f t="shared" si="3"/>
        <v>0</v>
      </c>
      <c r="Q46" s="463"/>
      <c r="R46" s="695" t="s">
        <v>135</v>
      </c>
      <c r="S46" s="695"/>
      <c r="T46" s="148">
        <f>Q6</f>
        <v>0</v>
      </c>
      <c r="U46" s="148">
        <f>R6</f>
        <v>0</v>
      </c>
      <c r="V46" s="464">
        <f>T46+U46</f>
        <v>0</v>
      </c>
      <c r="W46" s="194"/>
    </row>
    <row r="47" spans="2:23" ht="13.9" x14ac:dyDescent="0.35">
      <c r="B47" s="617">
        <v>27</v>
      </c>
      <c r="C47" s="362">
        <v>0</v>
      </c>
      <c r="D47" s="161">
        <v>0</v>
      </c>
      <c r="E47" s="161">
        <v>0</v>
      </c>
      <c r="F47" s="340">
        <v>0</v>
      </c>
      <c r="H47" s="217">
        <f>C7</f>
        <v>43617</v>
      </c>
      <c r="I47" s="197">
        <f>SUM(I48:I55)</f>
        <v>0</v>
      </c>
      <c r="J47" s="197">
        <f>SUM(J48:J55)</f>
        <v>0</v>
      </c>
      <c r="K47" s="222">
        <f t="shared" si="1"/>
        <v>0</v>
      </c>
      <c r="L47" s="217">
        <f>C13</f>
        <v>43800</v>
      </c>
      <c r="M47" s="197">
        <f>SUM(M48:M55)</f>
        <v>0</v>
      </c>
      <c r="N47" s="197">
        <f>SUM(N48:N55)</f>
        <v>0</v>
      </c>
      <c r="O47" s="222">
        <f t="shared" si="3"/>
        <v>0</v>
      </c>
      <c r="Q47" s="463"/>
      <c r="R47" s="695" t="s">
        <v>218</v>
      </c>
      <c r="S47" s="695"/>
      <c r="T47" s="148">
        <f>Q7</f>
        <v>0</v>
      </c>
      <c r="U47" s="148">
        <f>R7</f>
        <v>0</v>
      </c>
      <c r="V47" s="464">
        <f>T47+U47</f>
        <v>0</v>
      </c>
      <c r="W47" s="194"/>
    </row>
    <row r="48" spans="2:23" x14ac:dyDescent="0.35">
      <c r="B48" s="617">
        <v>28</v>
      </c>
      <c r="C48" s="362">
        <v>0</v>
      </c>
      <c r="D48" s="161">
        <v>0</v>
      </c>
      <c r="E48" s="161">
        <v>0</v>
      </c>
      <c r="F48" s="340">
        <v>0</v>
      </c>
      <c r="H48" s="218" t="str">
        <f t="shared" ref="H48:H53" si="21">H3</f>
        <v>Stellplatz</v>
      </c>
      <c r="I48" s="148"/>
      <c r="J48" s="148"/>
      <c r="K48" s="223">
        <f t="shared" si="1"/>
        <v>0</v>
      </c>
      <c r="L48" s="218" t="str">
        <f t="shared" ref="L48:L53" si="22">H3</f>
        <v>Stellplatz</v>
      </c>
      <c r="M48" s="148"/>
      <c r="N48" s="148"/>
      <c r="O48" s="223">
        <f t="shared" si="3"/>
        <v>0</v>
      </c>
      <c r="Q48" s="463"/>
      <c r="R48" s="695"/>
      <c r="S48" s="695"/>
      <c r="T48" s="459"/>
      <c r="U48" s="459"/>
      <c r="V48" s="465">
        <f>T48+U48</f>
        <v>0</v>
      </c>
      <c r="W48" s="194"/>
    </row>
    <row r="49" spans="2:23" x14ac:dyDescent="0.35">
      <c r="B49" s="617">
        <v>29</v>
      </c>
      <c r="C49" s="362">
        <v>0</v>
      </c>
      <c r="D49" s="161">
        <v>0</v>
      </c>
      <c r="E49" s="161">
        <v>0</v>
      </c>
      <c r="F49" s="340">
        <v>0</v>
      </c>
      <c r="G49" s="334"/>
      <c r="H49" s="218" t="str">
        <f t="shared" si="21"/>
        <v>Sprit</v>
      </c>
      <c r="I49" s="148"/>
      <c r="J49" s="148"/>
      <c r="K49" s="223">
        <f t="shared" si="1"/>
        <v>0</v>
      </c>
      <c r="L49" s="218" t="str">
        <f t="shared" si="22"/>
        <v>Sprit</v>
      </c>
      <c r="M49" s="148"/>
      <c r="N49" s="148"/>
      <c r="O49" s="223">
        <f t="shared" si="3"/>
        <v>0</v>
      </c>
      <c r="Q49" s="466"/>
      <c r="R49" s="699"/>
      <c r="S49" s="699"/>
      <c r="T49" s="459"/>
      <c r="U49" s="459"/>
      <c r="V49" s="465">
        <f>SUM(V45:V48)</f>
        <v>0</v>
      </c>
      <c r="W49" s="194">
        <f>V43+V49</f>
        <v>1000</v>
      </c>
    </row>
    <row r="50" spans="2:23" x14ac:dyDescent="0.35">
      <c r="B50" s="617">
        <v>30</v>
      </c>
      <c r="C50" s="362">
        <v>0</v>
      </c>
      <c r="D50" s="161">
        <v>0</v>
      </c>
      <c r="E50" s="161">
        <v>0</v>
      </c>
      <c r="F50" s="340">
        <v>0</v>
      </c>
      <c r="H50" s="218" t="str">
        <f t="shared" si="21"/>
        <v>Landungen</v>
      </c>
      <c r="I50" s="148"/>
      <c r="J50" s="148"/>
      <c r="K50" s="223">
        <f t="shared" si="1"/>
        <v>0</v>
      </c>
      <c r="L50" s="218" t="str">
        <f t="shared" si="22"/>
        <v>Landungen</v>
      </c>
      <c r="M50" s="148"/>
      <c r="N50" s="148"/>
      <c r="O50" s="223">
        <f t="shared" si="3"/>
        <v>0</v>
      </c>
      <c r="R50" s="695"/>
      <c r="S50" s="695"/>
      <c r="T50" s="148"/>
      <c r="U50" s="148"/>
      <c r="V50" s="194"/>
      <c r="W50" s="194"/>
    </row>
    <row r="51" spans="2:23" x14ac:dyDescent="0.35">
      <c r="B51" s="617">
        <v>31</v>
      </c>
      <c r="C51" s="362">
        <v>0</v>
      </c>
      <c r="D51" s="161">
        <v>0</v>
      </c>
      <c r="E51" s="161">
        <v>0</v>
      </c>
      <c r="F51" s="340">
        <v>0</v>
      </c>
      <c r="H51" s="218" t="str">
        <f t="shared" si="21"/>
        <v>Öl</v>
      </c>
      <c r="I51" s="148"/>
      <c r="J51" s="148"/>
      <c r="K51" s="223">
        <f t="shared" si="1"/>
        <v>0</v>
      </c>
      <c r="L51" s="218" t="str">
        <f t="shared" si="22"/>
        <v>Öl</v>
      </c>
      <c r="M51" s="148"/>
      <c r="N51" s="148"/>
      <c r="O51" s="223">
        <f t="shared" si="3"/>
        <v>0</v>
      </c>
      <c r="Q51" s="460" t="s">
        <v>139</v>
      </c>
      <c r="R51" s="698" t="s">
        <v>326</v>
      </c>
      <c r="S51" s="698"/>
      <c r="T51" s="473" t="e">
        <f>#REF!</f>
        <v>#REF!</v>
      </c>
      <c r="U51" s="461"/>
      <c r="V51" s="462"/>
      <c r="W51" s="194"/>
    </row>
    <row r="52" spans="2:23" x14ac:dyDescent="0.35">
      <c r="B52" s="617">
        <v>32</v>
      </c>
      <c r="C52" s="362">
        <v>0</v>
      </c>
      <c r="D52" s="161">
        <v>0</v>
      </c>
      <c r="E52" s="161">
        <v>0</v>
      </c>
      <c r="F52" s="340">
        <v>0</v>
      </c>
      <c r="H52" s="218" t="str">
        <f t="shared" si="21"/>
        <v>Inspektion</v>
      </c>
      <c r="I52" s="148"/>
      <c r="J52" s="148"/>
      <c r="K52" s="223">
        <f t="shared" si="1"/>
        <v>0</v>
      </c>
      <c r="L52" s="218" t="str">
        <f t="shared" si="22"/>
        <v>Inspektion</v>
      </c>
      <c r="M52" s="148"/>
      <c r="N52" s="148"/>
      <c r="O52" s="223">
        <f t="shared" si="3"/>
        <v>0</v>
      </c>
      <c r="Q52" s="463"/>
      <c r="R52" s="695" t="s">
        <v>327</v>
      </c>
      <c r="S52" s="695"/>
      <c r="T52" s="190" t="e">
        <f>#REF!</f>
        <v>#REF!</v>
      </c>
      <c r="V52" s="464"/>
      <c r="W52" s="194"/>
    </row>
    <row r="53" spans="2:23" x14ac:dyDescent="0.35">
      <c r="B53" s="617">
        <v>33</v>
      </c>
      <c r="C53" s="362">
        <v>0</v>
      </c>
      <c r="D53" s="161">
        <v>0</v>
      </c>
      <c r="E53" s="161">
        <v>0</v>
      </c>
      <c r="F53" s="340">
        <v>0</v>
      </c>
      <c r="H53" s="218" t="str">
        <f t="shared" si="21"/>
        <v>Reparatur</v>
      </c>
      <c r="I53" s="148"/>
      <c r="J53" s="148"/>
      <c r="K53" s="223">
        <f>I53+J53</f>
        <v>0</v>
      </c>
      <c r="L53" s="218" t="str">
        <f t="shared" si="22"/>
        <v>Reparatur</v>
      </c>
      <c r="M53" s="148"/>
      <c r="N53" s="148"/>
      <c r="O53" s="223">
        <f>M53+N53</f>
        <v>0</v>
      </c>
      <c r="Q53" s="463"/>
      <c r="R53" s="695" t="s">
        <v>328</v>
      </c>
      <c r="S53" s="695"/>
      <c r="T53" s="472" t="e">
        <f>#REF!</f>
        <v>#REF!</v>
      </c>
      <c r="U53" s="467"/>
      <c r="V53" s="465"/>
      <c r="W53" s="194"/>
    </row>
    <row r="54" spans="2:23" x14ac:dyDescent="0.35">
      <c r="B54" s="617">
        <v>34</v>
      </c>
      <c r="C54" s="362">
        <v>0</v>
      </c>
      <c r="D54" s="161">
        <v>0</v>
      </c>
      <c r="E54" s="161">
        <v>0</v>
      </c>
      <c r="F54" s="340">
        <v>0</v>
      </c>
      <c r="H54" s="218" t="str">
        <f>H9</f>
        <v>Invest</v>
      </c>
      <c r="I54" s="148"/>
      <c r="J54" s="148"/>
      <c r="K54" s="223">
        <f t="shared" si="1"/>
        <v>0</v>
      </c>
      <c r="L54" s="218" t="str">
        <f>H9</f>
        <v>Invest</v>
      </c>
      <c r="M54" s="148"/>
      <c r="N54" s="148"/>
      <c r="O54" s="223">
        <f t="shared" si="3"/>
        <v>0</v>
      </c>
      <c r="Q54" s="466"/>
      <c r="R54" s="467"/>
      <c r="S54" s="467"/>
      <c r="T54" s="472"/>
      <c r="U54" s="467"/>
      <c r="V54" s="465">
        <f>SUM(V51:V53)</f>
        <v>0</v>
      </c>
      <c r="W54" s="194">
        <f>W49-V54</f>
        <v>1000</v>
      </c>
    </row>
    <row r="55" spans="2:23" ht="13.9" thickBot="1" x14ac:dyDescent="0.4">
      <c r="B55" s="617">
        <v>35</v>
      </c>
      <c r="C55" s="362">
        <v>0</v>
      </c>
      <c r="D55" s="161">
        <v>0</v>
      </c>
      <c r="E55" s="161">
        <v>0</v>
      </c>
      <c r="F55" s="340">
        <v>0</v>
      </c>
      <c r="H55" s="283" t="str">
        <f>H10</f>
        <v>Sonst</v>
      </c>
      <c r="I55" s="280"/>
      <c r="J55" s="280"/>
      <c r="K55" s="226">
        <f>I55+J55</f>
        <v>0</v>
      </c>
      <c r="L55" s="277" t="str">
        <f>H10</f>
        <v>Sonst</v>
      </c>
      <c r="M55" s="281"/>
      <c r="N55" s="281"/>
      <c r="O55" s="223">
        <f>M55+N55</f>
        <v>0</v>
      </c>
      <c r="T55" s="190">
        <v>4.0506944444444448</v>
      </c>
      <c r="U55" s="190">
        <v>5.05</v>
      </c>
      <c r="V55" s="190">
        <f>T55+U55</f>
        <v>9.1006944444444446</v>
      </c>
    </row>
    <row r="56" spans="2:23" ht="14.25" thickBot="1" x14ac:dyDescent="0.45">
      <c r="B56" s="617">
        <v>36</v>
      </c>
      <c r="C56" s="362">
        <v>0</v>
      </c>
      <c r="D56" s="161">
        <v>0</v>
      </c>
      <c r="E56" s="161">
        <v>0</v>
      </c>
      <c r="F56" s="340">
        <v>0</v>
      </c>
      <c r="L56" s="581">
        <v>2018</v>
      </c>
      <c r="M56" s="582">
        <v>-1000</v>
      </c>
      <c r="N56" s="582">
        <v>1000</v>
      </c>
      <c r="O56" s="583">
        <f>M56+N56</f>
        <v>0</v>
      </c>
    </row>
    <row r="57" spans="2:23" x14ac:dyDescent="0.35">
      <c r="B57" s="617">
        <v>37</v>
      </c>
      <c r="C57" s="362">
        <v>0</v>
      </c>
      <c r="D57" s="161">
        <v>0</v>
      </c>
      <c r="E57" s="161">
        <v>0</v>
      </c>
      <c r="F57" s="340">
        <v>0</v>
      </c>
    </row>
    <row r="58" spans="2:23" x14ac:dyDescent="0.35">
      <c r="B58" s="617">
        <v>38</v>
      </c>
      <c r="C58" s="362">
        <v>0</v>
      </c>
      <c r="D58" s="161">
        <v>0</v>
      </c>
      <c r="E58" s="161">
        <v>0</v>
      </c>
      <c r="F58" s="340">
        <v>0</v>
      </c>
    </row>
    <row r="59" spans="2:23" x14ac:dyDescent="0.35">
      <c r="B59" s="617">
        <v>39</v>
      </c>
      <c r="C59" s="362">
        <v>0</v>
      </c>
      <c r="D59" s="161">
        <v>0</v>
      </c>
      <c r="E59" s="161">
        <v>0</v>
      </c>
      <c r="F59" s="340">
        <v>0</v>
      </c>
    </row>
    <row r="60" spans="2:23" x14ac:dyDescent="0.35">
      <c r="B60" s="617">
        <v>40</v>
      </c>
      <c r="C60" s="362">
        <v>0</v>
      </c>
      <c r="D60" s="161">
        <v>0</v>
      </c>
      <c r="E60" s="161">
        <v>0</v>
      </c>
      <c r="F60" s="340">
        <v>0</v>
      </c>
    </row>
    <row r="61" spans="2:23" ht="13.9" x14ac:dyDescent="0.35">
      <c r="B61" s="617">
        <v>41</v>
      </c>
      <c r="C61" s="362">
        <v>0</v>
      </c>
      <c r="D61" s="161">
        <v>0</v>
      </c>
      <c r="E61" s="161">
        <v>0</v>
      </c>
      <c r="F61" s="340">
        <v>0</v>
      </c>
      <c r="I61" s="192"/>
      <c r="J61" s="192"/>
    </row>
    <row r="62" spans="2:23" ht="13.9" x14ac:dyDescent="0.4">
      <c r="B62" s="363" t="s">
        <v>180</v>
      </c>
      <c r="C62" s="364">
        <f>SUM(C22:C61)</f>
        <v>0</v>
      </c>
      <c r="D62" s="365">
        <f>SUM(D22:D61)</f>
        <v>0</v>
      </c>
      <c r="E62" s="365">
        <f>SUM(E22:E61)</f>
        <v>0</v>
      </c>
      <c r="F62" s="366">
        <f>SUM(F22:F61)</f>
        <v>0</v>
      </c>
      <c r="G62" s="341">
        <f>D62+E62+F62</f>
        <v>0</v>
      </c>
    </row>
    <row r="63" spans="2:23" ht="14.25" thickBot="1" x14ac:dyDescent="0.45">
      <c r="B63" s="342" t="s">
        <v>187</v>
      </c>
      <c r="C63" s="343" t="e">
        <f>C62*C21</f>
        <v>#REF!</v>
      </c>
      <c r="D63" s="343" t="e">
        <f>(0/60+0)*D21</f>
        <v>#REF!</v>
      </c>
      <c r="E63" s="343" t="e">
        <f>(0/60+0)*E21</f>
        <v>#REF!</v>
      </c>
      <c r="F63" s="344" t="e">
        <f>(0/60+0)*F21</f>
        <v>#REF!</v>
      </c>
    </row>
    <row r="64" spans="2:23" ht="14.25" thickBot="1" x14ac:dyDescent="0.45">
      <c r="B64" s="345"/>
      <c r="C64" s="346"/>
      <c r="D64" s="347"/>
      <c r="E64" s="348"/>
      <c r="F64" s="367" t="e">
        <f>C63+D63+E63+F63</f>
        <v>#REF!</v>
      </c>
    </row>
    <row r="65" spans="3:3" x14ac:dyDescent="0.35">
      <c r="C65" s="281"/>
    </row>
    <row r="66" spans="3:3" x14ac:dyDescent="0.35">
      <c r="C66" s="281"/>
    </row>
  </sheetData>
  <mergeCells count="16">
    <mergeCell ref="R50:S50"/>
    <mergeCell ref="R51:S51"/>
    <mergeCell ref="R52:S52"/>
    <mergeCell ref="R53:S53"/>
    <mergeCell ref="R42:S42"/>
    <mergeCell ref="R45:S45"/>
    <mergeCell ref="R46:S46"/>
    <mergeCell ref="R47:S47"/>
    <mergeCell ref="R48:S48"/>
    <mergeCell ref="R49:S49"/>
    <mergeCell ref="R40:S40"/>
    <mergeCell ref="C19:F20"/>
    <mergeCell ref="T20:U20"/>
    <mergeCell ref="R37:S37"/>
    <mergeCell ref="R38:S38"/>
    <mergeCell ref="R39:S39"/>
  </mergeCells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LFZ</vt:lpstr>
      <vt:lpstr>Charterer</vt:lpstr>
      <vt:lpstr>Bord-B. D-EFLF</vt:lpstr>
      <vt:lpstr>Bord-B. D-EOYS</vt:lpstr>
      <vt:lpstr>Bord-B. D-Exxx</vt:lpstr>
      <vt:lpstr>Rabatte19</vt:lpstr>
      <vt:lpstr>FH-Überw.</vt:lpstr>
      <vt:lpstr>2016 Rentabilität</vt:lpstr>
      <vt:lpstr>2019 Rentabilität</vt:lpstr>
      <vt:lpstr>'FH-Überw.'!Druckbereich</vt:lpstr>
      <vt:lpstr>'FH-Überw.'!Drucktitel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</dc:creator>
  <cp:lastModifiedBy>anner</cp:lastModifiedBy>
  <cp:lastPrinted>2019-03-02T06:32:40Z</cp:lastPrinted>
  <dcterms:created xsi:type="dcterms:W3CDTF">2016-08-16T23:38:18Z</dcterms:created>
  <dcterms:modified xsi:type="dcterms:W3CDTF">2019-04-11T17:56:46Z</dcterms:modified>
</cp:coreProperties>
</file>