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chardigny\Dropbox\ENTREPRENEURSHIP\IMMOBILIER\INTERFACE\MODEL_FISCAL_EXCEL\PROD\"/>
    </mc:Choice>
  </mc:AlternateContent>
  <xr:revisionPtr revIDLastSave="0" documentId="13_ncr:1_{3D9A32D7-42E3-4DED-97DC-CEEA4088F4E6}" xr6:coauthVersionLast="46" xr6:coauthVersionMax="46" xr10:uidLastSave="{00000000-0000-0000-0000-000000000000}"/>
  <bookViews>
    <workbookView xWindow="-120" yWindow="-120" windowWidth="20730" windowHeight="11160" tabRatio="783" xr2:uid="{51883200-22E6-471E-A965-38E8A38F9624}"/>
  </bookViews>
  <sheets>
    <sheet name="SIMULIMO" sheetId="2" r:id="rId1"/>
    <sheet name="TRI" sheetId="7" r:id="rId2"/>
    <sheet name="GLOSSAIRE" sheetId="3" r:id="rId3"/>
    <sheet name="REGLES FISCALES" sheetId="4"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K48" i="2" l="1"/>
  <c r="I48" i="2"/>
  <c r="J48" i="2"/>
  <c r="K48" i="2"/>
  <c r="L48" i="2"/>
  <c r="M48" i="2"/>
  <c r="N48" i="2"/>
  <c r="O48" i="2"/>
  <c r="P48" i="2"/>
  <c r="Q48" i="2"/>
  <c r="R48" i="2"/>
  <c r="S48" i="2"/>
  <c r="T48" i="2"/>
  <c r="U48" i="2"/>
  <c r="V48" i="2"/>
  <c r="W48" i="2"/>
  <c r="X48" i="2"/>
  <c r="Y48" i="2"/>
  <c r="Z48" i="2"/>
  <c r="AA48" i="2"/>
  <c r="AB48" i="2"/>
  <c r="AC48" i="2"/>
  <c r="AD48" i="2"/>
  <c r="AE48" i="2"/>
  <c r="AF48" i="2"/>
  <c r="AG48" i="2"/>
  <c r="AH48" i="2"/>
  <c r="AI48" i="2"/>
  <c r="AJ48" i="2"/>
  <c r="H48" i="2"/>
  <c r="I29" i="2"/>
  <c r="J29" i="2"/>
  <c r="K29" i="2"/>
  <c r="L29" i="2"/>
  <c r="M29" i="2"/>
  <c r="N29" i="2"/>
  <c r="O29" i="2"/>
  <c r="P29" i="2"/>
  <c r="Q29" i="2"/>
  <c r="R29" i="2"/>
  <c r="S29" i="2"/>
  <c r="T29" i="2"/>
  <c r="U29" i="2"/>
  <c r="V29" i="2"/>
  <c r="W29" i="2"/>
  <c r="X29" i="2"/>
  <c r="Y29" i="2"/>
  <c r="Z29" i="2"/>
  <c r="AA29" i="2"/>
  <c r="AB29" i="2"/>
  <c r="AC29" i="2"/>
  <c r="AD29" i="2"/>
  <c r="AE29" i="2"/>
  <c r="AF29" i="2"/>
  <c r="AG29" i="2"/>
  <c r="AH29" i="2"/>
  <c r="AI29" i="2"/>
  <c r="AJ29" i="2"/>
  <c r="AK29" i="2"/>
  <c r="H29" i="2"/>
  <c r="I31" i="2"/>
  <c r="J31" i="2"/>
  <c r="K31" i="2"/>
  <c r="L31" i="2"/>
  <c r="M31" i="2"/>
  <c r="N31" i="2"/>
  <c r="O31" i="2"/>
  <c r="P31" i="2"/>
  <c r="Q31" i="2"/>
  <c r="R31" i="2"/>
  <c r="S31" i="2"/>
  <c r="T31" i="2"/>
  <c r="U31" i="2"/>
  <c r="V31" i="2"/>
  <c r="W31" i="2"/>
  <c r="X31" i="2"/>
  <c r="Y31" i="2"/>
  <c r="Z31" i="2"/>
  <c r="AA31" i="2"/>
  <c r="AB31" i="2"/>
  <c r="AC31" i="2"/>
  <c r="AD31" i="2"/>
  <c r="AE31" i="2"/>
  <c r="AF31" i="2"/>
  <c r="AG31" i="2"/>
  <c r="AH31" i="2"/>
  <c r="AI31" i="2"/>
  <c r="AJ31" i="2"/>
  <c r="AK31" i="2"/>
  <c r="H28" i="2"/>
  <c r="H31" i="2"/>
  <c r="AK28" i="2"/>
  <c r="AJ28" i="2"/>
  <c r="AI28" i="2"/>
  <c r="AH28" i="2"/>
  <c r="AG28" i="2"/>
  <c r="AF28" i="2"/>
  <c r="AE28" i="2"/>
  <c r="AD28" i="2"/>
  <c r="AC28" i="2"/>
  <c r="AB28" i="2"/>
  <c r="AA28" i="2"/>
  <c r="Z28" i="2"/>
  <c r="Y28" i="2"/>
  <c r="X28" i="2"/>
  <c r="W28" i="2"/>
  <c r="V28" i="2"/>
  <c r="U28" i="2"/>
  <c r="T28" i="2"/>
  <c r="S28" i="2"/>
  <c r="R28" i="2"/>
  <c r="Q28" i="2"/>
  <c r="P28" i="2"/>
  <c r="O28" i="2"/>
  <c r="N28" i="2"/>
  <c r="M28" i="2"/>
  <c r="L28" i="2"/>
  <c r="K28" i="2"/>
  <c r="J28" i="2"/>
  <c r="I28" i="2"/>
  <c r="H117" i="2"/>
  <c r="I89" i="2"/>
  <c r="J89" i="2"/>
  <c r="K89" i="2"/>
  <c r="L89" i="2"/>
  <c r="M89" i="2"/>
  <c r="N89" i="2"/>
  <c r="O89" i="2"/>
  <c r="P89" i="2"/>
  <c r="Q89" i="2"/>
  <c r="R89" i="2"/>
  <c r="S89" i="2"/>
  <c r="T89" i="2"/>
  <c r="U89" i="2"/>
  <c r="V89" i="2"/>
  <c r="W89" i="2"/>
  <c r="X89" i="2"/>
  <c r="Y89" i="2"/>
  <c r="Z89" i="2"/>
  <c r="AA89" i="2"/>
  <c r="AB89" i="2"/>
  <c r="AC89" i="2"/>
  <c r="AD89" i="2"/>
  <c r="AE89" i="2"/>
  <c r="AF89" i="2"/>
  <c r="AG89" i="2"/>
  <c r="AH89" i="2"/>
  <c r="AI89" i="2"/>
  <c r="AJ89" i="2"/>
  <c r="AK89" i="2"/>
  <c r="I91" i="2"/>
  <c r="J91" i="2"/>
  <c r="K91" i="2"/>
  <c r="L91" i="2"/>
  <c r="M91" i="2"/>
  <c r="N91" i="2"/>
  <c r="O91" i="2"/>
  <c r="P91" i="2"/>
  <c r="Q91" i="2"/>
  <c r="R91" i="2"/>
  <c r="S91" i="2"/>
  <c r="T91" i="2"/>
  <c r="U91" i="2"/>
  <c r="V91" i="2"/>
  <c r="W91" i="2"/>
  <c r="X91" i="2"/>
  <c r="Y91" i="2"/>
  <c r="Z91" i="2"/>
  <c r="AA91" i="2"/>
  <c r="AB91" i="2"/>
  <c r="AC91" i="2"/>
  <c r="AD91" i="2"/>
  <c r="AE91" i="2"/>
  <c r="AF91" i="2"/>
  <c r="AG91" i="2"/>
  <c r="AH91" i="2"/>
  <c r="AI91" i="2"/>
  <c r="AJ91" i="2"/>
  <c r="AK91" i="2"/>
  <c r="I94" i="2"/>
  <c r="J94" i="2"/>
  <c r="K94" i="2"/>
  <c r="L94" i="2"/>
  <c r="M94" i="2"/>
  <c r="N94" i="2"/>
  <c r="O94" i="2"/>
  <c r="P94" i="2"/>
  <c r="Q94" i="2"/>
  <c r="R94" i="2"/>
  <c r="S94" i="2"/>
  <c r="T94" i="2"/>
  <c r="U94" i="2"/>
  <c r="V94" i="2"/>
  <c r="W94" i="2"/>
  <c r="X94" i="2"/>
  <c r="Y94" i="2"/>
  <c r="Z94" i="2"/>
  <c r="AA94" i="2"/>
  <c r="AB94" i="2"/>
  <c r="AC94" i="2"/>
  <c r="AD94" i="2"/>
  <c r="AE94" i="2"/>
  <c r="AF94" i="2"/>
  <c r="AG94" i="2"/>
  <c r="AH94" i="2"/>
  <c r="AI94" i="2"/>
  <c r="AJ94" i="2"/>
  <c r="AK94" i="2"/>
  <c r="H75" i="2"/>
  <c r="I177" i="2"/>
  <c r="J177" i="2"/>
  <c r="K177" i="2"/>
  <c r="L177" i="2"/>
  <c r="M177" i="2"/>
  <c r="N177" i="2"/>
  <c r="O177" i="2"/>
  <c r="P177" i="2"/>
  <c r="Q177" i="2"/>
  <c r="R177" i="2"/>
  <c r="S177" i="2"/>
  <c r="T177" i="2"/>
  <c r="U177" i="2"/>
  <c r="V177" i="2"/>
  <c r="W177" i="2"/>
  <c r="X177" i="2"/>
  <c r="Y177" i="2"/>
  <c r="Z177" i="2"/>
  <c r="AA177" i="2"/>
  <c r="AB177" i="2"/>
  <c r="AC177" i="2"/>
  <c r="AD177" i="2"/>
  <c r="AE177" i="2"/>
  <c r="AF177" i="2"/>
  <c r="AG177" i="2"/>
  <c r="AH177" i="2"/>
  <c r="AI177" i="2"/>
  <c r="AJ177" i="2"/>
  <c r="AK177" i="2"/>
  <c r="H177" i="2"/>
  <c r="H149" i="2"/>
  <c r="I149" i="2"/>
  <c r="J149" i="2"/>
  <c r="K149" i="2"/>
  <c r="L149" i="2"/>
  <c r="M149" i="2"/>
  <c r="N149" i="2"/>
  <c r="O149" i="2"/>
  <c r="P149" i="2"/>
  <c r="Q149" i="2"/>
  <c r="R149" i="2"/>
  <c r="S149" i="2"/>
  <c r="T149" i="2"/>
  <c r="U149" i="2"/>
  <c r="V149" i="2"/>
  <c r="W149" i="2"/>
  <c r="X149" i="2"/>
  <c r="Y149" i="2"/>
  <c r="Z149" i="2"/>
  <c r="AA149" i="2"/>
  <c r="AB149" i="2"/>
  <c r="AC149" i="2"/>
  <c r="AD149" i="2"/>
  <c r="AE149" i="2"/>
  <c r="AF149" i="2"/>
  <c r="AG149" i="2"/>
  <c r="AH149" i="2"/>
  <c r="AI149" i="2"/>
  <c r="AJ149" i="2"/>
  <c r="AK149" i="2"/>
  <c r="H89" i="2"/>
  <c r="I117" i="2"/>
  <c r="J117" i="2"/>
  <c r="K117" i="2"/>
  <c r="L117" i="2"/>
  <c r="M117" i="2"/>
  <c r="N117" i="2"/>
  <c r="O117" i="2"/>
  <c r="P117" i="2"/>
  <c r="Q117" i="2"/>
  <c r="R117" i="2"/>
  <c r="S117" i="2"/>
  <c r="T117" i="2"/>
  <c r="U117" i="2"/>
  <c r="V117" i="2"/>
  <c r="W117" i="2"/>
  <c r="X117" i="2"/>
  <c r="Y117" i="2"/>
  <c r="Z117" i="2"/>
  <c r="AA117" i="2"/>
  <c r="AB117" i="2"/>
  <c r="AC117" i="2"/>
  <c r="AD117" i="2"/>
  <c r="AE117" i="2"/>
  <c r="AF117" i="2"/>
  <c r="AG117" i="2"/>
  <c r="AH117" i="2"/>
  <c r="AI117" i="2"/>
  <c r="AJ117" i="2"/>
  <c r="AK117" i="2"/>
  <c r="H134" i="2"/>
  <c r="H51" i="2"/>
  <c r="AK182" i="2"/>
  <c r="AJ182" i="2"/>
  <c r="AI182" i="2"/>
  <c r="AH182" i="2"/>
  <c r="AG182" i="2"/>
  <c r="AF182" i="2"/>
  <c r="AE182" i="2"/>
  <c r="AD182" i="2"/>
  <c r="AC182" i="2"/>
  <c r="AB182" i="2"/>
  <c r="AA182" i="2"/>
  <c r="Z182" i="2"/>
  <c r="Y182" i="2"/>
  <c r="X182" i="2"/>
  <c r="W182" i="2"/>
  <c r="V182" i="2"/>
  <c r="U182" i="2"/>
  <c r="T182" i="2"/>
  <c r="S182" i="2"/>
  <c r="R182" i="2"/>
  <c r="Q182" i="2"/>
  <c r="P182" i="2"/>
  <c r="O182" i="2"/>
  <c r="N182" i="2"/>
  <c r="M182" i="2"/>
  <c r="L182" i="2"/>
  <c r="K182" i="2"/>
  <c r="J182" i="2"/>
  <c r="I182" i="2"/>
  <c r="H182" i="2"/>
  <c r="AK179" i="2"/>
  <c r="AJ179" i="2"/>
  <c r="AI179" i="2"/>
  <c r="AH179" i="2"/>
  <c r="AG179" i="2"/>
  <c r="AF179" i="2"/>
  <c r="AE179" i="2"/>
  <c r="AD179" i="2"/>
  <c r="AC179" i="2"/>
  <c r="AB179" i="2"/>
  <c r="AA179" i="2"/>
  <c r="Z179" i="2"/>
  <c r="Y179" i="2"/>
  <c r="X179" i="2"/>
  <c r="W179" i="2"/>
  <c r="V179" i="2"/>
  <c r="U179" i="2"/>
  <c r="T179" i="2"/>
  <c r="S179" i="2"/>
  <c r="R179" i="2"/>
  <c r="Q179" i="2"/>
  <c r="P179" i="2"/>
  <c r="O179" i="2"/>
  <c r="N179" i="2"/>
  <c r="M179" i="2"/>
  <c r="L179" i="2"/>
  <c r="K179" i="2"/>
  <c r="J179" i="2"/>
  <c r="I179" i="2"/>
  <c r="H179" i="2"/>
  <c r="AJ154" i="2"/>
  <c r="I154" i="2"/>
  <c r="H154" i="2"/>
  <c r="I151" i="2"/>
  <c r="J151" i="2"/>
  <c r="K151" i="2"/>
  <c r="L151" i="2"/>
  <c r="M151" i="2"/>
  <c r="N151" i="2"/>
  <c r="O151" i="2"/>
  <c r="P151" i="2"/>
  <c r="Q151" i="2"/>
  <c r="R151" i="2"/>
  <c r="S151" i="2"/>
  <c r="T151" i="2"/>
  <c r="U151" i="2"/>
  <c r="V151" i="2"/>
  <c r="W151" i="2"/>
  <c r="X151" i="2"/>
  <c r="Y151" i="2"/>
  <c r="Z151" i="2"/>
  <c r="AA151" i="2"/>
  <c r="AB151" i="2"/>
  <c r="AC151" i="2"/>
  <c r="AD151" i="2"/>
  <c r="AE151" i="2"/>
  <c r="AF151" i="2"/>
  <c r="AG151" i="2"/>
  <c r="AH151" i="2"/>
  <c r="AI151" i="2"/>
  <c r="AJ151" i="2"/>
  <c r="AK151" i="2"/>
  <c r="H151" i="2"/>
  <c r="I119" i="2"/>
  <c r="J119" i="2"/>
  <c r="K119" i="2"/>
  <c r="L119" i="2"/>
  <c r="M119" i="2"/>
  <c r="N119" i="2"/>
  <c r="O119" i="2"/>
  <c r="P119" i="2"/>
  <c r="Q119" i="2"/>
  <c r="R119" i="2"/>
  <c r="S119" i="2"/>
  <c r="T119" i="2"/>
  <c r="U119" i="2"/>
  <c r="V119" i="2"/>
  <c r="W119" i="2"/>
  <c r="X119" i="2"/>
  <c r="Y119" i="2"/>
  <c r="Z119" i="2"/>
  <c r="AA119" i="2"/>
  <c r="AB119" i="2"/>
  <c r="AC119" i="2"/>
  <c r="AD119" i="2"/>
  <c r="AE119" i="2"/>
  <c r="AF119" i="2"/>
  <c r="AG119" i="2"/>
  <c r="AH119" i="2"/>
  <c r="AI119" i="2"/>
  <c r="AJ119" i="2"/>
  <c r="AK119" i="2"/>
  <c r="H119" i="2"/>
  <c r="H94" i="2"/>
  <c r="AK122" i="2"/>
  <c r="AJ122" i="2"/>
  <c r="AI122" i="2"/>
  <c r="AH122" i="2"/>
  <c r="AG122" i="2"/>
  <c r="AF122" i="2"/>
  <c r="AE122" i="2"/>
  <c r="AD122" i="2"/>
  <c r="AC122" i="2"/>
  <c r="AB122" i="2"/>
  <c r="AA122" i="2"/>
  <c r="Z122" i="2"/>
  <c r="Y122" i="2"/>
  <c r="X122" i="2"/>
  <c r="W122" i="2"/>
  <c r="V122" i="2"/>
  <c r="U122" i="2"/>
  <c r="T122" i="2"/>
  <c r="S122" i="2"/>
  <c r="R122" i="2"/>
  <c r="Q122" i="2"/>
  <c r="P122" i="2"/>
  <c r="O122" i="2"/>
  <c r="N122" i="2"/>
  <c r="M122" i="2"/>
  <c r="L122" i="2"/>
  <c r="K122" i="2"/>
  <c r="J122" i="2"/>
  <c r="I122" i="2"/>
  <c r="H122" i="2"/>
  <c r="J154" i="2"/>
  <c r="K154" i="2"/>
  <c r="L154" i="2"/>
  <c r="M154" i="2"/>
  <c r="N154" i="2"/>
  <c r="O154" i="2"/>
  <c r="P154" i="2"/>
  <c r="Q154" i="2"/>
  <c r="R154" i="2"/>
  <c r="S154" i="2"/>
  <c r="T154" i="2"/>
  <c r="U154" i="2"/>
  <c r="V154" i="2"/>
  <c r="W154" i="2"/>
  <c r="X154" i="2"/>
  <c r="Y154" i="2"/>
  <c r="Z154" i="2"/>
  <c r="AA154" i="2"/>
  <c r="AB154" i="2"/>
  <c r="AC154" i="2"/>
  <c r="AD154" i="2"/>
  <c r="AE154" i="2"/>
  <c r="AF154" i="2"/>
  <c r="AG154" i="2"/>
  <c r="AH154" i="2"/>
  <c r="AI154" i="2"/>
  <c r="AK154" i="2"/>
  <c r="H91" i="2"/>
  <c r="C39" i="2"/>
  <c r="C42" i="2" s="1"/>
  <c r="AG16" i="2"/>
  <c r="AH16" i="2"/>
  <c r="AI16" i="2"/>
  <c r="AJ16" i="2"/>
  <c r="AK16" i="2"/>
  <c r="AI150" i="2" l="1"/>
  <c r="AE150" i="2"/>
  <c r="AE152" i="2" s="1"/>
  <c r="AE153" i="2" s="1"/>
  <c r="AA150" i="2"/>
  <c r="AA155" i="2" s="1"/>
  <c r="AA156" i="2" s="1"/>
  <c r="W150" i="2"/>
  <c r="W155" i="2" s="1"/>
  <c r="W156" i="2" s="1"/>
  <c r="S150" i="2"/>
  <c r="O150" i="2"/>
  <c r="O155" i="2" s="1"/>
  <c r="O156" i="2" s="1"/>
  <c r="K150" i="2"/>
  <c r="K155" i="2" s="1"/>
  <c r="K156" i="2" s="1"/>
  <c r="H178" i="2"/>
  <c r="H183" i="2" s="1"/>
  <c r="H184" i="2" s="1"/>
  <c r="AH150" i="2"/>
  <c r="AD150" i="2"/>
  <c r="AD155" i="2" s="1"/>
  <c r="AD156" i="2" s="1"/>
  <c r="Z150" i="2"/>
  <c r="Z155" i="2" s="1"/>
  <c r="Z156" i="2" s="1"/>
  <c r="V150" i="2"/>
  <c r="V155" i="2" s="1"/>
  <c r="V156" i="2" s="1"/>
  <c r="R150" i="2"/>
  <c r="R155" i="2" s="1"/>
  <c r="R156" i="2" s="1"/>
  <c r="N150" i="2"/>
  <c r="N155" i="2" s="1"/>
  <c r="N156" i="2" s="1"/>
  <c r="J150" i="2"/>
  <c r="J155" i="2" s="1"/>
  <c r="J156" i="2" s="1"/>
  <c r="AK90" i="2"/>
  <c r="AK92" i="2" s="1"/>
  <c r="AK93" i="2" s="1"/>
  <c r="AC90" i="2"/>
  <c r="AC92" i="2" s="1"/>
  <c r="AC93" i="2" s="1"/>
  <c r="Y90" i="2"/>
  <c r="Y92" i="2" s="1"/>
  <c r="Y93" i="2" s="1"/>
  <c r="U90" i="2"/>
  <c r="U92" i="2" s="1"/>
  <c r="U93" i="2" s="1"/>
  <c r="Q90" i="2"/>
  <c r="Q92" i="2" s="1"/>
  <c r="Q93" i="2" s="1"/>
  <c r="M90" i="2"/>
  <c r="M92" i="2" s="1"/>
  <c r="M93" i="2" s="1"/>
  <c r="AG90" i="2"/>
  <c r="AG92" i="2" s="1"/>
  <c r="AG93" i="2" s="1"/>
  <c r="H118" i="2"/>
  <c r="H123" i="2" s="1"/>
  <c r="H124" i="2" s="1"/>
  <c r="H150" i="2"/>
  <c r="H152" i="2" s="1"/>
  <c r="H153" i="2" s="1"/>
  <c r="AA90" i="2"/>
  <c r="AA95" i="2" s="1"/>
  <c r="AA96" i="2" s="1"/>
  <c r="V90" i="2"/>
  <c r="V95" i="2" s="1"/>
  <c r="V96" i="2" s="1"/>
  <c r="K90" i="2"/>
  <c r="K95" i="2" s="1"/>
  <c r="K96" i="2" s="1"/>
  <c r="AJ90" i="2"/>
  <c r="AJ92" i="2" s="1"/>
  <c r="AJ93" i="2" s="1"/>
  <c r="AF90" i="2"/>
  <c r="AB90" i="2"/>
  <c r="AB92" i="2" s="1"/>
  <c r="AB93" i="2" s="1"/>
  <c r="X90" i="2"/>
  <c r="T90" i="2"/>
  <c r="T92" i="2" s="1"/>
  <c r="T93" i="2" s="1"/>
  <c r="P90" i="2"/>
  <c r="L90" i="2"/>
  <c r="L92" i="2" s="1"/>
  <c r="L93" i="2" s="1"/>
  <c r="AE90" i="2"/>
  <c r="AE95" i="2" s="1"/>
  <c r="AE96" i="2" s="1"/>
  <c r="Z90" i="2"/>
  <c r="Z95" i="2" s="1"/>
  <c r="Z96" i="2" s="1"/>
  <c r="O90" i="2"/>
  <c r="O92" i="2" s="1"/>
  <c r="O93" i="2" s="1"/>
  <c r="J90" i="2"/>
  <c r="J95" i="2" s="1"/>
  <c r="J96" i="2" s="1"/>
  <c r="AI90" i="2"/>
  <c r="AI92" i="2" s="1"/>
  <c r="AI93" i="2" s="1"/>
  <c r="AD90" i="2"/>
  <c r="AD95" i="2" s="1"/>
  <c r="AD96" i="2" s="1"/>
  <c r="S90" i="2"/>
  <c r="S92" i="2" s="1"/>
  <c r="S93" i="2" s="1"/>
  <c r="N90" i="2"/>
  <c r="N95" i="2" s="1"/>
  <c r="N96" i="2" s="1"/>
  <c r="I90" i="2"/>
  <c r="I92" i="2" s="1"/>
  <c r="I93" i="2" s="1"/>
  <c r="AK95" i="2"/>
  <c r="AK96" i="2" s="1"/>
  <c r="AC95" i="2"/>
  <c r="AC96" i="2" s="1"/>
  <c r="AC97" i="2" s="1"/>
  <c r="AC98" i="2" s="1"/>
  <c r="Y95" i="2"/>
  <c r="Y96" i="2" s="1"/>
  <c r="U95" i="2"/>
  <c r="U96" i="2" s="1"/>
  <c r="AH90" i="2"/>
  <c r="AH95" i="2" s="1"/>
  <c r="AH96" i="2" s="1"/>
  <c r="W90" i="2"/>
  <c r="W95" i="2" s="1"/>
  <c r="W96" i="2" s="1"/>
  <c r="R90" i="2"/>
  <c r="R95" i="2" s="1"/>
  <c r="R96" i="2" s="1"/>
  <c r="AG178" i="2"/>
  <c r="AG180" i="2" s="1"/>
  <c r="AG181" i="2" s="1"/>
  <c r="Y178" i="2"/>
  <c r="Y183" i="2" s="1"/>
  <c r="Y184" i="2" s="1"/>
  <c r="M178" i="2"/>
  <c r="M183" i="2" s="1"/>
  <c r="M184" i="2" s="1"/>
  <c r="AK178" i="2"/>
  <c r="AK180" i="2" s="1"/>
  <c r="AK181" i="2" s="1"/>
  <c r="AC178" i="2"/>
  <c r="AC183" i="2" s="1"/>
  <c r="AC184" i="2" s="1"/>
  <c r="U178" i="2"/>
  <c r="U183" i="2" s="1"/>
  <c r="U184" i="2" s="1"/>
  <c r="Q178" i="2"/>
  <c r="Q183" i="2" s="1"/>
  <c r="Q184" i="2" s="1"/>
  <c r="I178" i="2"/>
  <c r="I180" i="2" s="1"/>
  <c r="I181" i="2" s="1"/>
  <c r="H90" i="2"/>
  <c r="H92" i="2" s="1"/>
  <c r="H93" i="2" s="1"/>
  <c r="I150" i="2"/>
  <c r="I155" i="2" s="1"/>
  <c r="I156" i="2" s="1"/>
  <c r="AJ118" i="2"/>
  <c r="AJ123" i="2" s="1"/>
  <c r="AJ124" i="2" s="1"/>
  <c r="AF118" i="2"/>
  <c r="AF120" i="2" s="1"/>
  <c r="AF121" i="2" s="1"/>
  <c r="AB118" i="2"/>
  <c r="AB123" i="2" s="1"/>
  <c r="AB124" i="2" s="1"/>
  <c r="X118" i="2"/>
  <c r="X123" i="2" s="1"/>
  <c r="X124" i="2" s="1"/>
  <c r="T118" i="2"/>
  <c r="T120" i="2" s="1"/>
  <c r="T121" i="2" s="1"/>
  <c r="P118" i="2"/>
  <c r="P123" i="2" s="1"/>
  <c r="P124" i="2" s="1"/>
  <c r="L118" i="2"/>
  <c r="L120" i="2" s="1"/>
  <c r="L121" i="2" s="1"/>
  <c r="AK150" i="2"/>
  <c r="AK152" i="2" s="1"/>
  <c r="AK153" i="2" s="1"/>
  <c r="AG150" i="2"/>
  <c r="AG152" i="2" s="1"/>
  <c r="AG153" i="2" s="1"/>
  <c r="AC150" i="2"/>
  <c r="AC152" i="2" s="1"/>
  <c r="AC153" i="2" s="1"/>
  <c r="Y150" i="2"/>
  <c r="Y152" i="2" s="1"/>
  <c r="Y153" i="2" s="1"/>
  <c r="U150" i="2"/>
  <c r="U152" i="2" s="1"/>
  <c r="U153" i="2" s="1"/>
  <c r="Q150" i="2"/>
  <c r="Q155" i="2" s="1"/>
  <c r="Q156" i="2" s="1"/>
  <c r="M150" i="2"/>
  <c r="AJ178" i="2"/>
  <c r="AJ183" i="2" s="1"/>
  <c r="AJ184" i="2" s="1"/>
  <c r="AF178" i="2"/>
  <c r="AF183" i="2" s="1"/>
  <c r="AF184" i="2" s="1"/>
  <c r="AB178" i="2"/>
  <c r="AB180" i="2" s="1"/>
  <c r="AB181" i="2" s="1"/>
  <c r="X178" i="2"/>
  <c r="X180" i="2" s="1"/>
  <c r="X181" i="2" s="1"/>
  <c r="T178" i="2"/>
  <c r="T183" i="2" s="1"/>
  <c r="T184" i="2" s="1"/>
  <c r="P178" i="2"/>
  <c r="P183" i="2" s="1"/>
  <c r="P184" i="2" s="1"/>
  <c r="L178" i="2"/>
  <c r="L183" i="2" s="1"/>
  <c r="L184" i="2" s="1"/>
  <c r="AI118" i="2"/>
  <c r="AI120" i="2" s="1"/>
  <c r="AI121" i="2" s="1"/>
  <c r="AE118" i="2"/>
  <c r="AE120" i="2" s="1"/>
  <c r="AE121" i="2" s="1"/>
  <c r="AA118" i="2"/>
  <c r="AA123" i="2" s="1"/>
  <c r="AA124" i="2" s="1"/>
  <c r="W118" i="2"/>
  <c r="W120" i="2" s="1"/>
  <c r="W121" i="2" s="1"/>
  <c r="S118" i="2"/>
  <c r="S120" i="2" s="1"/>
  <c r="S121" i="2" s="1"/>
  <c r="O118" i="2"/>
  <c r="O123" i="2" s="1"/>
  <c r="O124" i="2" s="1"/>
  <c r="K118" i="2"/>
  <c r="K120" i="2" s="1"/>
  <c r="K121" i="2" s="1"/>
  <c r="AJ150" i="2"/>
  <c r="AJ155" i="2" s="1"/>
  <c r="AJ156" i="2" s="1"/>
  <c r="AF150" i="2"/>
  <c r="AF155" i="2" s="1"/>
  <c r="AF156" i="2" s="1"/>
  <c r="AB150" i="2"/>
  <c r="AB155" i="2" s="1"/>
  <c r="AB156" i="2" s="1"/>
  <c r="X150" i="2"/>
  <c r="X152" i="2" s="1"/>
  <c r="X153" i="2" s="1"/>
  <c r="T150" i="2"/>
  <c r="T155" i="2" s="1"/>
  <c r="T156" i="2" s="1"/>
  <c r="P150" i="2"/>
  <c r="P155" i="2" s="1"/>
  <c r="P156" i="2" s="1"/>
  <c r="L150" i="2"/>
  <c r="L155" i="2" s="1"/>
  <c r="L156" i="2" s="1"/>
  <c r="AI178" i="2"/>
  <c r="AI183" i="2" s="1"/>
  <c r="AI184" i="2" s="1"/>
  <c r="AE178" i="2"/>
  <c r="AE183" i="2" s="1"/>
  <c r="AE184" i="2" s="1"/>
  <c r="AA178" i="2"/>
  <c r="AA183" i="2" s="1"/>
  <c r="AA184" i="2" s="1"/>
  <c r="W178" i="2"/>
  <c r="W183" i="2" s="1"/>
  <c r="W184" i="2" s="1"/>
  <c r="S178" i="2"/>
  <c r="S183" i="2" s="1"/>
  <c r="S184" i="2" s="1"/>
  <c r="O178" i="2"/>
  <c r="O180" i="2" s="1"/>
  <c r="O181" i="2" s="1"/>
  <c r="K178" i="2"/>
  <c r="K183" i="2" s="1"/>
  <c r="K184" i="2" s="1"/>
  <c r="AH118" i="2"/>
  <c r="AH120" i="2" s="1"/>
  <c r="AH121" i="2" s="1"/>
  <c r="AD118" i="2"/>
  <c r="AD120" i="2" s="1"/>
  <c r="AD121" i="2" s="1"/>
  <c r="Z118" i="2"/>
  <c r="Z120" i="2" s="1"/>
  <c r="Z121" i="2" s="1"/>
  <c r="V118" i="2"/>
  <c r="V123" i="2" s="1"/>
  <c r="V124" i="2" s="1"/>
  <c r="R118" i="2"/>
  <c r="R120" i="2" s="1"/>
  <c r="R121" i="2" s="1"/>
  <c r="N118" i="2"/>
  <c r="N123" i="2" s="1"/>
  <c r="N124" i="2" s="1"/>
  <c r="J118" i="2"/>
  <c r="J120" i="2" s="1"/>
  <c r="J121" i="2" s="1"/>
  <c r="AH178" i="2"/>
  <c r="AH180" i="2" s="1"/>
  <c r="AH181" i="2" s="1"/>
  <c r="AD178" i="2"/>
  <c r="AD180" i="2" s="1"/>
  <c r="AD181" i="2" s="1"/>
  <c r="Z178" i="2"/>
  <c r="Z180" i="2" s="1"/>
  <c r="Z181" i="2" s="1"/>
  <c r="V178" i="2"/>
  <c r="V183" i="2" s="1"/>
  <c r="V184" i="2" s="1"/>
  <c r="R178" i="2"/>
  <c r="R180" i="2" s="1"/>
  <c r="R181" i="2" s="1"/>
  <c r="N178" i="2"/>
  <c r="N180" i="2" s="1"/>
  <c r="N181" i="2" s="1"/>
  <c r="J178" i="2"/>
  <c r="J183" i="2" s="1"/>
  <c r="J184" i="2" s="1"/>
  <c r="AK118" i="2"/>
  <c r="AK123" i="2" s="1"/>
  <c r="AK124" i="2" s="1"/>
  <c r="AG118" i="2"/>
  <c r="AG123" i="2" s="1"/>
  <c r="AG124" i="2" s="1"/>
  <c r="AC118" i="2"/>
  <c r="AC120" i="2" s="1"/>
  <c r="AC121" i="2" s="1"/>
  <c r="Y118" i="2"/>
  <c r="Y123" i="2" s="1"/>
  <c r="Y124" i="2" s="1"/>
  <c r="U118" i="2"/>
  <c r="U123" i="2" s="1"/>
  <c r="U124" i="2" s="1"/>
  <c r="Q118" i="2"/>
  <c r="Q123" i="2" s="1"/>
  <c r="Q124" i="2" s="1"/>
  <c r="M118" i="2"/>
  <c r="M123" i="2" s="1"/>
  <c r="M124" i="2" s="1"/>
  <c r="I118" i="2"/>
  <c r="I123" i="2" s="1"/>
  <c r="I124" i="2" s="1"/>
  <c r="AI152" i="2"/>
  <c r="AI153" i="2" s="1"/>
  <c r="S152" i="2"/>
  <c r="S153" i="2" s="1"/>
  <c r="AH155" i="2"/>
  <c r="AH156" i="2" s="1"/>
  <c r="AG15" i="2"/>
  <c r="AH15" i="2"/>
  <c r="AI15" i="2"/>
  <c r="AJ15" i="2"/>
  <c r="AK15" i="2"/>
  <c r="AG21" i="2"/>
  <c r="AG12" i="2" s="1"/>
  <c r="AG53" i="2" s="1"/>
  <c r="AH21" i="2"/>
  <c r="AH12" i="2" s="1"/>
  <c r="AH53" i="2" s="1"/>
  <c r="AI21" i="2"/>
  <c r="AI12" i="2" s="1"/>
  <c r="AI53" i="2" s="1"/>
  <c r="AJ21" i="2"/>
  <c r="AJ12" i="2" s="1"/>
  <c r="AJ53" i="2" s="1"/>
  <c r="AK21" i="2"/>
  <c r="AK12" i="2" s="1"/>
  <c r="AK53" i="2" s="1"/>
  <c r="AG22" i="2"/>
  <c r="AH22" i="2"/>
  <c r="AI22" i="2"/>
  <c r="AJ22" i="2"/>
  <c r="AK22" i="2"/>
  <c r="AG23" i="2"/>
  <c r="AH23" i="2"/>
  <c r="AI23" i="2"/>
  <c r="AJ23" i="2"/>
  <c r="AK23" i="2"/>
  <c r="AG24" i="2"/>
  <c r="AH24" i="2"/>
  <c r="AI24" i="2"/>
  <c r="AJ24" i="2"/>
  <c r="AK24" i="2"/>
  <c r="AG25" i="2"/>
  <c r="AH25" i="2"/>
  <c r="AI25" i="2"/>
  <c r="AJ25" i="2"/>
  <c r="AK25" i="2"/>
  <c r="AG30" i="2"/>
  <c r="AH30" i="2"/>
  <c r="AI30" i="2"/>
  <c r="AJ30" i="2"/>
  <c r="AK30" i="2"/>
  <c r="AG38" i="2"/>
  <c r="AH38" i="2"/>
  <c r="AH39" i="2" s="1"/>
  <c r="AH40" i="2" s="1"/>
  <c r="AH41" i="2" s="1"/>
  <c r="AI38" i="2"/>
  <c r="AI43" i="2" s="1"/>
  <c r="AI44" i="2" s="1"/>
  <c r="AI45" i="2" s="1"/>
  <c r="AJ38" i="2"/>
  <c r="AJ39" i="2" s="1"/>
  <c r="AJ40" i="2" s="1"/>
  <c r="AJ41" i="2" s="1"/>
  <c r="AK38" i="2"/>
  <c r="AG42" i="2"/>
  <c r="AH42" i="2"/>
  <c r="AI42" i="2"/>
  <c r="AJ42" i="2"/>
  <c r="AK42" i="2"/>
  <c r="AK97" i="2" l="1"/>
  <c r="AK98" i="2" s="1"/>
  <c r="AK99" i="2" s="1"/>
  <c r="Y97" i="2"/>
  <c r="Y98" i="2" s="1"/>
  <c r="S95" i="2"/>
  <c r="S96" i="2" s="1"/>
  <c r="S97" i="2" s="1"/>
  <c r="S98" i="2" s="1"/>
  <c r="O95" i="2"/>
  <c r="O96" i="2" s="1"/>
  <c r="O97" i="2" s="1"/>
  <c r="O98" i="2" s="1"/>
  <c r="AE92" i="2"/>
  <c r="AE93" i="2" s="1"/>
  <c r="M95" i="2"/>
  <c r="M96" i="2" s="1"/>
  <c r="M97" i="2" s="1"/>
  <c r="M98" i="2" s="1"/>
  <c r="U97" i="2"/>
  <c r="U98" i="2" s="1"/>
  <c r="U180" i="2"/>
  <c r="U181" i="2" s="1"/>
  <c r="U185" i="2" s="1"/>
  <c r="U186" i="2" s="1"/>
  <c r="K92" i="2"/>
  <c r="K93" i="2" s="1"/>
  <c r="K97" i="2" s="1"/>
  <c r="K98" i="2" s="1"/>
  <c r="Z92" i="2"/>
  <c r="Z93" i="2" s="1"/>
  <c r="Z97" i="2" s="1"/>
  <c r="Z98" i="2" s="1"/>
  <c r="AI95" i="2"/>
  <c r="AI96" i="2" s="1"/>
  <c r="AI97" i="2" s="1"/>
  <c r="AI98" i="2" s="1"/>
  <c r="AI99" i="2" s="1"/>
  <c r="I95" i="2"/>
  <c r="I96" i="2" s="1"/>
  <c r="I97" i="2" s="1"/>
  <c r="I98" i="2" s="1"/>
  <c r="T95" i="2"/>
  <c r="T96" i="2" s="1"/>
  <c r="T97" i="2" s="1"/>
  <c r="T98" i="2" s="1"/>
  <c r="AG183" i="2"/>
  <c r="AG184" i="2" s="1"/>
  <c r="AG185" i="2" s="1"/>
  <c r="AG186" i="2" s="1"/>
  <c r="AG187" i="2" s="1"/>
  <c r="Q95" i="2"/>
  <c r="Q96" i="2" s="1"/>
  <c r="Q97" i="2" s="1"/>
  <c r="Q98" i="2" s="1"/>
  <c r="AG95" i="2"/>
  <c r="AG96" i="2" s="1"/>
  <c r="AG97" i="2" s="1"/>
  <c r="AG98" i="2" s="1"/>
  <c r="AG99" i="2" s="1"/>
  <c r="AF180" i="2"/>
  <c r="AF181" i="2" s="1"/>
  <c r="AF185" i="2" s="1"/>
  <c r="AF186" i="2" s="1"/>
  <c r="J180" i="2"/>
  <c r="J181" i="2" s="1"/>
  <c r="J185" i="2" s="1"/>
  <c r="J186" i="2" s="1"/>
  <c r="AA92" i="2"/>
  <c r="AA93" i="2" s="1"/>
  <c r="AA97" i="2" s="1"/>
  <c r="AA98" i="2" s="1"/>
  <c r="AD92" i="2"/>
  <c r="AD93" i="2" s="1"/>
  <c r="AD97" i="2" s="1"/>
  <c r="AD98" i="2" s="1"/>
  <c r="N120" i="2"/>
  <c r="N121" i="2" s="1"/>
  <c r="N125" i="2" s="1"/>
  <c r="N126" i="2" s="1"/>
  <c r="L180" i="2"/>
  <c r="L181" i="2" s="1"/>
  <c r="L185" i="2" s="1"/>
  <c r="L186" i="2" s="1"/>
  <c r="AE180" i="2"/>
  <c r="AE181" i="2" s="1"/>
  <c r="AE185" i="2" s="1"/>
  <c r="AE186" i="2" s="1"/>
  <c r="AB183" i="2"/>
  <c r="AB184" i="2" s="1"/>
  <c r="AB185" i="2" s="1"/>
  <c r="AB186" i="2" s="1"/>
  <c r="AH92" i="2"/>
  <c r="AB95" i="2"/>
  <c r="AB96" i="2" s="1"/>
  <c r="AB97" i="2" s="1"/>
  <c r="AB98" i="2" s="1"/>
  <c r="V92" i="2"/>
  <c r="L95" i="2"/>
  <c r="L96" i="2" s="1"/>
  <c r="L97" i="2" s="1"/>
  <c r="L98" i="2" s="1"/>
  <c r="AJ95" i="2"/>
  <c r="AJ96" i="2" s="1"/>
  <c r="AJ97" i="2" s="1"/>
  <c r="AJ98" i="2" s="1"/>
  <c r="AJ99" i="2" s="1"/>
  <c r="R92" i="2"/>
  <c r="R93" i="2" s="1"/>
  <c r="R97" i="2" s="1"/>
  <c r="R98" i="2" s="1"/>
  <c r="W92" i="2"/>
  <c r="J92" i="2"/>
  <c r="P92" i="2"/>
  <c r="P93" i="2" s="1"/>
  <c r="P95" i="2"/>
  <c r="P96" i="2" s="1"/>
  <c r="AF92" i="2"/>
  <c r="AF93" i="2" s="1"/>
  <c r="AF95" i="2"/>
  <c r="AF96" i="2" s="1"/>
  <c r="X92" i="2"/>
  <c r="X93" i="2" s="1"/>
  <c r="X95" i="2"/>
  <c r="X96" i="2" s="1"/>
  <c r="Y180" i="2"/>
  <c r="Y181" i="2" s="1"/>
  <c r="Y185" i="2" s="1"/>
  <c r="Y186" i="2" s="1"/>
  <c r="N92" i="2"/>
  <c r="AE97" i="2"/>
  <c r="AE98" i="2" s="1"/>
  <c r="AC180" i="2"/>
  <c r="AC181" i="2" s="1"/>
  <c r="AC185" i="2" s="1"/>
  <c r="AC186" i="2" s="1"/>
  <c r="Z183" i="2"/>
  <c r="Z184" i="2" s="1"/>
  <c r="Z185" i="2" s="1"/>
  <c r="Z186" i="2" s="1"/>
  <c r="W123" i="2"/>
  <c r="W124" i="2" s="1"/>
  <c r="W125" i="2" s="1"/>
  <c r="W126" i="2" s="1"/>
  <c r="M180" i="2"/>
  <c r="M181" i="2" s="1"/>
  <c r="M185" i="2" s="1"/>
  <c r="M186" i="2" s="1"/>
  <c r="AD123" i="2"/>
  <c r="AD124" i="2" s="1"/>
  <c r="AD125" i="2" s="1"/>
  <c r="AD126" i="2" s="1"/>
  <c r="O183" i="2"/>
  <c r="O184" i="2" s="1"/>
  <c r="O185" i="2" s="1"/>
  <c r="O186" i="2" s="1"/>
  <c r="Q180" i="2"/>
  <c r="Q181" i="2" s="1"/>
  <c r="Q185" i="2" s="1"/>
  <c r="Q186" i="2" s="1"/>
  <c r="S180" i="2"/>
  <c r="S181" i="2" s="1"/>
  <c r="S185" i="2" s="1"/>
  <c r="S186" i="2" s="1"/>
  <c r="I183" i="2"/>
  <c r="I184" i="2" s="1"/>
  <c r="I185" i="2" s="1"/>
  <c r="I186" i="2" s="1"/>
  <c r="P180" i="2"/>
  <c r="P181" i="2" s="1"/>
  <c r="P185" i="2" s="1"/>
  <c r="P186" i="2" s="1"/>
  <c r="AD183" i="2"/>
  <c r="AD184" i="2" s="1"/>
  <c r="AD185" i="2" s="1"/>
  <c r="AD186" i="2" s="1"/>
  <c r="AC123" i="2"/>
  <c r="AC124" i="2" s="1"/>
  <c r="AC125" i="2" s="1"/>
  <c r="AC126" i="2" s="1"/>
  <c r="H95" i="2"/>
  <c r="H96" i="2" s="1"/>
  <c r="H97" i="2" s="1"/>
  <c r="H98" i="2" s="1"/>
  <c r="AK183" i="2"/>
  <c r="AK184" i="2" s="1"/>
  <c r="AK185" i="2" s="1"/>
  <c r="AK186" i="2" s="1"/>
  <c r="AK187" i="2" s="1"/>
  <c r="M120" i="2"/>
  <c r="M121" i="2" s="1"/>
  <c r="M125" i="2" s="1"/>
  <c r="M126" i="2" s="1"/>
  <c r="O120" i="2"/>
  <c r="O121" i="2" s="1"/>
  <c r="O125" i="2" s="1"/>
  <c r="O126" i="2" s="1"/>
  <c r="W180" i="2"/>
  <c r="W181" i="2" s="1"/>
  <c r="W185" i="2" s="1"/>
  <c r="W186" i="2" s="1"/>
  <c r="V180" i="2"/>
  <c r="V181" i="2" s="1"/>
  <c r="V185" i="2" s="1"/>
  <c r="V186" i="2" s="1"/>
  <c r="X183" i="2"/>
  <c r="X184" i="2" s="1"/>
  <c r="Q120" i="2"/>
  <c r="Q121" i="2" s="1"/>
  <c r="Q125" i="2" s="1"/>
  <c r="Q126" i="2" s="1"/>
  <c r="AE123" i="2"/>
  <c r="AE124" i="2" s="1"/>
  <c r="AE125" i="2" s="1"/>
  <c r="AE126" i="2" s="1"/>
  <c r="K180" i="2"/>
  <c r="K181" i="2" s="1"/>
  <c r="K185" i="2" s="1"/>
  <c r="K186" i="2" s="1"/>
  <c r="AG120" i="2"/>
  <c r="AG121" i="2" s="1"/>
  <c r="AG125" i="2" s="1"/>
  <c r="AG126" i="2" s="1"/>
  <c r="AG127" i="2" s="1"/>
  <c r="AH183" i="2"/>
  <c r="AH184" i="2" s="1"/>
  <c r="AH185" i="2" s="1"/>
  <c r="AH186" i="2" s="1"/>
  <c r="AH187" i="2" s="1"/>
  <c r="R183" i="2"/>
  <c r="R184" i="2" s="1"/>
  <c r="R185" i="2" s="1"/>
  <c r="R186" i="2" s="1"/>
  <c r="AI180" i="2"/>
  <c r="AI181" i="2" s="1"/>
  <c r="AI185" i="2" s="1"/>
  <c r="AI186" i="2" s="1"/>
  <c r="AI187" i="2" s="1"/>
  <c r="X185" i="2"/>
  <c r="X186" i="2" s="1"/>
  <c r="N183" i="2"/>
  <c r="N184" i="2" s="1"/>
  <c r="N185" i="2" s="1"/>
  <c r="N186" i="2" s="1"/>
  <c r="AJ180" i="2"/>
  <c r="AJ181" i="2" s="1"/>
  <c r="AJ185" i="2" s="1"/>
  <c r="AJ186" i="2" s="1"/>
  <c r="AJ187" i="2" s="1"/>
  <c r="T180" i="2"/>
  <c r="T181" i="2" s="1"/>
  <c r="T185" i="2" s="1"/>
  <c r="T186" i="2" s="1"/>
  <c r="AI123" i="2"/>
  <c r="AI124" i="2" s="1"/>
  <c r="AI125" i="2" s="1"/>
  <c r="AI126" i="2" s="1"/>
  <c r="AI127" i="2" s="1"/>
  <c r="AA180" i="2"/>
  <c r="AA181" i="2" s="1"/>
  <c r="AA185" i="2" s="1"/>
  <c r="AA186" i="2" s="1"/>
  <c r="H180" i="2"/>
  <c r="H181" i="2" s="1"/>
  <c r="H185" i="2" s="1"/>
  <c r="H186" i="2" s="1"/>
  <c r="Z123" i="2"/>
  <c r="Z124" i="2" s="1"/>
  <c r="Z125" i="2" s="1"/>
  <c r="Z126" i="2" s="1"/>
  <c r="AA120" i="2"/>
  <c r="AA121" i="2" s="1"/>
  <c r="AA125" i="2" s="1"/>
  <c r="AA126" i="2" s="1"/>
  <c r="AF123" i="2"/>
  <c r="AF124" i="2" s="1"/>
  <c r="AF125" i="2" s="1"/>
  <c r="AF126" i="2" s="1"/>
  <c r="V120" i="2"/>
  <c r="V121" i="2" s="1"/>
  <c r="V125" i="2" s="1"/>
  <c r="V126" i="2" s="1"/>
  <c r="T123" i="2"/>
  <c r="T124" i="2" s="1"/>
  <c r="T125" i="2" s="1"/>
  <c r="T126" i="2" s="1"/>
  <c r="J123" i="2"/>
  <c r="J124" i="2" s="1"/>
  <c r="J125" i="2" s="1"/>
  <c r="J126" i="2" s="1"/>
  <c r="K123" i="2"/>
  <c r="K124" i="2" s="1"/>
  <c r="K125" i="2" s="1"/>
  <c r="K126" i="2" s="1"/>
  <c r="AJ120" i="2"/>
  <c r="AJ121" i="2" s="1"/>
  <c r="AJ125" i="2" s="1"/>
  <c r="AJ126" i="2" s="1"/>
  <c r="AJ127" i="2" s="1"/>
  <c r="X120" i="2"/>
  <c r="X121" i="2" s="1"/>
  <c r="X125" i="2" s="1"/>
  <c r="X126" i="2" s="1"/>
  <c r="AK120" i="2"/>
  <c r="AK121" i="2" s="1"/>
  <c r="AK125" i="2" s="1"/>
  <c r="AK126" i="2" s="1"/>
  <c r="AK127" i="2" s="1"/>
  <c r="U120" i="2"/>
  <c r="U121" i="2" s="1"/>
  <c r="U125" i="2" s="1"/>
  <c r="U126" i="2" s="1"/>
  <c r="R123" i="2"/>
  <c r="R124" i="2" s="1"/>
  <c r="R125" i="2" s="1"/>
  <c r="R126" i="2" s="1"/>
  <c r="H120" i="2"/>
  <c r="H121" i="2" s="1"/>
  <c r="H125" i="2" s="1"/>
  <c r="H126" i="2" s="1"/>
  <c r="AH123" i="2"/>
  <c r="AH124" i="2" s="1"/>
  <c r="AH125" i="2" s="1"/>
  <c r="AH126" i="2" s="1"/>
  <c r="AH127" i="2" s="1"/>
  <c r="S123" i="2"/>
  <c r="S124" i="2" s="1"/>
  <c r="S125" i="2" s="1"/>
  <c r="S126" i="2" s="1"/>
  <c r="L123" i="2"/>
  <c r="L124" i="2" s="1"/>
  <c r="L125" i="2" s="1"/>
  <c r="L126" i="2" s="1"/>
  <c r="AB120" i="2"/>
  <c r="AB121" i="2" s="1"/>
  <c r="AB125" i="2" s="1"/>
  <c r="AB126" i="2" s="1"/>
  <c r="Y120" i="2"/>
  <c r="Y121" i="2" s="1"/>
  <c r="Y125" i="2" s="1"/>
  <c r="Y126" i="2" s="1"/>
  <c r="I120" i="2"/>
  <c r="I121" i="2" s="1"/>
  <c r="I125" i="2" s="1"/>
  <c r="I126" i="2" s="1"/>
  <c r="P120" i="2"/>
  <c r="P121" i="2" s="1"/>
  <c r="P125" i="2" s="1"/>
  <c r="P126" i="2" s="1"/>
  <c r="X155" i="2"/>
  <c r="X156" i="2" s="1"/>
  <c r="X157" i="2" s="1"/>
  <c r="X158" i="2" s="1"/>
  <c r="AG155" i="2"/>
  <c r="AG156" i="2" s="1"/>
  <c r="AG157" i="2" s="1"/>
  <c r="AG158" i="2" s="1"/>
  <c r="AG159" i="2" s="1"/>
  <c r="AE155" i="2"/>
  <c r="AE156" i="2" s="1"/>
  <c r="AE157" i="2" s="1"/>
  <c r="AE158" i="2" s="1"/>
  <c r="V152" i="2"/>
  <c r="V153" i="2" s="1"/>
  <c r="V157" i="2" s="1"/>
  <c r="V158" i="2" s="1"/>
  <c r="L152" i="2"/>
  <c r="L153" i="2" s="1"/>
  <c r="L157" i="2" s="1"/>
  <c r="L158" i="2" s="1"/>
  <c r="AB152" i="2"/>
  <c r="AB153" i="2" s="1"/>
  <c r="AB157" i="2" s="1"/>
  <c r="AB158" i="2" s="1"/>
  <c r="I152" i="2"/>
  <c r="I153" i="2" s="1"/>
  <c r="I157" i="2" s="1"/>
  <c r="I158" i="2" s="1"/>
  <c r="Z152" i="2"/>
  <c r="Z153" i="2" s="1"/>
  <c r="Z157" i="2" s="1"/>
  <c r="Z158" i="2" s="1"/>
  <c r="Y155" i="2"/>
  <c r="Y156" i="2" s="1"/>
  <c r="Y157" i="2" s="1"/>
  <c r="Y158" i="2" s="1"/>
  <c r="K152" i="2"/>
  <c r="K153" i="2" s="1"/>
  <c r="K157" i="2" s="1"/>
  <c r="K158" i="2" s="1"/>
  <c r="AI155" i="2"/>
  <c r="AI156" i="2" s="1"/>
  <c r="AI157" i="2" s="1"/>
  <c r="AI158" i="2" s="1"/>
  <c r="AI159" i="2" s="1"/>
  <c r="AD152" i="2"/>
  <c r="AD153" i="2" s="1"/>
  <c r="AD157" i="2" s="1"/>
  <c r="AD158" i="2" s="1"/>
  <c r="P152" i="2"/>
  <c r="P153" i="2" s="1"/>
  <c r="P157" i="2" s="1"/>
  <c r="P158" i="2" s="1"/>
  <c r="AF152" i="2"/>
  <c r="AF153" i="2" s="1"/>
  <c r="AF157" i="2" s="1"/>
  <c r="AF158" i="2" s="1"/>
  <c r="W152" i="2"/>
  <c r="W153" i="2" s="1"/>
  <c r="W157" i="2" s="1"/>
  <c r="W158" i="2" s="1"/>
  <c r="AJ152" i="2"/>
  <c r="AJ153" i="2" s="1"/>
  <c r="AJ157" i="2" s="1"/>
  <c r="AJ158" i="2" s="1"/>
  <c r="AJ159" i="2" s="1"/>
  <c r="AA152" i="2"/>
  <c r="AA153" i="2" s="1"/>
  <c r="AA157" i="2" s="1"/>
  <c r="AA158" i="2" s="1"/>
  <c r="T152" i="2"/>
  <c r="T153" i="2" s="1"/>
  <c r="T157" i="2" s="1"/>
  <c r="T158" i="2" s="1"/>
  <c r="S155" i="2"/>
  <c r="S156" i="2" s="1"/>
  <c r="S157" i="2" s="1"/>
  <c r="S158" i="2" s="1"/>
  <c r="O152" i="2"/>
  <c r="O153" i="2" s="1"/>
  <c r="O157" i="2" s="1"/>
  <c r="O158" i="2" s="1"/>
  <c r="J152" i="2"/>
  <c r="J153" i="2" s="1"/>
  <c r="J157" i="2" s="1"/>
  <c r="J158" i="2" s="1"/>
  <c r="AK155" i="2"/>
  <c r="AK156" i="2" s="1"/>
  <c r="AK157" i="2" s="1"/>
  <c r="AK158" i="2" s="1"/>
  <c r="AK159" i="2" s="1"/>
  <c r="H155" i="2"/>
  <c r="H156" i="2" s="1"/>
  <c r="H157" i="2" s="1"/>
  <c r="H158" i="2" s="1"/>
  <c r="AC155" i="2"/>
  <c r="AC156" i="2" s="1"/>
  <c r="AC157" i="2" s="1"/>
  <c r="AC158" i="2" s="1"/>
  <c r="N152" i="2"/>
  <c r="N153" i="2" s="1"/>
  <c r="N157" i="2" s="1"/>
  <c r="N158" i="2" s="1"/>
  <c r="AH152" i="2"/>
  <c r="AH153" i="2" s="1"/>
  <c r="AH157" i="2" s="1"/>
  <c r="AH158" i="2" s="1"/>
  <c r="AH159" i="2" s="1"/>
  <c r="U155" i="2"/>
  <c r="U156" i="2" s="1"/>
  <c r="U157" i="2" s="1"/>
  <c r="U158" i="2" s="1"/>
  <c r="Q152" i="2"/>
  <c r="Q153" i="2" s="1"/>
  <c r="Q157" i="2" s="1"/>
  <c r="Q158" i="2" s="1"/>
  <c r="R152" i="2"/>
  <c r="R153" i="2" s="1"/>
  <c r="R157" i="2" s="1"/>
  <c r="R158" i="2" s="1"/>
  <c r="M152" i="2"/>
  <c r="M153" i="2" s="1"/>
  <c r="M155" i="2"/>
  <c r="M156" i="2" s="1"/>
  <c r="AJ164" i="2"/>
  <c r="AJ104" i="2"/>
  <c r="AI104" i="2"/>
  <c r="AI164" i="2"/>
  <c r="AH104" i="2"/>
  <c r="AH164" i="2"/>
  <c r="AK164" i="2"/>
  <c r="AK104" i="2"/>
  <c r="AG164" i="2"/>
  <c r="AG104" i="2"/>
  <c r="AJ43" i="2"/>
  <c r="AJ44" i="2" s="1"/>
  <c r="AJ45" i="2" s="1"/>
  <c r="AH26" i="2"/>
  <c r="AH34" i="2" s="1"/>
  <c r="AJ26" i="2"/>
  <c r="AJ34" i="2" s="1"/>
  <c r="AK26" i="2"/>
  <c r="AK34" i="2" s="1"/>
  <c r="AG26" i="2"/>
  <c r="AG34" i="2" s="1"/>
  <c r="AI39" i="2"/>
  <c r="AI26" i="2"/>
  <c r="AI34" i="2" s="1"/>
  <c r="AI32" i="2"/>
  <c r="AJ32" i="2"/>
  <c r="AK32" i="2"/>
  <c r="AG32" i="2"/>
  <c r="AH32" i="2"/>
  <c r="AK39" i="2"/>
  <c r="AK43" i="2"/>
  <c r="AK44" i="2" s="1"/>
  <c r="AK45" i="2" s="1"/>
  <c r="AG39" i="2"/>
  <c r="AG43" i="2"/>
  <c r="AG44" i="2" s="1"/>
  <c r="AG45" i="2" s="1"/>
  <c r="AH43" i="2"/>
  <c r="AH44" i="2" s="1"/>
  <c r="AH45" i="2" s="1"/>
  <c r="AH46" i="2" s="1"/>
  <c r="R21" i="2"/>
  <c r="R12" i="2" s="1"/>
  <c r="R53" i="2" s="1"/>
  <c r="S21" i="2"/>
  <c r="S12" i="2" s="1"/>
  <c r="S53" i="2" s="1"/>
  <c r="T21" i="2"/>
  <c r="T12" i="2" s="1"/>
  <c r="T53" i="2" s="1"/>
  <c r="U21" i="2"/>
  <c r="U12" i="2" s="1"/>
  <c r="U53" i="2" s="1"/>
  <c r="V21" i="2"/>
  <c r="V12" i="2" s="1"/>
  <c r="V53" i="2" s="1"/>
  <c r="W21" i="2"/>
  <c r="W12" i="2" s="1"/>
  <c r="W53" i="2" s="1"/>
  <c r="X21" i="2"/>
  <c r="X12" i="2" s="1"/>
  <c r="X53" i="2" s="1"/>
  <c r="Y21" i="2"/>
  <c r="Y12" i="2" s="1"/>
  <c r="Y53" i="2" s="1"/>
  <c r="Z21" i="2"/>
  <c r="Z12" i="2" s="1"/>
  <c r="Z53" i="2" s="1"/>
  <c r="AA21" i="2"/>
  <c r="AA12" i="2" s="1"/>
  <c r="AA53" i="2" s="1"/>
  <c r="AB21" i="2"/>
  <c r="AB12" i="2" s="1"/>
  <c r="AB53" i="2" s="1"/>
  <c r="AC21" i="2"/>
  <c r="AC12" i="2" s="1"/>
  <c r="AC53" i="2" s="1"/>
  <c r="AD21" i="2"/>
  <c r="AD12" i="2" s="1"/>
  <c r="AD53" i="2" s="1"/>
  <c r="AE21" i="2"/>
  <c r="AE12" i="2" s="1"/>
  <c r="AE53" i="2" s="1"/>
  <c r="AF21" i="2"/>
  <c r="AF12" i="2" s="1"/>
  <c r="AF53" i="2" s="1"/>
  <c r="R22" i="2"/>
  <c r="S22" i="2"/>
  <c r="T22" i="2"/>
  <c r="U22" i="2"/>
  <c r="V22" i="2"/>
  <c r="W22" i="2"/>
  <c r="X22" i="2"/>
  <c r="Y22" i="2"/>
  <c r="Z22" i="2"/>
  <c r="AA22" i="2"/>
  <c r="AB22" i="2"/>
  <c r="AC22" i="2"/>
  <c r="AD22" i="2"/>
  <c r="AE22" i="2"/>
  <c r="AF22" i="2"/>
  <c r="R23" i="2"/>
  <c r="S23" i="2"/>
  <c r="T23" i="2"/>
  <c r="U23" i="2"/>
  <c r="V23" i="2"/>
  <c r="W23" i="2"/>
  <c r="X23" i="2"/>
  <c r="Y23" i="2"/>
  <c r="Z23" i="2"/>
  <c r="AA23" i="2"/>
  <c r="AB23" i="2"/>
  <c r="AC23" i="2"/>
  <c r="AD23" i="2"/>
  <c r="AE23" i="2"/>
  <c r="AF23" i="2"/>
  <c r="R24" i="2"/>
  <c r="S24" i="2"/>
  <c r="T24" i="2"/>
  <c r="U24" i="2"/>
  <c r="V24" i="2"/>
  <c r="W24" i="2"/>
  <c r="X24" i="2"/>
  <c r="Y24" i="2"/>
  <c r="Z24" i="2"/>
  <c r="AA24" i="2"/>
  <c r="AB24" i="2"/>
  <c r="AC24" i="2"/>
  <c r="AD24" i="2"/>
  <c r="AE24" i="2"/>
  <c r="AF24" i="2"/>
  <c r="R25" i="2"/>
  <c r="S25" i="2"/>
  <c r="T25" i="2"/>
  <c r="U25" i="2"/>
  <c r="V25" i="2"/>
  <c r="W25" i="2"/>
  <c r="X25" i="2"/>
  <c r="Y25" i="2"/>
  <c r="Z25" i="2"/>
  <c r="AA25" i="2"/>
  <c r="AB25" i="2"/>
  <c r="AC25" i="2"/>
  <c r="AD25" i="2"/>
  <c r="AE25" i="2"/>
  <c r="AF25" i="2"/>
  <c r="R30" i="2"/>
  <c r="S30" i="2"/>
  <c r="T30" i="2"/>
  <c r="U30" i="2"/>
  <c r="V30" i="2"/>
  <c r="W30" i="2"/>
  <c r="X30" i="2"/>
  <c r="Y30" i="2"/>
  <c r="Z30" i="2"/>
  <c r="AA30" i="2"/>
  <c r="AB30" i="2"/>
  <c r="AC30" i="2"/>
  <c r="AD30" i="2"/>
  <c r="AE30" i="2"/>
  <c r="AF30" i="2"/>
  <c r="R38" i="2"/>
  <c r="R39" i="2" s="1"/>
  <c r="S38" i="2"/>
  <c r="T38" i="2"/>
  <c r="T39" i="2" s="1"/>
  <c r="U38" i="2"/>
  <c r="U39" i="2" s="1"/>
  <c r="V38" i="2"/>
  <c r="V39" i="2" s="1"/>
  <c r="W38" i="2"/>
  <c r="X38" i="2"/>
  <c r="X39" i="2" s="1"/>
  <c r="Y38" i="2"/>
  <c r="Y39" i="2" s="1"/>
  <c r="Z38" i="2"/>
  <c r="Z39" i="2" s="1"/>
  <c r="AA38" i="2"/>
  <c r="AB38" i="2"/>
  <c r="AB43" i="2" s="1"/>
  <c r="AB44" i="2" s="1"/>
  <c r="AB45" i="2" s="1"/>
  <c r="AC38" i="2"/>
  <c r="AD38" i="2"/>
  <c r="AD39" i="2" s="1"/>
  <c r="AE38" i="2"/>
  <c r="AF38" i="2"/>
  <c r="AF43" i="2" s="1"/>
  <c r="AF44" i="2" s="1"/>
  <c r="AF45" i="2" s="1"/>
  <c r="R42" i="2"/>
  <c r="S42" i="2"/>
  <c r="T42" i="2"/>
  <c r="U42" i="2"/>
  <c r="V42" i="2"/>
  <c r="W42" i="2"/>
  <c r="X42" i="2"/>
  <c r="Y42" i="2"/>
  <c r="Z42" i="2"/>
  <c r="AA42" i="2"/>
  <c r="AB42" i="2"/>
  <c r="AC42" i="2"/>
  <c r="AD42" i="2"/>
  <c r="AE42" i="2"/>
  <c r="AF42" i="2"/>
  <c r="V1" i="2"/>
  <c r="W1" i="2" s="1"/>
  <c r="X1" i="2" s="1"/>
  <c r="Y1" i="2" s="1"/>
  <c r="Z1" i="2" s="1"/>
  <c r="AA1" i="2" s="1"/>
  <c r="AB1" i="2" s="1"/>
  <c r="AC1" i="2" s="1"/>
  <c r="AD1" i="2" s="1"/>
  <c r="AE1" i="2" s="1"/>
  <c r="AF1" i="2" s="1"/>
  <c r="AG1" i="2" s="1"/>
  <c r="AH1" i="2" s="1"/>
  <c r="AI1" i="2" s="1"/>
  <c r="AJ1" i="2" s="1"/>
  <c r="AK1" i="2" s="1"/>
  <c r="R2" i="2"/>
  <c r="S2" i="2" s="1"/>
  <c r="T2" i="2" s="1"/>
  <c r="U2" i="2" s="1"/>
  <c r="V2" i="2" s="1"/>
  <c r="W2" i="2" s="1"/>
  <c r="X2" i="2" s="1"/>
  <c r="Y2" i="2" s="1"/>
  <c r="Z2" i="2" s="1"/>
  <c r="AA2" i="2" s="1"/>
  <c r="AB2" i="2" s="1"/>
  <c r="AC2" i="2" s="1"/>
  <c r="AD2" i="2" s="1"/>
  <c r="AE2" i="2" s="1"/>
  <c r="AF2" i="2" s="1"/>
  <c r="AG2" i="2" s="1"/>
  <c r="AH2" i="2" s="1"/>
  <c r="AI2" i="2" s="1"/>
  <c r="AJ2" i="2" s="1"/>
  <c r="AK2" i="2" s="1"/>
  <c r="AH93" i="2" l="1"/>
  <c r="AH97" i="2" s="1"/>
  <c r="AH98" i="2" s="1"/>
  <c r="AH99" i="2" s="1"/>
  <c r="J93" i="2"/>
  <c r="J97" i="2" s="1"/>
  <c r="J98" i="2" s="1"/>
  <c r="N93" i="2"/>
  <c r="N97" i="2" s="1"/>
  <c r="N98" i="2" s="1"/>
  <c r="W93" i="2"/>
  <c r="W97" i="2" s="1"/>
  <c r="W98" i="2" s="1"/>
  <c r="V93" i="2"/>
  <c r="V97" i="2" s="1"/>
  <c r="V98" i="2" s="1"/>
  <c r="P97" i="2"/>
  <c r="P98" i="2" s="1"/>
  <c r="AF97" i="2"/>
  <c r="AF98" i="2" s="1"/>
  <c r="X97" i="2"/>
  <c r="X98" i="2" s="1"/>
  <c r="Y40" i="2"/>
  <c r="Y41" i="2" s="1"/>
  <c r="AG40" i="2"/>
  <c r="AG41" i="2" s="1"/>
  <c r="AG46" i="2" s="1"/>
  <c r="AK40" i="2"/>
  <c r="AK41" i="2" s="1"/>
  <c r="AK46" i="2" s="1"/>
  <c r="AJ46" i="2"/>
  <c r="U40" i="2"/>
  <c r="U41" i="2" s="1"/>
  <c r="X40" i="2"/>
  <c r="X41" i="2" s="1"/>
  <c r="T40" i="2"/>
  <c r="T41" i="2" s="1"/>
  <c r="AI40" i="2"/>
  <c r="AI41" i="2" s="1"/>
  <c r="AI46" i="2" s="1"/>
  <c r="AD40" i="2"/>
  <c r="AD41" i="2" s="1"/>
  <c r="Z40" i="2"/>
  <c r="Z41" i="2" s="1"/>
  <c r="V40" i="2"/>
  <c r="V41" i="2" s="1"/>
  <c r="R40" i="2"/>
  <c r="R41" i="2" s="1"/>
  <c r="M157" i="2"/>
  <c r="M158" i="2" s="1"/>
  <c r="AE164" i="2"/>
  <c r="AE104" i="2"/>
  <c r="W164" i="2"/>
  <c r="W104" i="2"/>
  <c r="S104" i="2"/>
  <c r="S164" i="2"/>
  <c r="AD104" i="2"/>
  <c r="AD164" i="2"/>
  <c r="Z104" i="2"/>
  <c r="Z164" i="2"/>
  <c r="V104" i="2"/>
  <c r="V164" i="2"/>
  <c r="R104" i="2"/>
  <c r="R164" i="2"/>
  <c r="AG105" i="2"/>
  <c r="AG113" i="2"/>
  <c r="AK165" i="2"/>
  <c r="AK173" i="2"/>
  <c r="AH165" i="2"/>
  <c r="AH173" i="2"/>
  <c r="AF164" i="2"/>
  <c r="AF104" i="2"/>
  <c r="AB164" i="2"/>
  <c r="AB104" i="2"/>
  <c r="X164" i="2"/>
  <c r="X104" i="2"/>
  <c r="T164" i="2"/>
  <c r="T104" i="2"/>
  <c r="AK105" i="2"/>
  <c r="AK113" i="2"/>
  <c r="AH105" i="2"/>
  <c r="AH113" i="2"/>
  <c r="AI165" i="2"/>
  <c r="AI173" i="2"/>
  <c r="AJ105" i="2"/>
  <c r="AJ113" i="2"/>
  <c r="AA164" i="2"/>
  <c r="AA104" i="2"/>
  <c r="AJ165" i="2"/>
  <c r="AJ173" i="2"/>
  <c r="AC164" i="2"/>
  <c r="AC104" i="2"/>
  <c r="Y164" i="2"/>
  <c r="Y104" i="2"/>
  <c r="U164" i="2"/>
  <c r="U104" i="2"/>
  <c r="AG165" i="2"/>
  <c r="AG173" i="2"/>
  <c r="AI105" i="2"/>
  <c r="AI113" i="2"/>
  <c r="V43" i="2"/>
  <c r="V44" i="2" s="1"/>
  <c r="V45" i="2" s="1"/>
  <c r="T43" i="2"/>
  <c r="T44" i="2" s="1"/>
  <c r="T45" i="2" s="1"/>
  <c r="V26" i="2"/>
  <c r="V34" i="2" s="1"/>
  <c r="AD43" i="2"/>
  <c r="AD44" i="2" s="1"/>
  <c r="AD45" i="2" s="1"/>
  <c r="AA32" i="2"/>
  <c r="Y43" i="2"/>
  <c r="Y44" i="2" s="1"/>
  <c r="Y45" i="2" s="1"/>
  <c r="Z43" i="2"/>
  <c r="Z44" i="2" s="1"/>
  <c r="Z45" i="2" s="1"/>
  <c r="R43" i="2"/>
  <c r="R44" i="2" s="1"/>
  <c r="R45" i="2" s="1"/>
  <c r="AF39" i="2"/>
  <c r="S32" i="2"/>
  <c r="Z26" i="2"/>
  <c r="Z34" i="2" s="1"/>
  <c r="S26" i="2"/>
  <c r="S34" i="2" s="1"/>
  <c r="AD26" i="2"/>
  <c r="AD34" i="2" s="1"/>
  <c r="R26" i="2"/>
  <c r="R34" i="2" s="1"/>
  <c r="AB39" i="2"/>
  <c r="X43" i="2"/>
  <c r="X44" i="2" s="1"/>
  <c r="X45" i="2" s="1"/>
  <c r="V32" i="2"/>
  <c r="U26" i="2"/>
  <c r="AC43" i="2"/>
  <c r="AC44" i="2" s="1"/>
  <c r="AC45" i="2" s="1"/>
  <c r="AC39" i="2"/>
  <c r="U43" i="2"/>
  <c r="U44" i="2" s="1"/>
  <c r="U45" i="2" s="1"/>
  <c r="R32" i="2"/>
  <c r="AD32" i="2"/>
  <c r="Z32" i="2"/>
  <c r="AF26" i="2"/>
  <c r="AF34" i="2" s="1"/>
  <c r="AB26" i="2"/>
  <c r="AB34" i="2" s="1"/>
  <c r="X26" i="2"/>
  <c r="X34" i="2" s="1"/>
  <c r="T26" i="2"/>
  <c r="T34" i="2" s="1"/>
  <c r="AF32" i="2"/>
  <c r="AB32" i="2"/>
  <c r="X32" i="2"/>
  <c r="T32" i="2"/>
  <c r="AC26" i="2"/>
  <c r="AA26" i="2"/>
  <c r="Y26" i="2"/>
  <c r="AE26" i="2"/>
  <c r="W26" i="2"/>
  <c r="AE39" i="2"/>
  <c r="AE43" i="2"/>
  <c r="AE44" i="2" s="1"/>
  <c r="AE45" i="2" s="1"/>
  <c r="AA39" i="2"/>
  <c r="AA43" i="2"/>
  <c r="AA44" i="2" s="1"/>
  <c r="AA45" i="2" s="1"/>
  <c r="W39" i="2"/>
  <c r="W43" i="2"/>
  <c r="W44" i="2" s="1"/>
  <c r="W45" i="2" s="1"/>
  <c r="S39" i="2"/>
  <c r="S43" i="2"/>
  <c r="S44" i="2" s="1"/>
  <c r="S45" i="2" s="1"/>
  <c r="AC32" i="2"/>
  <c r="Y32" i="2"/>
  <c r="U32" i="2"/>
  <c r="AE32" i="2"/>
  <c r="W32" i="2"/>
  <c r="I22" i="2"/>
  <c r="J22" i="2"/>
  <c r="K22" i="2"/>
  <c r="L22" i="2"/>
  <c r="M22" i="2"/>
  <c r="N22" i="2"/>
  <c r="O22" i="2"/>
  <c r="P22" i="2"/>
  <c r="Q22" i="2"/>
  <c r="H22" i="2"/>
  <c r="H23" i="2"/>
  <c r="R46" i="2" l="1"/>
  <c r="X46" i="2"/>
  <c r="T46" i="2"/>
  <c r="Z46" i="2"/>
  <c r="Y46" i="2"/>
  <c r="U46" i="2"/>
  <c r="S40" i="2"/>
  <c r="S41" i="2" s="1"/>
  <c r="S46" i="2" s="1"/>
  <c r="AC40" i="2"/>
  <c r="AC41" i="2" s="1"/>
  <c r="AB40" i="2"/>
  <c r="AB41" i="2" s="1"/>
  <c r="AB46" i="2" s="1"/>
  <c r="AD46" i="2"/>
  <c r="V46" i="2"/>
  <c r="AA40" i="2"/>
  <c r="AA41" i="2" s="1"/>
  <c r="AA46" i="2" s="1"/>
  <c r="W40" i="2"/>
  <c r="W41" i="2" s="1"/>
  <c r="W46" i="2" s="1"/>
  <c r="AE40" i="2"/>
  <c r="AE41" i="2" s="1"/>
  <c r="AF40" i="2"/>
  <c r="AF41" i="2" s="1"/>
  <c r="AF46" i="2" s="1"/>
  <c r="Y173" i="2"/>
  <c r="Y165" i="2"/>
  <c r="AC105" i="2"/>
  <c r="AC113" i="2"/>
  <c r="AJ166" i="2"/>
  <c r="AJ167" i="2" s="1"/>
  <c r="AJ168" i="2" s="1"/>
  <c r="AJ169" i="2"/>
  <c r="AJ170" i="2" s="1"/>
  <c r="AI166" i="2"/>
  <c r="AI167" i="2" s="1"/>
  <c r="AI168" i="2" s="1"/>
  <c r="AI169" i="2"/>
  <c r="AI170" i="2" s="1"/>
  <c r="AK106" i="2"/>
  <c r="AK107" i="2" s="1"/>
  <c r="AK108" i="2" s="1"/>
  <c r="AK109" i="2"/>
  <c r="AK110" i="2" s="1"/>
  <c r="AK111" i="2" s="1"/>
  <c r="T165" i="2"/>
  <c r="T173" i="2"/>
  <c r="X165" i="2"/>
  <c r="X173" i="2"/>
  <c r="AB165" i="2"/>
  <c r="AB173" i="2"/>
  <c r="AF165" i="2"/>
  <c r="AF173" i="2"/>
  <c r="AK166" i="2"/>
  <c r="AK167" i="2" s="1"/>
  <c r="AK168" i="2" s="1"/>
  <c r="AK169" i="2"/>
  <c r="AK170" i="2" s="1"/>
  <c r="AK171" i="2" s="1"/>
  <c r="AD165" i="2"/>
  <c r="AD173" i="2"/>
  <c r="AE105" i="2"/>
  <c r="AE113" i="2"/>
  <c r="U105" i="2"/>
  <c r="U113" i="2"/>
  <c r="AC165" i="2"/>
  <c r="AC173" i="2"/>
  <c r="AA105" i="2"/>
  <c r="AA113" i="2"/>
  <c r="AB105" i="2"/>
  <c r="AB113" i="2"/>
  <c r="R105" i="2"/>
  <c r="R113" i="2"/>
  <c r="V165" i="2"/>
  <c r="V173" i="2"/>
  <c r="Z105" i="2"/>
  <c r="Z113" i="2"/>
  <c r="S105" i="2"/>
  <c r="S113" i="2"/>
  <c r="W165" i="2"/>
  <c r="W173" i="2"/>
  <c r="AE165" i="2"/>
  <c r="AE173" i="2"/>
  <c r="Y113" i="2"/>
  <c r="Y105" i="2"/>
  <c r="AA165" i="2"/>
  <c r="AA173" i="2"/>
  <c r="AJ106" i="2"/>
  <c r="AJ107" i="2" s="1"/>
  <c r="AJ108" i="2" s="1"/>
  <c r="AJ109" i="2"/>
  <c r="AJ110" i="2" s="1"/>
  <c r="AJ111" i="2" s="1"/>
  <c r="AH106" i="2"/>
  <c r="AH107" i="2" s="1"/>
  <c r="AH108" i="2" s="1"/>
  <c r="AH109" i="2"/>
  <c r="AH110" i="2" s="1"/>
  <c r="AH111" i="2" s="1"/>
  <c r="X105" i="2"/>
  <c r="X113" i="2"/>
  <c r="AF105" i="2"/>
  <c r="AF113" i="2"/>
  <c r="AH166" i="2"/>
  <c r="AH167" i="2" s="1"/>
  <c r="AH168" i="2" s="1"/>
  <c r="AH169" i="2"/>
  <c r="AH170" i="2" s="1"/>
  <c r="AG109" i="2"/>
  <c r="AG110" i="2" s="1"/>
  <c r="AG111" i="2" s="1"/>
  <c r="AG106" i="2"/>
  <c r="AG107" i="2" s="1"/>
  <c r="AG108" i="2" s="1"/>
  <c r="AD105" i="2"/>
  <c r="AD113" i="2"/>
  <c r="S165" i="2"/>
  <c r="S173" i="2"/>
  <c r="AI106" i="2"/>
  <c r="AI107" i="2" s="1"/>
  <c r="AI108" i="2" s="1"/>
  <c r="AI109" i="2"/>
  <c r="AI110" i="2" s="1"/>
  <c r="AI111" i="2" s="1"/>
  <c r="AG169" i="2"/>
  <c r="AG170" i="2" s="1"/>
  <c r="AG166" i="2"/>
  <c r="AG167" i="2" s="1"/>
  <c r="AG168" i="2" s="1"/>
  <c r="U165" i="2"/>
  <c r="U173" i="2"/>
  <c r="T113" i="2"/>
  <c r="T105" i="2"/>
  <c r="R165" i="2"/>
  <c r="R173" i="2"/>
  <c r="V105" i="2"/>
  <c r="V113" i="2"/>
  <c r="Z165" i="2"/>
  <c r="Z173" i="2"/>
  <c r="W105" i="2"/>
  <c r="W113" i="2"/>
  <c r="AC46" i="2"/>
  <c r="AH14" i="2"/>
  <c r="AJ17" i="2"/>
  <c r="AI18" i="2"/>
  <c r="AI14" i="2"/>
  <c r="AG17" i="2"/>
  <c r="AK17" i="2"/>
  <c r="AJ18" i="2"/>
  <c r="AJ14" i="2"/>
  <c r="AH17" i="2"/>
  <c r="AG18" i="2"/>
  <c r="AK18" i="2"/>
  <c r="AK14" i="2"/>
  <c r="AH18" i="2"/>
  <c r="AI17" i="2"/>
  <c r="AG14" i="2"/>
  <c r="U34" i="2"/>
  <c r="AE46" i="2"/>
  <c r="W34" i="2"/>
  <c r="AA34" i="2"/>
  <c r="AE34" i="2"/>
  <c r="Y34" i="2"/>
  <c r="AC34" i="2"/>
  <c r="C40" i="2"/>
  <c r="I21" i="2"/>
  <c r="I12" i="2" s="1"/>
  <c r="I53" i="2" s="1"/>
  <c r="J21" i="2"/>
  <c r="J12" i="2" s="1"/>
  <c r="J53" i="2" s="1"/>
  <c r="K21" i="2"/>
  <c r="K12" i="2" s="1"/>
  <c r="K53" i="2" s="1"/>
  <c r="L21" i="2"/>
  <c r="L12" i="2" s="1"/>
  <c r="L53" i="2" s="1"/>
  <c r="M21" i="2"/>
  <c r="M12" i="2" s="1"/>
  <c r="M53" i="2" s="1"/>
  <c r="N21" i="2"/>
  <c r="N12" i="2" s="1"/>
  <c r="N53" i="2" s="1"/>
  <c r="O21" i="2"/>
  <c r="O12" i="2" s="1"/>
  <c r="O53" i="2" s="1"/>
  <c r="P21" i="2"/>
  <c r="P12" i="2" s="1"/>
  <c r="P53" i="2" s="1"/>
  <c r="Q21" i="2"/>
  <c r="Q12" i="2" s="1"/>
  <c r="Q53" i="2" s="1"/>
  <c r="I23" i="2"/>
  <c r="J23" i="2"/>
  <c r="K23" i="2"/>
  <c r="L23" i="2"/>
  <c r="M23" i="2"/>
  <c r="N23" i="2"/>
  <c r="O23" i="2"/>
  <c r="P23" i="2"/>
  <c r="Q23" i="2"/>
  <c r="I24" i="2"/>
  <c r="J24" i="2"/>
  <c r="K24" i="2"/>
  <c r="L24" i="2"/>
  <c r="M24" i="2"/>
  <c r="N24" i="2"/>
  <c r="O24" i="2"/>
  <c r="P24" i="2"/>
  <c r="Q24" i="2"/>
  <c r="I25" i="2"/>
  <c r="J25" i="2"/>
  <c r="K25" i="2"/>
  <c r="L25" i="2"/>
  <c r="M25" i="2"/>
  <c r="N25" i="2"/>
  <c r="O25" i="2"/>
  <c r="P25" i="2"/>
  <c r="Q25" i="2"/>
  <c r="I30" i="2"/>
  <c r="J30" i="2"/>
  <c r="K30" i="2"/>
  <c r="L30" i="2"/>
  <c r="M30" i="2"/>
  <c r="N30" i="2"/>
  <c r="O30" i="2"/>
  <c r="P30" i="2"/>
  <c r="Q30" i="2"/>
  <c r="I38" i="2"/>
  <c r="I39" i="2" s="1"/>
  <c r="J38" i="2"/>
  <c r="J43" i="2" s="1"/>
  <c r="J44" i="2" s="1"/>
  <c r="J45" i="2" s="1"/>
  <c r="K38" i="2"/>
  <c r="L38" i="2"/>
  <c r="L39" i="2" s="1"/>
  <c r="M38" i="2"/>
  <c r="M43" i="2" s="1"/>
  <c r="M44" i="2" s="1"/>
  <c r="M45" i="2" s="1"/>
  <c r="N38" i="2"/>
  <c r="N39" i="2" s="1"/>
  <c r="O38" i="2"/>
  <c r="P38" i="2"/>
  <c r="P43" i="2" s="1"/>
  <c r="P44" i="2" s="1"/>
  <c r="P45" i="2" s="1"/>
  <c r="Q38" i="2"/>
  <c r="Q43" i="2" s="1"/>
  <c r="Q44" i="2" s="1"/>
  <c r="Q45" i="2" s="1"/>
  <c r="I42" i="2"/>
  <c r="J42" i="2"/>
  <c r="K42" i="2"/>
  <c r="L42" i="2"/>
  <c r="M42" i="2"/>
  <c r="N42" i="2"/>
  <c r="O42" i="2"/>
  <c r="P42" i="2"/>
  <c r="Q42" i="2"/>
  <c r="H14" i="2" l="1"/>
  <c r="H15" i="2" s="1"/>
  <c r="AI171" i="2"/>
  <c r="AG171" i="2"/>
  <c r="AH171" i="2"/>
  <c r="AJ171" i="2"/>
  <c r="AJ172" i="2" s="1"/>
  <c r="AJ174" i="2" s="1"/>
  <c r="N40" i="2"/>
  <c r="N41" i="2" s="1"/>
  <c r="I40" i="2"/>
  <c r="I41" i="2" s="1"/>
  <c r="L40" i="2"/>
  <c r="L41" i="2" s="1"/>
  <c r="AG112" i="2"/>
  <c r="AG114" i="2" s="1"/>
  <c r="AK172" i="2"/>
  <c r="AK174" i="2" s="1"/>
  <c r="AK112" i="2"/>
  <c r="AK114" i="2" s="1"/>
  <c r="AA166" i="2"/>
  <c r="AA167" i="2" s="1"/>
  <c r="AA168" i="2" s="1"/>
  <c r="AA169" i="2"/>
  <c r="AA170" i="2" s="1"/>
  <c r="S106" i="2"/>
  <c r="S107" i="2" s="1"/>
  <c r="S108" i="2" s="1"/>
  <c r="S109" i="2"/>
  <c r="S110" i="2" s="1"/>
  <c r="S111" i="2" s="1"/>
  <c r="AF166" i="2"/>
  <c r="AF167" i="2" s="1"/>
  <c r="AF168" i="2" s="1"/>
  <c r="AF169" i="2"/>
  <c r="AF170" i="2" s="1"/>
  <c r="X166" i="2"/>
  <c r="X167" i="2" s="1"/>
  <c r="X168" i="2" s="1"/>
  <c r="X169" i="2"/>
  <c r="X170" i="2" s="1"/>
  <c r="P164" i="2"/>
  <c r="P104" i="2"/>
  <c r="Z166" i="2"/>
  <c r="Z167" i="2" s="1"/>
  <c r="Z168" i="2" s="1"/>
  <c r="Z169" i="2"/>
  <c r="Z170" i="2" s="1"/>
  <c r="R166" i="2"/>
  <c r="R167" i="2" s="1"/>
  <c r="R168" i="2" s="1"/>
  <c r="R169" i="2"/>
  <c r="R170" i="2" s="1"/>
  <c r="U169" i="2"/>
  <c r="U170" i="2" s="1"/>
  <c r="U166" i="2"/>
  <c r="U167" i="2" s="1"/>
  <c r="U168" i="2" s="1"/>
  <c r="AJ112" i="2"/>
  <c r="AJ114" i="2" s="1"/>
  <c r="AC106" i="2"/>
  <c r="AC107" i="2" s="1"/>
  <c r="AC108" i="2" s="1"/>
  <c r="AC109" i="2"/>
  <c r="AC110" i="2" s="1"/>
  <c r="AC111" i="2" s="1"/>
  <c r="O164" i="2"/>
  <c r="O104" i="2"/>
  <c r="T106" i="2"/>
  <c r="T107" i="2" s="1"/>
  <c r="T108" i="2" s="1"/>
  <c r="T109" i="2"/>
  <c r="T110" i="2" s="1"/>
  <c r="T111" i="2" s="1"/>
  <c r="AG172" i="2"/>
  <c r="AG174" i="2" s="1"/>
  <c r="W166" i="2"/>
  <c r="W167" i="2" s="1"/>
  <c r="W168" i="2" s="1"/>
  <c r="W169" i="2"/>
  <c r="W170" i="2" s="1"/>
  <c r="Z106" i="2"/>
  <c r="Z107" i="2" s="1"/>
  <c r="Z108" i="2" s="1"/>
  <c r="Z109" i="2"/>
  <c r="Z110" i="2" s="1"/>
  <c r="Z111" i="2" s="1"/>
  <c r="R106" i="2"/>
  <c r="R107" i="2" s="1"/>
  <c r="R108" i="2" s="1"/>
  <c r="R109" i="2"/>
  <c r="R110" i="2" s="1"/>
  <c r="R111" i="2" s="1"/>
  <c r="AA106" i="2"/>
  <c r="AA107" i="2" s="1"/>
  <c r="AA108" i="2" s="1"/>
  <c r="AA109" i="2"/>
  <c r="AA110" i="2" s="1"/>
  <c r="AA111" i="2" s="1"/>
  <c r="AC169" i="2"/>
  <c r="AC170" i="2" s="1"/>
  <c r="AC166" i="2"/>
  <c r="AC167" i="2" s="1"/>
  <c r="AC168" i="2" s="1"/>
  <c r="AE106" i="2"/>
  <c r="AE107" i="2" s="1"/>
  <c r="AE108" i="2" s="1"/>
  <c r="AE109" i="2"/>
  <c r="AE110" i="2" s="1"/>
  <c r="AE111" i="2" s="1"/>
  <c r="AD166" i="2"/>
  <c r="AD167" i="2" s="1"/>
  <c r="AD168" i="2" s="1"/>
  <c r="AD169" i="2"/>
  <c r="AD170" i="2" s="1"/>
  <c r="AB169" i="2"/>
  <c r="AB170" i="2" s="1"/>
  <c r="AB166" i="2"/>
  <c r="AB167" i="2" s="1"/>
  <c r="AB168" i="2" s="1"/>
  <c r="T166" i="2"/>
  <c r="T167" i="2" s="1"/>
  <c r="T168" i="2" s="1"/>
  <c r="T169" i="2"/>
  <c r="T170" i="2" s="1"/>
  <c r="AI172" i="2"/>
  <c r="AI174" i="2" s="1"/>
  <c r="Y166" i="2"/>
  <c r="Y167" i="2" s="1"/>
  <c r="Y168" i="2" s="1"/>
  <c r="Y169" i="2"/>
  <c r="Y170" i="2" s="1"/>
  <c r="Q164" i="2"/>
  <c r="Q104" i="2"/>
  <c r="AE166" i="2"/>
  <c r="AE167" i="2" s="1"/>
  <c r="AE168" i="2" s="1"/>
  <c r="AE169" i="2"/>
  <c r="AE170" i="2" s="1"/>
  <c r="V166" i="2"/>
  <c r="V167" i="2" s="1"/>
  <c r="V168" i="2" s="1"/>
  <c r="V169" i="2"/>
  <c r="V170" i="2" s="1"/>
  <c r="AB109" i="2"/>
  <c r="AB110" i="2" s="1"/>
  <c r="AB111" i="2" s="1"/>
  <c r="AB106" i="2"/>
  <c r="AB107" i="2" s="1"/>
  <c r="AB108" i="2" s="1"/>
  <c r="U106" i="2"/>
  <c r="U107" i="2" s="1"/>
  <c r="U108" i="2" s="1"/>
  <c r="U109" i="2"/>
  <c r="U110" i="2" s="1"/>
  <c r="U111" i="2" s="1"/>
  <c r="AI112" i="2"/>
  <c r="AI114" i="2" s="1"/>
  <c r="X106" i="2"/>
  <c r="X107" i="2" s="1"/>
  <c r="X108" i="2" s="1"/>
  <c r="X109" i="2"/>
  <c r="X110" i="2" s="1"/>
  <c r="X111" i="2" s="1"/>
  <c r="Y106" i="2"/>
  <c r="Y107" i="2" s="1"/>
  <c r="Y108" i="2" s="1"/>
  <c r="Y109" i="2"/>
  <c r="Y110" i="2" s="1"/>
  <c r="Y111" i="2" s="1"/>
  <c r="W106" i="2"/>
  <c r="W107" i="2" s="1"/>
  <c r="W108" i="2" s="1"/>
  <c r="W109" i="2"/>
  <c r="W110" i="2" s="1"/>
  <c r="W111" i="2" s="1"/>
  <c r="V106" i="2"/>
  <c r="V107" i="2" s="1"/>
  <c r="V108" i="2" s="1"/>
  <c r="V109" i="2"/>
  <c r="V110" i="2" s="1"/>
  <c r="V111" i="2" s="1"/>
  <c r="S166" i="2"/>
  <c r="S167" i="2" s="1"/>
  <c r="S168" i="2" s="1"/>
  <c r="S169" i="2"/>
  <c r="S170" i="2" s="1"/>
  <c r="AD106" i="2"/>
  <c r="AD107" i="2" s="1"/>
  <c r="AD108" i="2" s="1"/>
  <c r="AD109" i="2"/>
  <c r="AD110" i="2" s="1"/>
  <c r="AD111" i="2" s="1"/>
  <c r="AH172" i="2"/>
  <c r="AH174" i="2" s="1"/>
  <c r="AF109" i="2"/>
  <c r="AF110" i="2" s="1"/>
  <c r="AF111" i="2" s="1"/>
  <c r="AF106" i="2"/>
  <c r="AF107" i="2" s="1"/>
  <c r="AF108" i="2" s="1"/>
  <c r="AH112" i="2"/>
  <c r="AH114" i="2" s="1"/>
  <c r="N104" i="2"/>
  <c r="N105" i="2" s="1"/>
  <c r="J164" i="2"/>
  <c r="J173" i="2" s="1"/>
  <c r="M104" i="2"/>
  <c r="M113" i="2" s="1"/>
  <c r="I164" i="2"/>
  <c r="I173" i="2" s="1"/>
  <c r="L43" i="2"/>
  <c r="L44" i="2" s="1"/>
  <c r="L45" i="2" s="1"/>
  <c r="L46" i="2" s="1"/>
  <c r="I104" i="2"/>
  <c r="I113" i="2" s="1"/>
  <c r="J39" i="2"/>
  <c r="AG19" i="2"/>
  <c r="AG74" i="2" s="1"/>
  <c r="AI19" i="2"/>
  <c r="AI74" i="2" s="1"/>
  <c r="AK19" i="2"/>
  <c r="AK74" i="2" s="1"/>
  <c r="AH19" i="2"/>
  <c r="AH74" i="2" s="1"/>
  <c r="AJ19" i="2"/>
  <c r="AJ74" i="2" s="1"/>
  <c r="M164" i="2"/>
  <c r="I14" i="2"/>
  <c r="M14" i="2"/>
  <c r="Q14" i="2"/>
  <c r="U14" i="2"/>
  <c r="Y14" i="2"/>
  <c r="AC14" i="2"/>
  <c r="K17" i="2"/>
  <c r="O17" i="2"/>
  <c r="S17" i="2"/>
  <c r="W17" i="2"/>
  <c r="AA17" i="2"/>
  <c r="AE17" i="2"/>
  <c r="J18" i="2"/>
  <c r="N18" i="2"/>
  <c r="R18" i="2"/>
  <c r="V18" i="2"/>
  <c r="Z18" i="2"/>
  <c r="AD18" i="2"/>
  <c r="H18" i="2"/>
  <c r="J14" i="2"/>
  <c r="N14" i="2"/>
  <c r="R14" i="2"/>
  <c r="V14" i="2"/>
  <c r="Z14" i="2"/>
  <c r="AD14" i="2"/>
  <c r="L17" i="2"/>
  <c r="P17" i="2"/>
  <c r="T17" i="2"/>
  <c r="X17" i="2"/>
  <c r="AB17" i="2"/>
  <c r="AF17" i="2"/>
  <c r="K18" i="2"/>
  <c r="O18" i="2"/>
  <c r="S18" i="2"/>
  <c r="W18" i="2"/>
  <c r="AA18" i="2"/>
  <c r="AE18" i="2"/>
  <c r="H17" i="2"/>
  <c r="K14" i="2"/>
  <c r="O14" i="2"/>
  <c r="S14" i="2"/>
  <c r="W14" i="2"/>
  <c r="AA14" i="2"/>
  <c r="AE14" i="2"/>
  <c r="I17" i="2"/>
  <c r="M17" i="2"/>
  <c r="Q17" i="2"/>
  <c r="U17" i="2"/>
  <c r="Y17" i="2"/>
  <c r="AC17" i="2"/>
  <c r="L18" i="2"/>
  <c r="P18" i="2"/>
  <c r="T18" i="2"/>
  <c r="X18" i="2"/>
  <c r="AB18" i="2"/>
  <c r="AF18" i="2"/>
  <c r="L14" i="2"/>
  <c r="P14" i="2"/>
  <c r="T14" i="2"/>
  <c r="X14" i="2"/>
  <c r="AB14" i="2"/>
  <c r="AF14" i="2"/>
  <c r="J17" i="2"/>
  <c r="N17" i="2"/>
  <c r="R17" i="2"/>
  <c r="V17" i="2"/>
  <c r="Z17" i="2"/>
  <c r="AD17" i="2"/>
  <c r="I18" i="2"/>
  <c r="M18" i="2"/>
  <c r="Q18" i="2"/>
  <c r="U18" i="2"/>
  <c r="Y18" i="2"/>
  <c r="AC18" i="2"/>
  <c r="C41" i="2"/>
  <c r="I26" i="2"/>
  <c r="I34" i="2" s="1"/>
  <c r="Q39" i="2"/>
  <c r="N43" i="2"/>
  <c r="N44" i="2" s="1"/>
  <c r="N45" i="2" s="1"/>
  <c r="N46" i="2" s="1"/>
  <c r="P39" i="2"/>
  <c r="Q26" i="2"/>
  <c r="Q34" i="2" s="1"/>
  <c r="M26" i="2"/>
  <c r="M34" i="2" s="1"/>
  <c r="I32" i="2"/>
  <c r="L26" i="2"/>
  <c r="L34" i="2" s="1"/>
  <c r="O32" i="2"/>
  <c r="M32" i="2"/>
  <c r="K32" i="2"/>
  <c r="P32" i="2"/>
  <c r="Q32" i="2"/>
  <c r="N164" i="2"/>
  <c r="N173" i="2" s="1"/>
  <c r="J104" i="2"/>
  <c r="I43" i="2"/>
  <c r="I44" i="2" s="1"/>
  <c r="I45" i="2" s="1"/>
  <c r="P26" i="2"/>
  <c r="P34" i="2" s="1"/>
  <c r="L104" i="2"/>
  <c r="L164" i="2"/>
  <c r="L173" i="2" s="1"/>
  <c r="K164" i="2"/>
  <c r="K173" i="2" s="1"/>
  <c r="L32" i="2"/>
  <c r="K26" i="2"/>
  <c r="O26" i="2"/>
  <c r="K104" i="2"/>
  <c r="M39" i="2"/>
  <c r="N26" i="2"/>
  <c r="J26" i="2"/>
  <c r="O39" i="2"/>
  <c r="O43" i="2"/>
  <c r="O44" i="2" s="1"/>
  <c r="O45" i="2" s="1"/>
  <c r="K39" i="2"/>
  <c r="K43" i="2"/>
  <c r="K44" i="2" s="1"/>
  <c r="K45" i="2" s="1"/>
  <c r="N32" i="2"/>
  <c r="J32" i="2"/>
  <c r="H38" i="2"/>
  <c r="H42" i="2"/>
  <c r="H30" i="2"/>
  <c r="X171" i="2" l="1"/>
  <c r="X172" i="2" s="1"/>
  <c r="X174" i="2" s="1"/>
  <c r="S171" i="2"/>
  <c r="S172" i="2" s="1"/>
  <c r="S174" i="2" s="1"/>
  <c r="V171" i="2"/>
  <c r="V172" i="2" s="1"/>
  <c r="V174" i="2" s="1"/>
  <c r="AB171" i="2"/>
  <c r="AB172" i="2" s="1"/>
  <c r="AB174" i="2" s="1"/>
  <c r="U171" i="2"/>
  <c r="U172" i="2" s="1"/>
  <c r="U174" i="2" s="1"/>
  <c r="Z171" i="2"/>
  <c r="Z172" i="2" s="1"/>
  <c r="Z174" i="2" s="1"/>
  <c r="I46" i="2"/>
  <c r="T171" i="2"/>
  <c r="T172" i="2" s="1"/>
  <c r="T174" i="2" s="1"/>
  <c r="AD171" i="2"/>
  <c r="AD172" i="2" s="1"/>
  <c r="AD174" i="2" s="1"/>
  <c r="W171" i="2"/>
  <c r="W172" i="2" s="1"/>
  <c r="W174" i="2" s="1"/>
  <c r="R171" i="2"/>
  <c r="R172" i="2" s="1"/>
  <c r="R174" i="2" s="1"/>
  <c r="AF171" i="2"/>
  <c r="AF172" i="2" s="1"/>
  <c r="AF174" i="2" s="1"/>
  <c r="AA171" i="2"/>
  <c r="AE171" i="2"/>
  <c r="AE172" i="2" s="1"/>
  <c r="AE174" i="2" s="1"/>
  <c r="Y171" i="2"/>
  <c r="Y172" i="2" s="1"/>
  <c r="Y174" i="2" s="1"/>
  <c r="AC171" i="2"/>
  <c r="AC172" i="2" s="1"/>
  <c r="AC174" i="2" s="1"/>
  <c r="AK50" i="2"/>
  <c r="AI50" i="2"/>
  <c r="AJ50" i="2"/>
  <c r="AG50" i="2"/>
  <c r="AH50" i="2"/>
  <c r="M40" i="2"/>
  <c r="M41" i="2" s="1"/>
  <c r="M46" i="2" s="1"/>
  <c r="O40" i="2"/>
  <c r="O41" i="2" s="1"/>
  <c r="O46" i="2" s="1"/>
  <c r="P40" i="2"/>
  <c r="P41" i="2" s="1"/>
  <c r="P46" i="2" s="1"/>
  <c r="K40" i="2"/>
  <c r="K41" i="2" s="1"/>
  <c r="K46" i="2" s="1"/>
  <c r="Q40" i="2"/>
  <c r="Q41" i="2" s="1"/>
  <c r="Q46" i="2" s="1"/>
  <c r="J40" i="2"/>
  <c r="J41" i="2" s="1"/>
  <c r="J46" i="2" s="1"/>
  <c r="AI132" i="2"/>
  <c r="AI146" i="2" s="1"/>
  <c r="AI133" i="2"/>
  <c r="AH132" i="2"/>
  <c r="AH146" i="2" s="1"/>
  <c r="AH133" i="2"/>
  <c r="AK133" i="2"/>
  <c r="AK132" i="2"/>
  <c r="AK146" i="2" s="1"/>
  <c r="AJ133" i="2"/>
  <c r="AJ132" i="2"/>
  <c r="AJ146" i="2" s="1"/>
  <c r="AG132" i="2"/>
  <c r="AG146" i="2" s="1"/>
  <c r="AG133" i="2"/>
  <c r="AG175" i="2"/>
  <c r="AG188" i="2" s="1"/>
  <c r="N113" i="2"/>
  <c r="AK115" i="2"/>
  <c r="AK128" i="2" s="1"/>
  <c r="AF157" i="7" s="1"/>
  <c r="AF112" i="2"/>
  <c r="AF114" i="2" s="1"/>
  <c r="AB112" i="2"/>
  <c r="AB114" i="2" s="1"/>
  <c r="R112" i="2"/>
  <c r="R114" i="2" s="1"/>
  <c r="T112" i="2"/>
  <c r="T114" i="2" s="1"/>
  <c r="AH115" i="2"/>
  <c r="AH128" i="2" s="1"/>
  <c r="Y112" i="2"/>
  <c r="Y114" i="2" s="1"/>
  <c r="AI115" i="2"/>
  <c r="AI128" i="2" s="1"/>
  <c r="V112" i="2"/>
  <c r="V114" i="2" s="1"/>
  <c r="Q105" i="2"/>
  <c r="Q113" i="2"/>
  <c r="P105" i="2"/>
  <c r="P113" i="2"/>
  <c r="AA172" i="2"/>
  <c r="AA174" i="2" s="1"/>
  <c r="AJ175" i="2"/>
  <c r="AJ188" i="2" s="1"/>
  <c r="X112" i="2"/>
  <c r="X114" i="2" s="1"/>
  <c r="AI175" i="2"/>
  <c r="AI188" i="2" s="1"/>
  <c r="AE112" i="2"/>
  <c r="AE114" i="2" s="1"/>
  <c r="AA112" i="2"/>
  <c r="AA114" i="2" s="1"/>
  <c r="Z112" i="2"/>
  <c r="Z114" i="2" s="1"/>
  <c r="AC112" i="2"/>
  <c r="AC114" i="2" s="1"/>
  <c r="O165" i="2"/>
  <c r="O173" i="2"/>
  <c r="AD112" i="2"/>
  <c r="AD114" i="2" s="1"/>
  <c r="AK175" i="2"/>
  <c r="AK188" i="2" s="1"/>
  <c r="AF235" i="7" s="1"/>
  <c r="AH175" i="2"/>
  <c r="AH188" i="2" s="1"/>
  <c r="W112" i="2"/>
  <c r="W114" i="2" s="1"/>
  <c r="U112" i="2"/>
  <c r="U114" i="2" s="1"/>
  <c r="Q165" i="2"/>
  <c r="Q173" i="2"/>
  <c r="O105" i="2"/>
  <c r="O113" i="2"/>
  <c r="AJ115" i="2"/>
  <c r="AJ128" i="2" s="1"/>
  <c r="P165" i="2"/>
  <c r="P173" i="2"/>
  <c r="S112" i="2"/>
  <c r="S114" i="2" s="1"/>
  <c r="AG115" i="2"/>
  <c r="AG128" i="2" s="1"/>
  <c r="H16" i="2"/>
  <c r="M105" i="2"/>
  <c r="M106" i="2" s="1"/>
  <c r="M107" i="2" s="1"/>
  <c r="M108" i="2" s="1"/>
  <c r="J165" i="2"/>
  <c r="J169" i="2" s="1"/>
  <c r="J170" i="2" s="1"/>
  <c r="I165" i="2"/>
  <c r="I166" i="2" s="1"/>
  <c r="I167" i="2" s="1"/>
  <c r="I168" i="2" s="1"/>
  <c r="I105" i="2"/>
  <c r="I109" i="2" s="1"/>
  <c r="I110" i="2" s="1"/>
  <c r="I111" i="2" s="1"/>
  <c r="M165" i="2"/>
  <c r="M166" i="2" s="1"/>
  <c r="M167" i="2" s="1"/>
  <c r="M168" i="2" s="1"/>
  <c r="M173" i="2"/>
  <c r="AG35" i="2"/>
  <c r="AG36" i="2"/>
  <c r="AI36" i="2"/>
  <c r="AI35" i="2"/>
  <c r="AJ35" i="2"/>
  <c r="AJ36" i="2"/>
  <c r="AH35" i="2"/>
  <c r="AH36" i="2"/>
  <c r="AK35" i="2"/>
  <c r="AK36" i="2"/>
  <c r="I15" i="2"/>
  <c r="Y19" i="2"/>
  <c r="Y74" i="2" s="1"/>
  <c r="AC19" i="2"/>
  <c r="AC74" i="2" s="1"/>
  <c r="N165" i="2"/>
  <c r="N169" i="2" s="1"/>
  <c r="N170" i="2" s="1"/>
  <c r="AB19" i="2"/>
  <c r="AB74" i="2" s="1"/>
  <c r="AE19" i="2"/>
  <c r="AE74" i="2" s="1"/>
  <c r="V19" i="2"/>
  <c r="V74" i="2" s="1"/>
  <c r="Z19" i="2"/>
  <c r="Z74" i="2" s="1"/>
  <c r="AF19" i="2"/>
  <c r="AF74" i="2" s="1"/>
  <c r="R19" i="2"/>
  <c r="R74" i="2" s="1"/>
  <c r="S19" i="2"/>
  <c r="S74" i="2" s="1"/>
  <c r="W19" i="2"/>
  <c r="W74" i="2" s="1"/>
  <c r="T19" i="2"/>
  <c r="T74" i="2" s="1"/>
  <c r="AD19" i="2"/>
  <c r="AD74" i="2" s="1"/>
  <c r="U19" i="2"/>
  <c r="U74" i="2" s="1"/>
  <c r="AA19" i="2"/>
  <c r="AA74" i="2" s="1"/>
  <c r="X19" i="2"/>
  <c r="X74" i="2" s="1"/>
  <c r="J105" i="2"/>
  <c r="J113" i="2"/>
  <c r="N106" i="2"/>
  <c r="N107" i="2" s="1"/>
  <c r="N108" i="2" s="1"/>
  <c r="N109" i="2"/>
  <c r="N110" i="2" s="1"/>
  <c r="N111" i="2" s="1"/>
  <c r="J34" i="2"/>
  <c r="K34" i="2"/>
  <c r="K105" i="2"/>
  <c r="K113" i="2"/>
  <c r="K165" i="2"/>
  <c r="L105" i="2"/>
  <c r="L113" i="2"/>
  <c r="N34" i="2"/>
  <c r="O34" i="2"/>
  <c r="L165" i="2"/>
  <c r="H21" i="2"/>
  <c r="H12" i="2" s="1"/>
  <c r="H24" i="2"/>
  <c r="H25" i="2"/>
  <c r="H43" i="2"/>
  <c r="H44" i="2" s="1"/>
  <c r="AB235" i="7" l="1"/>
  <c r="AB234" i="7"/>
  <c r="AB232" i="7"/>
  <c r="AB233" i="7"/>
  <c r="AB231" i="7"/>
  <c r="AD235" i="7"/>
  <c r="AD234" i="7"/>
  <c r="AD233" i="7"/>
  <c r="AC233" i="7"/>
  <c r="AC235" i="7"/>
  <c r="AC234" i="7"/>
  <c r="AC232" i="7"/>
  <c r="AE235" i="7"/>
  <c r="AE234" i="7"/>
  <c r="AB157" i="7"/>
  <c r="AB154" i="7"/>
  <c r="AB156" i="7"/>
  <c r="AB155" i="7"/>
  <c r="AB153" i="7"/>
  <c r="AE157" i="7"/>
  <c r="AE156" i="7"/>
  <c r="AC157" i="7"/>
  <c r="AC156" i="7"/>
  <c r="AC155" i="7"/>
  <c r="AC154" i="7"/>
  <c r="AD157" i="7"/>
  <c r="AD156" i="7"/>
  <c r="AD155" i="7"/>
  <c r="N171" i="2"/>
  <c r="J171" i="2"/>
  <c r="R50" i="2"/>
  <c r="AA50" i="2"/>
  <c r="W50" i="2"/>
  <c r="Z50" i="2"/>
  <c r="U50" i="2"/>
  <c r="S50" i="2"/>
  <c r="V50" i="2"/>
  <c r="AC50" i="2"/>
  <c r="AD50" i="2"/>
  <c r="AE50" i="2"/>
  <c r="Y50" i="2"/>
  <c r="X50" i="2"/>
  <c r="T50" i="2"/>
  <c r="AF50" i="2"/>
  <c r="AB50" i="2"/>
  <c r="AF133" i="2"/>
  <c r="AF132" i="2"/>
  <c r="AF146" i="2" s="1"/>
  <c r="AD175" i="2"/>
  <c r="AD188" i="2" s="1"/>
  <c r="AD132" i="2"/>
  <c r="AD146" i="2" s="1"/>
  <c r="AD133" i="2"/>
  <c r="AE132" i="2"/>
  <c r="AE146" i="2" s="1"/>
  <c r="AE133" i="2"/>
  <c r="T133" i="2"/>
  <c r="T132" i="2"/>
  <c r="T146" i="2" s="1"/>
  <c r="AB115" i="2"/>
  <c r="AB128" i="2" s="1"/>
  <c r="AB133" i="2"/>
  <c r="AB132" i="2"/>
  <c r="AB146" i="2" s="1"/>
  <c r="AA132" i="2"/>
  <c r="AA146" i="2" s="1"/>
  <c r="AA133" i="2"/>
  <c r="W175" i="2"/>
  <c r="W188" i="2" s="1"/>
  <c r="W132" i="2"/>
  <c r="W146" i="2" s="1"/>
  <c r="W133" i="2"/>
  <c r="Z132" i="2"/>
  <c r="Z146" i="2" s="1"/>
  <c r="Z133" i="2"/>
  <c r="R132" i="2"/>
  <c r="R146" i="2" s="1"/>
  <c r="R133" i="2"/>
  <c r="Y132" i="2"/>
  <c r="Y146" i="2" s="1"/>
  <c r="Y133" i="2"/>
  <c r="X133" i="2"/>
  <c r="X132" i="2"/>
  <c r="X146" i="2" s="1"/>
  <c r="U132" i="2"/>
  <c r="U146" i="2" s="1"/>
  <c r="U133" i="2"/>
  <c r="S132" i="2"/>
  <c r="S146" i="2" s="1"/>
  <c r="S133" i="2"/>
  <c r="V132" i="2"/>
  <c r="V146" i="2" s="1"/>
  <c r="V133" i="2"/>
  <c r="AC132" i="2"/>
  <c r="AC146" i="2" s="1"/>
  <c r="AC133" i="2"/>
  <c r="H127" i="2"/>
  <c r="H187" i="2"/>
  <c r="H99" i="2"/>
  <c r="H159" i="2"/>
  <c r="AF115" i="2"/>
  <c r="AF128" i="2" s="1"/>
  <c r="U175" i="2"/>
  <c r="U188" i="2" s="1"/>
  <c r="Y175" i="2"/>
  <c r="Y188" i="2" s="1"/>
  <c r="R175" i="2"/>
  <c r="R188" i="2" s="1"/>
  <c r="T175" i="2"/>
  <c r="T188" i="2" s="1"/>
  <c r="T115" i="2"/>
  <c r="T128" i="2" s="1"/>
  <c r="AC175" i="2"/>
  <c r="AC188" i="2" s="1"/>
  <c r="AB175" i="2"/>
  <c r="AB188" i="2" s="1"/>
  <c r="Z115" i="2"/>
  <c r="Z128" i="2" s="1"/>
  <c r="X115" i="2"/>
  <c r="X128" i="2" s="1"/>
  <c r="X175" i="2"/>
  <c r="X188" i="2" s="1"/>
  <c r="U115" i="2"/>
  <c r="U128" i="2" s="1"/>
  <c r="O106" i="2"/>
  <c r="O107" i="2" s="1"/>
  <c r="O108" i="2" s="1"/>
  <c r="O109" i="2"/>
  <c r="O110" i="2" s="1"/>
  <c r="O111" i="2" s="1"/>
  <c r="Q169" i="2"/>
  <c r="Q170" i="2" s="1"/>
  <c r="Q166" i="2"/>
  <c r="Q167" i="2" s="1"/>
  <c r="Q168" i="2" s="1"/>
  <c r="W115" i="2"/>
  <c r="W128" i="2" s="1"/>
  <c r="AE175" i="2"/>
  <c r="AE188" i="2" s="1"/>
  <c r="R115" i="2"/>
  <c r="R128" i="2" s="1"/>
  <c r="AA115" i="2"/>
  <c r="AA128" i="2" s="1"/>
  <c r="AA175" i="2"/>
  <c r="AA188" i="2" s="1"/>
  <c r="V115" i="2"/>
  <c r="V128" i="2" s="1"/>
  <c r="Y115" i="2"/>
  <c r="Y128" i="2" s="1"/>
  <c r="P109" i="2"/>
  <c r="P110" i="2" s="1"/>
  <c r="P111" i="2" s="1"/>
  <c r="P106" i="2"/>
  <c r="P107" i="2" s="1"/>
  <c r="P108" i="2" s="1"/>
  <c r="P166" i="2"/>
  <c r="P167" i="2" s="1"/>
  <c r="P168" i="2" s="1"/>
  <c r="P169" i="2"/>
  <c r="P170" i="2" s="1"/>
  <c r="S175" i="2"/>
  <c r="S188" i="2" s="1"/>
  <c r="AD115" i="2"/>
  <c r="AD128" i="2" s="1"/>
  <c r="Z175" i="2"/>
  <c r="Z188" i="2" s="1"/>
  <c r="AE115" i="2"/>
  <c r="AE128" i="2" s="1"/>
  <c r="AF175" i="2"/>
  <c r="AF188" i="2" s="1"/>
  <c r="S115" i="2"/>
  <c r="S128" i="2" s="1"/>
  <c r="V175" i="2"/>
  <c r="V188" i="2" s="1"/>
  <c r="O166" i="2"/>
  <c r="O167" i="2" s="1"/>
  <c r="O168" i="2" s="1"/>
  <c r="O169" i="2"/>
  <c r="O170" i="2" s="1"/>
  <c r="AC115" i="2"/>
  <c r="AC128" i="2" s="1"/>
  <c r="Q109" i="2"/>
  <c r="Q110" i="2" s="1"/>
  <c r="Q111" i="2" s="1"/>
  <c r="Q106" i="2"/>
  <c r="Q107" i="2" s="1"/>
  <c r="Q108" i="2" s="1"/>
  <c r="H53" i="2"/>
  <c r="M109" i="2"/>
  <c r="M110" i="2" s="1"/>
  <c r="M111" i="2" s="1"/>
  <c r="M112" i="2" s="1"/>
  <c r="M114" i="2" s="1"/>
  <c r="I106" i="2"/>
  <c r="I107" i="2" s="1"/>
  <c r="I108" i="2" s="1"/>
  <c r="I112" i="2" s="1"/>
  <c r="I114" i="2" s="1"/>
  <c r="J15" i="2"/>
  <c r="I16" i="2"/>
  <c r="I99" i="2" s="1"/>
  <c r="J166" i="2"/>
  <c r="J167" i="2" s="1"/>
  <c r="J168" i="2" s="1"/>
  <c r="I169" i="2"/>
  <c r="I170" i="2" s="1"/>
  <c r="M169" i="2"/>
  <c r="M170" i="2" s="1"/>
  <c r="T36" i="2"/>
  <c r="AD36" i="2"/>
  <c r="W35" i="2"/>
  <c r="Y35" i="2"/>
  <c r="AC35" i="2"/>
  <c r="AB35" i="2"/>
  <c r="AB36" i="2"/>
  <c r="AC36" i="2"/>
  <c r="N166" i="2"/>
  <c r="N167" i="2" s="1"/>
  <c r="N168" i="2" s="1"/>
  <c r="Y36" i="2"/>
  <c r="R36" i="2"/>
  <c r="AF35" i="2"/>
  <c r="AE36" i="2"/>
  <c r="AE35" i="2"/>
  <c r="V36" i="2"/>
  <c r="R35" i="2"/>
  <c r="V35" i="2"/>
  <c r="AF36" i="2"/>
  <c r="W36" i="2"/>
  <c r="S35" i="2"/>
  <c r="S36" i="2"/>
  <c r="Z36" i="2"/>
  <c r="Z35" i="2"/>
  <c r="X35" i="2"/>
  <c r="U35" i="2"/>
  <c r="U36" i="2"/>
  <c r="X36" i="2"/>
  <c r="AD35" i="2"/>
  <c r="T35" i="2"/>
  <c r="AA35" i="2"/>
  <c r="AA36" i="2"/>
  <c r="J109" i="2"/>
  <c r="J110" i="2" s="1"/>
  <c r="J111" i="2" s="1"/>
  <c r="J106" i="2"/>
  <c r="J107" i="2" s="1"/>
  <c r="J108" i="2" s="1"/>
  <c r="L109" i="2"/>
  <c r="L110" i="2" s="1"/>
  <c r="L111" i="2" s="1"/>
  <c r="L106" i="2"/>
  <c r="L107" i="2" s="1"/>
  <c r="L108" i="2" s="1"/>
  <c r="K109" i="2"/>
  <c r="K110" i="2" s="1"/>
  <c r="K111" i="2" s="1"/>
  <c r="K106" i="2"/>
  <c r="K107" i="2" s="1"/>
  <c r="K108" i="2" s="1"/>
  <c r="N112" i="2"/>
  <c r="N114" i="2" s="1"/>
  <c r="K169" i="2"/>
  <c r="K170" i="2" s="1"/>
  <c r="K166" i="2"/>
  <c r="K167" i="2" s="1"/>
  <c r="K168" i="2" s="1"/>
  <c r="L166" i="2"/>
  <c r="L167" i="2" s="1"/>
  <c r="L168" i="2" s="1"/>
  <c r="L169" i="2"/>
  <c r="L170" i="2" s="1"/>
  <c r="H45" i="2"/>
  <c r="H39" i="2"/>
  <c r="H40" i="2" s="1"/>
  <c r="H32" i="2"/>
  <c r="H59" i="2" s="1"/>
  <c r="Q232" i="7" l="1"/>
  <c r="Q230" i="7"/>
  <c r="Q223" i="7"/>
  <c r="Q222" i="7"/>
  <c r="Q233" i="7"/>
  <c r="Q234" i="7"/>
  <c r="Q231" i="7"/>
  <c r="Q228" i="7"/>
  <c r="Q225" i="7"/>
  <c r="Q224" i="7"/>
  <c r="Q221" i="7"/>
  <c r="Q226" i="7"/>
  <c r="Q229" i="7"/>
  <c r="Q235" i="7"/>
  <c r="Q227" i="7"/>
  <c r="U232" i="7"/>
  <c r="U233" i="7"/>
  <c r="U230" i="7"/>
  <c r="U235" i="7"/>
  <c r="U228" i="7"/>
  <c r="U225" i="7"/>
  <c r="U229" i="7"/>
  <c r="U231" i="7"/>
  <c r="U227" i="7"/>
  <c r="U234" i="7"/>
  <c r="U226" i="7"/>
  <c r="Z231" i="7"/>
  <c r="Z233" i="7"/>
  <c r="Z234" i="7"/>
  <c r="Z235" i="7"/>
  <c r="Z232" i="7"/>
  <c r="Z230" i="7"/>
  <c r="P235" i="7"/>
  <c r="P234" i="7"/>
  <c r="P232" i="7"/>
  <c r="P229" i="7"/>
  <c r="P224" i="7"/>
  <c r="P221" i="7"/>
  <c r="P230" i="7"/>
  <c r="P223" i="7"/>
  <c r="P222" i="7"/>
  <c r="P227" i="7"/>
  <c r="P228" i="7"/>
  <c r="P233" i="7"/>
  <c r="P226" i="7"/>
  <c r="P231" i="7"/>
  <c r="P225" i="7"/>
  <c r="P220" i="7"/>
  <c r="R231" i="7"/>
  <c r="R233" i="7"/>
  <c r="R234" i="7"/>
  <c r="R228" i="7"/>
  <c r="R225" i="7"/>
  <c r="R235" i="7"/>
  <c r="R227" i="7"/>
  <c r="R226" i="7"/>
  <c r="R223" i="7"/>
  <c r="R222" i="7"/>
  <c r="R232" i="7"/>
  <c r="R229" i="7"/>
  <c r="R230" i="7"/>
  <c r="R224" i="7"/>
  <c r="Y232" i="7"/>
  <c r="Y230" i="7"/>
  <c r="Y233" i="7"/>
  <c r="Y234" i="7"/>
  <c r="Y231" i="7"/>
  <c r="Y235" i="7"/>
  <c r="Y229" i="7"/>
  <c r="V231" i="7"/>
  <c r="V233" i="7"/>
  <c r="V235" i="7"/>
  <c r="V228" i="7"/>
  <c r="V234" i="7"/>
  <c r="V232" i="7"/>
  <c r="V227" i="7"/>
  <c r="V226" i="7"/>
  <c r="V230" i="7"/>
  <c r="V229" i="7"/>
  <c r="O233" i="7"/>
  <c r="O235" i="7"/>
  <c r="O234" i="7"/>
  <c r="O232" i="7"/>
  <c r="O227" i="7"/>
  <c r="O226" i="7"/>
  <c r="O219" i="7"/>
  <c r="O229" i="7"/>
  <c r="O224" i="7"/>
  <c r="O221" i="7"/>
  <c r="O231" i="7"/>
  <c r="O225" i="7"/>
  <c r="O220" i="7"/>
  <c r="O223" i="7"/>
  <c r="O222" i="7"/>
  <c r="O228" i="7"/>
  <c r="O230" i="7"/>
  <c r="AA233" i="7"/>
  <c r="AA235" i="7"/>
  <c r="AA234" i="7"/>
  <c r="AA232" i="7"/>
  <c r="AA231" i="7"/>
  <c r="N231" i="7"/>
  <c r="N233" i="7"/>
  <c r="N235" i="7"/>
  <c r="N228" i="7"/>
  <c r="N225" i="7"/>
  <c r="N220" i="7"/>
  <c r="N234" i="7"/>
  <c r="N232" i="7"/>
  <c r="N227" i="7"/>
  <c r="N226" i="7"/>
  <c r="N219" i="7"/>
  <c r="N218" i="7"/>
  <c r="N230" i="7"/>
  <c r="N224" i="7"/>
  <c r="N221" i="7"/>
  <c r="N223" i="7"/>
  <c r="N222" i="7"/>
  <c r="N229" i="7"/>
  <c r="W233" i="7"/>
  <c r="W235" i="7"/>
  <c r="W234" i="7"/>
  <c r="W232" i="7"/>
  <c r="W227" i="7"/>
  <c r="W231" i="7"/>
  <c r="W229" i="7"/>
  <c r="W228" i="7"/>
  <c r="W230" i="7"/>
  <c r="M232" i="7"/>
  <c r="M233" i="7"/>
  <c r="M231" i="7"/>
  <c r="M230" i="7"/>
  <c r="M223" i="7"/>
  <c r="M222" i="7"/>
  <c r="M235" i="7"/>
  <c r="M228" i="7"/>
  <c r="M225" i="7"/>
  <c r="M220" i="7"/>
  <c r="M217" i="7"/>
  <c r="M229" i="7"/>
  <c r="M227" i="7"/>
  <c r="M218" i="7"/>
  <c r="M224" i="7"/>
  <c r="M221" i="7"/>
  <c r="M234" i="7"/>
  <c r="M226" i="7"/>
  <c r="M219" i="7"/>
  <c r="S233" i="7"/>
  <c r="S235" i="7"/>
  <c r="S234" i="7"/>
  <c r="S231" i="7"/>
  <c r="S227" i="7"/>
  <c r="S226" i="7"/>
  <c r="S232" i="7"/>
  <c r="S229" i="7"/>
  <c r="S224" i="7"/>
  <c r="S228" i="7"/>
  <c r="S230" i="7"/>
  <c r="S225" i="7"/>
  <c r="S223" i="7"/>
  <c r="X235" i="7"/>
  <c r="X234" i="7"/>
  <c r="X232" i="7"/>
  <c r="X231" i="7"/>
  <c r="X229" i="7"/>
  <c r="X230" i="7"/>
  <c r="X233" i="7"/>
  <c r="X228" i="7"/>
  <c r="T235" i="7"/>
  <c r="T234" i="7"/>
  <c r="T232" i="7"/>
  <c r="T229" i="7"/>
  <c r="T224" i="7"/>
  <c r="T233" i="7"/>
  <c r="T230" i="7"/>
  <c r="T226" i="7"/>
  <c r="T225" i="7"/>
  <c r="T231" i="7"/>
  <c r="T227" i="7"/>
  <c r="T228" i="7"/>
  <c r="P157" i="7"/>
  <c r="P154" i="7"/>
  <c r="P149" i="7"/>
  <c r="P156" i="7"/>
  <c r="P155" i="7"/>
  <c r="P148" i="7"/>
  <c r="P147" i="7"/>
  <c r="P153" i="7"/>
  <c r="P152" i="7"/>
  <c r="P150" i="7"/>
  <c r="P144" i="7"/>
  <c r="P143" i="7"/>
  <c r="P146" i="7"/>
  <c r="P142" i="7"/>
  <c r="P151" i="7"/>
  <c r="P145" i="7"/>
  <c r="M156" i="7"/>
  <c r="M155" i="7"/>
  <c r="M148" i="7"/>
  <c r="M147" i="7"/>
  <c r="M153" i="7"/>
  <c r="M150" i="7"/>
  <c r="M152" i="7"/>
  <c r="M151" i="7"/>
  <c r="M154" i="7"/>
  <c r="M146" i="7"/>
  <c r="M141" i="7"/>
  <c r="M143" i="7"/>
  <c r="M149" i="7"/>
  <c r="M140" i="7"/>
  <c r="M139" i="7"/>
  <c r="M144" i="7"/>
  <c r="M145" i="7"/>
  <c r="M142" i="7"/>
  <c r="M157" i="7"/>
  <c r="V153" i="7"/>
  <c r="V150" i="7"/>
  <c r="V152" i="7"/>
  <c r="V151" i="7"/>
  <c r="V157" i="7"/>
  <c r="V154" i="7"/>
  <c r="V156" i="7"/>
  <c r="V149" i="7"/>
  <c r="V155" i="7"/>
  <c r="V148" i="7"/>
  <c r="Z157" i="7"/>
  <c r="Z153" i="7"/>
  <c r="Z152" i="7"/>
  <c r="Z154" i="7"/>
  <c r="Z156" i="7"/>
  <c r="Z155" i="7"/>
  <c r="T157" i="7"/>
  <c r="T154" i="7"/>
  <c r="T149" i="7"/>
  <c r="T156" i="7"/>
  <c r="T155" i="7"/>
  <c r="T148" i="7"/>
  <c r="T147" i="7"/>
  <c r="T153" i="7"/>
  <c r="T151" i="7"/>
  <c r="T146" i="7"/>
  <c r="T152" i="7"/>
  <c r="T150" i="7"/>
  <c r="Q156" i="7"/>
  <c r="Q155" i="7"/>
  <c r="Q148" i="7"/>
  <c r="Q147" i="7"/>
  <c r="Q153" i="7"/>
  <c r="Q150" i="7"/>
  <c r="Q152" i="7"/>
  <c r="Q151" i="7"/>
  <c r="Q146" i="7"/>
  <c r="Q157" i="7"/>
  <c r="Q145" i="7"/>
  <c r="Q154" i="7"/>
  <c r="Q149" i="7"/>
  <c r="Q144" i="7"/>
  <c r="Q143" i="7"/>
  <c r="S152" i="7"/>
  <c r="S151" i="7"/>
  <c r="S157" i="7"/>
  <c r="S154" i="7"/>
  <c r="S149" i="7"/>
  <c r="S156" i="7"/>
  <c r="S155" i="7"/>
  <c r="S148" i="7"/>
  <c r="S145" i="7"/>
  <c r="S153" i="7"/>
  <c r="S150" i="7"/>
  <c r="S147" i="7"/>
  <c r="S146" i="7"/>
  <c r="O152" i="7"/>
  <c r="O151" i="7"/>
  <c r="O157" i="7"/>
  <c r="O154" i="7"/>
  <c r="O149" i="7"/>
  <c r="O156" i="7"/>
  <c r="O155" i="7"/>
  <c r="O147" i="7"/>
  <c r="O145" i="7"/>
  <c r="O142" i="7"/>
  <c r="O150" i="7"/>
  <c r="O144" i="7"/>
  <c r="O143" i="7"/>
  <c r="O153" i="7"/>
  <c r="O148" i="7"/>
  <c r="O146" i="7"/>
  <c r="O141" i="7"/>
  <c r="X157" i="7"/>
  <c r="X154" i="7"/>
  <c r="X156" i="7"/>
  <c r="X155" i="7"/>
  <c r="X153" i="7"/>
  <c r="X151" i="7"/>
  <c r="X150" i="7"/>
  <c r="X152" i="7"/>
  <c r="N153" i="7"/>
  <c r="N150" i="7"/>
  <c r="N152" i="7"/>
  <c r="N151" i="7"/>
  <c r="N157" i="7"/>
  <c r="N154" i="7"/>
  <c r="N149" i="7"/>
  <c r="N140" i="7"/>
  <c r="N155" i="7"/>
  <c r="N147" i="7"/>
  <c r="N145" i="7"/>
  <c r="N142" i="7"/>
  <c r="N148" i="7"/>
  <c r="N141" i="7"/>
  <c r="N156" i="7"/>
  <c r="N144" i="7"/>
  <c r="N143" i="7"/>
  <c r="N146" i="7"/>
  <c r="Y157" i="7"/>
  <c r="Y156" i="7"/>
  <c r="Y155" i="7"/>
  <c r="Y153" i="7"/>
  <c r="Y152" i="7"/>
  <c r="Y151" i="7"/>
  <c r="Y154" i="7"/>
  <c r="R153" i="7"/>
  <c r="R150" i="7"/>
  <c r="R152" i="7"/>
  <c r="R151" i="7"/>
  <c r="R157" i="7"/>
  <c r="R154" i="7"/>
  <c r="R155" i="7"/>
  <c r="R156" i="7"/>
  <c r="R148" i="7"/>
  <c r="R145" i="7"/>
  <c r="R147" i="7"/>
  <c r="R146" i="7"/>
  <c r="R149" i="7"/>
  <c r="R144" i="7"/>
  <c r="U156" i="7"/>
  <c r="U155" i="7"/>
  <c r="U148" i="7"/>
  <c r="U147" i="7"/>
  <c r="U153" i="7"/>
  <c r="U150" i="7"/>
  <c r="U152" i="7"/>
  <c r="U151" i="7"/>
  <c r="U157" i="7"/>
  <c r="U149" i="7"/>
  <c r="U154" i="7"/>
  <c r="AA154" i="7"/>
  <c r="AA156" i="7"/>
  <c r="AA155" i="7"/>
  <c r="AA157" i="7"/>
  <c r="AA153" i="7"/>
  <c r="W152" i="7"/>
  <c r="W151" i="7"/>
  <c r="W157" i="7"/>
  <c r="W154" i="7"/>
  <c r="W149" i="7"/>
  <c r="W156" i="7"/>
  <c r="W155" i="7"/>
  <c r="W153" i="7"/>
  <c r="W150" i="7"/>
  <c r="K171" i="2"/>
  <c r="K172" i="2" s="1"/>
  <c r="K174" i="2" s="1"/>
  <c r="M171" i="2"/>
  <c r="M172" i="2" s="1"/>
  <c r="M174" i="2" s="1"/>
  <c r="P171" i="2"/>
  <c r="P172" i="2" s="1"/>
  <c r="P174" i="2" s="1"/>
  <c r="L171" i="2"/>
  <c r="L172" i="2" s="1"/>
  <c r="L174" i="2" s="1"/>
  <c r="J172" i="2"/>
  <c r="J174" i="2" s="1"/>
  <c r="Q171" i="2"/>
  <c r="I171" i="2"/>
  <c r="I172" i="2" s="1"/>
  <c r="I174" i="2" s="1"/>
  <c r="N172" i="2"/>
  <c r="N174" i="2" s="1"/>
  <c r="O171" i="2"/>
  <c r="O172" i="2" s="1"/>
  <c r="O174" i="2" s="1"/>
  <c r="H60" i="2"/>
  <c r="I59" i="2"/>
  <c r="I60" i="2" s="1"/>
  <c r="I127" i="2"/>
  <c r="I187" i="2"/>
  <c r="I159" i="2"/>
  <c r="Q112" i="2"/>
  <c r="Q114" i="2" s="1"/>
  <c r="O112" i="2"/>
  <c r="O114" i="2" s="1"/>
  <c r="P112" i="2"/>
  <c r="P114" i="2" s="1"/>
  <c r="Q172" i="2"/>
  <c r="Q174" i="2" s="1"/>
  <c r="K15" i="2"/>
  <c r="J16" i="2"/>
  <c r="J99" i="2" s="1"/>
  <c r="K112" i="2"/>
  <c r="K114" i="2" s="1"/>
  <c r="J112" i="2"/>
  <c r="J114" i="2" s="1"/>
  <c r="J19" i="2"/>
  <c r="J74" i="2" s="1"/>
  <c r="L19" i="2"/>
  <c r="L74" i="2" s="1"/>
  <c r="M19" i="2"/>
  <c r="M74" i="2" s="1"/>
  <c r="Q19" i="2"/>
  <c r="Q74" i="2" s="1"/>
  <c r="O19" i="2"/>
  <c r="O74" i="2" s="1"/>
  <c r="L112" i="2"/>
  <c r="L114" i="2" s="1"/>
  <c r="N19" i="2"/>
  <c r="N74" i="2" s="1"/>
  <c r="I19" i="2"/>
  <c r="I74" i="2" s="1"/>
  <c r="P19" i="2"/>
  <c r="P74" i="2" s="1"/>
  <c r="K19" i="2"/>
  <c r="K74" i="2" s="1"/>
  <c r="H41" i="2"/>
  <c r="H46" i="2" s="1"/>
  <c r="N50" i="2" l="1"/>
  <c r="Q50" i="2"/>
  <c r="K50" i="2"/>
  <c r="M50" i="2"/>
  <c r="I61" i="2"/>
  <c r="J59" i="2"/>
  <c r="P50" i="2"/>
  <c r="L50" i="2"/>
  <c r="I50" i="2"/>
  <c r="O50" i="2"/>
  <c r="J50" i="2"/>
  <c r="H61" i="2"/>
  <c r="L133" i="2"/>
  <c r="L132" i="2"/>
  <c r="L146" i="2" s="1"/>
  <c r="J132" i="2"/>
  <c r="J146" i="2" s="1"/>
  <c r="J133" i="2"/>
  <c r="K132" i="2"/>
  <c r="K146" i="2" s="1"/>
  <c r="K133" i="2"/>
  <c r="M132" i="2"/>
  <c r="M146" i="2" s="1"/>
  <c r="M133" i="2"/>
  <c r="P133" i="2"/>
  <c r="P132" i="2"/>
  <c r="P146" i="2" s="1"/>
  <c r="I132" i="2"/>
  <c r="I146" i="2" s="1"/>
  <c r="I133" i="2"/>
  <c r="O132" i="2"/>
  <c r="O146" i="2" s="1"/>
  <c r="O133" i="2"/>
  <c r="N132" i="2"/>
  <c r="N146" i="2" s="1"/>
  <c r="N133" i="2"/>
  <c r="Q132" i="2"/>
  <c r="Q146" i="2" s="1"/>
  <c r="Q133" i="2"/>
  <c r="J127" i="2"/>
  <c r="J187" i="2"/>
  <c r="J159" i="2"/>
  <c r="O115" i="2"/>
  <c r="O128" i="2" s="1"/>
  <c r="P175" i="2"/>
  <c r="P188" i="2" s="1"/>
  <c r="P115" i="2"/>
  <c r="P128" i="2" s="1"/>
  <c r="O175" i="2"/>
  <c r="O188" i="2" s="1"/>
  <c r="Q175" i="2"/>
  <c r="Q188" i="2" s="1"/>
  <c r="Q115" i="2"/>
  <c r="Q128" i="2" s="1"/>
  <c r="L15" i="2"/>
  <c r="K16" i="2"/>
  <c r="K99" i="2" s="1"/>
  <c r="N175" i="2"/>
  <c r="N188" i="2" s="1"/>
  <c r="N115" i="2"/>
  <c r="N128" i="2" s="1"/>
  <c r="K115" i="2"/>
  <c r="K128" i="2" s="1"/>
  <c r="K175" i="2"/>
  <c r="K188" i="2" s="1"/>
  <c r="M115" i="2"/>
  <c r="M128" i="2" s="1"/>
  <c r="M175" i="2"/>
  <c r="M188" i="2" s="1"/>
  <c r="P36" i="2"/>
  <c r="J115" i="2"/>
  <c r="J128" i="2" s="1"/>
  <c r="J175" i="2"/>
  <c r="J188" i="2" s="1"/>
  <c r="I115" i="2"/>
  <c r="I128" i="2" s="1"/>
  <c r="D129" i="7" s="1"/>
  <c r="I175" i="2"/>
  <c r="I188" i="2" s="1"/>
  <c r="O36" i="2"/>
  <c r="L175" i="2"/>
  <c r="L188" i="2" s="1"/>
  <c r="L115" i="2"/>
  <c r="L128" i="2" s="1"/>
  <c r="L36" i="2"/>
  <c r="L35" i="2"/>
  <c r="J35" i="2"/>
  <c r="J36" i="2"/>
  <c r="I35" i="2"/>
  <c r="Q35" i="2"/>
  <c r="K35" i="2"/>
  <c r="N35" i="2"/>
  <c r="Q36" i="2"/>
  <c r="O35" i="2"/>
  <c r="M35" i="2"/>
  <c r="I36" i="2"/>
  <c r="K36" i="2"/>
  <c r="N36" i="2"/>
  <c r="P35" i="2"/>
  <c r="M36" i="2"/>
  <c r="H164" i="2"/>
  <c r="H173" i="2" s="1"/>
  <c r="H104" i="2"/>
  <c r="H113" i="2" s="1"/>
  <c r="H26" i="2"/>
  <c r="H235" i="7" l="1"/>
  <c r="H234" i="7"/>
  <c r="H229" i="7"/>
  <c r="H224" i="7"/>
  <c r="H221" i="7"/>
  <c r="H216" i="7"/>
  <c r="H213" i="7"/>
  <c r="H232" i="7"/>
  <c r="H231" i="7"/>
  <c r="H230" i="7"/>
  <c r="H223" i="7"/>
  <c r="H222" i="7"/>
  <c r="H215" i="7"/>
  <c r="H214" i="7"/>
  <c r="H227" i="7"/>
  <c r="H218" i="7"/>
  <c r="H228" i="7"/>
  <c r="H217" i="7"/>
  <c r="H212" i="7"/>
  <c r="H226" i="7"/>
  <c r="H219" i="7"/>
  <c r="H233" i="7"/>
  <c r="H225" i="7"/>
  <c r="H220" i="7"/>
  <c r="G233" i="7"/>
  <c r="G235" i="7"/>
  <c r="G234" i="7"/>
  <c r="G227" i="7"/>
  <c r="G226" i="7"/>
  <c r="G219" i="7"/>
  <c r="G218" i="7"/>
  <c r="G211" i="7"/>
  <c r="G232" i="7"/>
  <c r="G229" i="7"/>
  <c r="G224" i="7"/>
  <c r="G221" i="7"/>
  <c r="G216" i="7"/>
  <c r="G213" i="7"/>
  <c r="G225" i="7"/>
  <c r="G220" i="7"/>
  <c r="G223" i="7"/>
  <c r="G222" i="7"/>
  <c r="G228" i="7"/>
  <c r="G217" i="7"/>
  <c r="G212" i="7"/>
  <c r="G231" i="7"/>
  <c r="G230" i="7"/>
  <c r="G215" i="7"/>
  <c r="G214" i="7"/>
  <c r="L235" i="7"/>
  <c r="L234" i="7"/>
  <c r="L229" i="7"/>
  <c r="L224" i="7"/>
  <c r="L221" i="7"/>
  <c r="L216" i="7"/>
  <c r="L232" i="7"/>
  <c r="L233" i="7"/>
  <c r="L231" i="7"/>
  <c r="L230" i="7"/>
  <c r="L223" i="7"/>
  <c r="L222" i="7"/>
  <c r="L226" i="7"/>
  <c r="L219" i="7"/>
  <c r="L225" i="7"/>
  <c r="L220" i="7"/>
  <c r="L227" i="7"/>
  <c r="L218" i="7"/>
  <c r="L228" i="7"/>
  <c r="L217" i="7"/>
  <c r="F233" i="7"/>
  <c r="F235" i="7"/>
  <c r="F228" i="7"/>
  <c r="F225" i="7"/>
  <c r="F220" i="7"/>
  <c r="F217" i="7"/>
  <c r="F212" i="7"/>
  <c r="F234" i="7"/>
  <c r="F227" i="7"/>
  <c r="F226" i="7"/>
  <c r="F219" i="7"/>
  <c r="F218" i="7"/>
  <c r="F211" i="7"/>
  <c r="F210" i="7"/>
  <c r="F231" i="7"/>
  <c r="F230" i="7"/>
  <c r="F215" i="7"/>
  <c r="F214" i="7"/>
  <c r="F224" i="7"/>
  <c r="F221" i="7"/>
  <c r="F223" i="7"/>
  <c r="F222" i="7"/>
  <c r="F232" i="7"/>
  <c r="F229" i="7"/>
  <c r="F216" i="7"/>
  <c r="F213" i="7"/>
  <c r="J233" i="7"/>
  <c r="J234" i="7"/>
  <c r="J232" i="7"/>
  <c r="J228" i="7"/>
  <c r="J225" i="7"/>
  <c r="J220" i="7"/>
  <c r="J217" i="7"/>
  <c r="J235" i="7"/>
  <c r="J227" i="7"/>
  <c r="J226" i="7"/>
  <c r="J219" i="7"/>
  <c r="J218" i="7"/>
  <c r="J223" i="7"/>
  <c r="J222" i="7"/>
  <c r="J229" i="7"/>
  <c r="J216" i="7"/>
  <c r="J231" i="7"/>
  <c r="J230" i="7"/>
  <c r="J215" i="7"/>
  <c r="J214" i="7"/>
  <c r="J224" i="7"/>
  <c r="J221" i="7"/>
  <c r="K233" i="7"/>
  <c r="K235" i="7"/>
  <c r="K234" i="7"/>
  <c r="K227" i="7"/>
  <c r="K226" i="7"/>
  <c r="K219" i="7"/>
  <c r="K218" i="7"/>
  <c r="K229" i="7"/>
  <c r="K224" i="7"/>
  <c r="K221" i="7"/>
  <c r="K216" i="7"/>
  <c r="K228" i="7"/>
  <c r="K217" i="7"/>
  <c r="K231" i="7"/>
  <c r="K230" i="7"/>
  <c r="K215" i="7"/>
  <c r="K232" i="7"/>
  <c r="K225" i="7"/>
  <c r="K220" i="7"/>
  <c r="K223" i="7"/>
  <c r="K222" i="7"/>
  <c r="E232" i="7"/>
  <c r="E233" i="7"/>
  <c r="E231" i="7"/>
  <c r="E230" i="7"/>
  <c r="E223" i="7"/>
  <c r="E222" i="7"/>
  <c r="E215" i="7"/>
  <c r="E214" i="7"/>
  <c r="E235" i="7"/>
  <c r="E228" i="7"/>
  <c r="E225" i="7"/>
  <c r="E220" i="7"/>
  <c r="E217" i="7"/>
  <c r="E212" i="7"/>
  <c r="E209" i="7"/>
  <c r="E234" i="7"/>
  <c r="E229" i="7"/>
  <c r="E216" i="7"/>
  <c r="E213" i="7"/>
  <c r="E227" i="7"/>
  <c r="E218" i="7"/>
  <c r="E211" i="7"/>
  <c r="E224" i="7"/>
  <c r="E221" i="7"/>
  <c r="E226" i="7"/>
  <c r="E219" i="7"/>
  <c r="E210" i="7"/>
  <c r="I232" i="7"/>
  <c r="I231" i="7"/>
  <c r="I230" i="7"/>
  <c r="I223" i="7"/>
  <c r="I222" i="7"/>
  <c r="I215" i="7"/>
  <c r="I214" i="7"/>
  <c r="I233" i="7"/>
  <c r="I234" i="7"/>
  <c r="I228" i="7"/>
  <c r="I225" i="7"/>
  <c r="I220" i="7"/>
  <c r="I217" i="7"/>
  <c r="I235" i="7"/>
  <c r="I224" i="7"/>
  <c r="I221" i="7"/>
  <c r="I226" i="7"/>
  <c r="I219" i="7"/>
  <c r="I229" i="7"/>
  <c r="I216" i="7"/>
  <c r="I213" i="7"/>
  <c r="I227" i="7"/>
  <c r="I218" i="7"/>
  <c r="D235" i="7"/>
  <c r="D234" i="7"/>
  <c r="D232" i="7"/>
  <c r="D229" i="7"/>
  <c r="D224" i="7"/>
  <c r="D221" i="7"/>
  <c r="D216" i="7"/>
  <c r="D213" i="7"/>
  <c r="D208" i="7"/>
  <c r="D233" i="7"/>
  <c r="D231" i="7"/>
  <c r="D230" i="7"/>
  <c r="D223" i="7"/>
  <c r="D222" i="7"/>
  <c r="D215" i="7"/>
  <c r="D214" i="7"/>
  <c r="D226" i="7"/>
  <c r="D219" i="7"/>
  <c r="D210" i="7"/>
  <c r="D225" i="7"/>
  <c r="D220" i="7"/>
  <c r="D209" i="7"/>
  <c r="D227" i="7"/>
  <c r="D218" i="7"/>
  <c r="D211" i="7"/>
  <c r="D228" i="7"/>
  <c r="D217" i="7"/>
  <c r="D212" i="7"/>
  <c r="E208" i="7"/>
  <c r="D207" i="7"/>
  <c r="J153" i="7"/>
  <c r="J150" i="7"/>
  <c r="J152" i="7"/>
  <c r="J151" i="7"/>
  <c r="J157" i="7"/>
  <c r="J154" i="7"/>
  <c r="J147" i="7"/>
  <c r="J140" i="7"/>
  <c r="J139" i="7"/>
  <c r="J148" i="7"/>
  <c r="J145" i="7"/>
  <c r="J142" i="7"/>
  <c r="J137" i="7"/>
  <c r="J156" i="7"/>
  <c r="J146" i="7"/>
  <c r="J138" i="7"/>
  <c r="J155" i="7"/>
  <c r="J149" i="7"/>
  <c r="J144" i="7"/>
  <c r="J143" i="7"/>
  <c r="J136" i="7"/>
  <c r="J141" i="7"/>
  <c r="E156" i="7"/>
  <c r="E155" i="7"/>
  <c r="E148" i="7"/>
  <c r="E153" i="7"/>
  <c r="E150" i="7"/>
  <c r="E152" i="7"/>
  <c r="E146" i="7"/>
  <c r="E141" i="7"/>
  <c r="E138" i="7"/>
  <c r="E133" i="7"/>
  <c r="E157" i="7"/>
  <c r="E149" i="7"/>
  <c r="E147" i="7"/>
  <c r="E140" i="7"/>
  <c r="E139" i="7"/>
  <c r="E132" i="7"/>
  <c r="E131" i="7"/>
  <c r="E144" i="7"/>
  <c r="E135" i="7"/>
  <c r="E154" i="7"/>
  <c r="E151" i="7"/>
  <c r="E145" i="7"/>
  <c r="E142" i="7"/>
  <c r="E137" i="7"/>
  <c r="E134" i="7"/>
  <c r="E143" i="7"/>
  <c r="E136" i="7"/>
  <c r="F153" i="7"/>
  <c r="F150" i="7"/>
  <c r="F152" i="7"/>
  <c r="F151" i="7"/>
  <c r="F157" i="7"/>
  <c r="F154" i="7"/>
  <c r="F156" i="7"/>
  <c r="F149" i="7"/>
  <c r="F147" i="7"/>
  <c r="F140" i="7"/>
  <c r="F139" i="7"/>
  <c r="F132" i="7"/>
  <c r="F145" i="7"/>
  <c r="F142" i="7"/>
  <c r="F137" i="7"/>
  <c r="F134" i="7"/>
  <c r="F155" i="7"/>
  <c r="F141" i="7"/>
  <c r="F133" i="7"/>
  <c r="F144" i="7"/>
  <c r="F143" i="7"/>
  <c r="F136" i="7"/>
  <c r="F135" i="7"/>
  <c r="F148" i="7"/>
  <c r="F146" i="7"/>
  <c r="F138" i="7"/>
  <c r="K152" i="7"/>
  <c r="K151" i="7"/>
  <c r="K157" i="7"/>
  <c r="K154" i="7"/>
  <c r="K149" i="7"/>
  <c r="K156" i="7"/>
  <c r="K155" i="7"/>
  <c r="K148" i="7"/>
  <c r="K145" i="7"/>
  <c r="K142" i="7"/>
  <c r="K137" i="7"/>
  <c r="K144" i="7"/>
  <c r="K143" i="7"/>
  <c r="K139" i="7"/>
  <c r="K146" i="7"/>
  <c r="K141" i="7"/>
  <c r="K138" i="7"/>
  <c r="K153" i="7"/>
  <c r="K150" i="7"/>
  <c r="K147" i="7"/>
  <c r="K140" i="7"/>
  <c r="H157" i="7"/>
  <c r="H154" i="7"/>
  <c r="H149" i="7"/>
  <c r="H156" i="7"/>
  <c r="H155" i="7"/>
  <c r="H148" i="7"/>
  <c r="H153" i="7"/>
  <c r="H150" i="7"/>
  <c r="H144" i="7"/>
  <c r="H143" i="7"/>
  <c r="H136" i="7"/>
  <c r="H135" i="7"/>
  <c r="H137" i="7"/>
  <c r="H151" i="7"/>
  <c r="H146" i="7"/>
  <c r="H141" i="7"/>
  <c r="H138" i="7"/>
  <c r="H142" i="7"/>
  <c r="H152" i="7"/>
  <c r="H147" i="7"/>
  <c r="H140" i="7"/>
  <c r="H139" i="7"/>
  <c r="H145" i="7"/>
  <c r="H134" i="7"/>
  <c r="G152" i="7"/>
  <c r="G151" i="7"/>
  <c r="G157" i="7"/>
  <c r="G154" i="7"/>
  <c r="G149" i="7"/>
  <c r="G156" i="7"/>
  <c r="G155" i="7"/>
  <c r="G153" i="7"/>
  <c r="G145" i="7"/>
  <c r="G142" i="7"/>
  <c r="G137" i="7"/>
  <c r="G134" i="7"/>
  <c r="G150" i="7"/>
  <c r="G144" i="7"/>
  <c r="G143" i="7"/>
  <c r="G136" i="7"/>
  <c r="G135" i="7"/>
  <c r="G147" i="7"/>
  <c r="G140" i="7"/>
  <c r="G148" i="7"/>
  <c r="G146" i="7"/>
  <c r="G141" i="7"/>
  <c r="G138" i="7"/>
  <c r="G133" i="7"/>
  <c r="G139" i="7"/>
  <c r="D157" i="7"/>
  <c r="D154" i="7"/>
  <c r="D149" i="7"/>
  <c r="D156" i="7"/>
  <c r="D155" i="7"/>
  <c r="D148" i="7"/>
  <c r="D153" i="7"/>
  <c r="D144" i="7"/>
  <c r="D143" i="7"/>
  <c r="D136" i="7"/>
  <c r="D135" i="7"/>
  <c r="D134" i="7"/>
  <c r="D146" i="7"/>
  <c r="D141" i="7"/>
  <c r="D138" i="7"/>
  <c r="D133" i="7"/>
  <c r="D130" i="7"/>
  <c r="D145" i="7"/>
  <c r="D150" i="7"/>
  <c r="D147" i="7"/>
  <c r="D140" i="7"/>
  <c r="D139" i="7"/>
  <c r="D132" i="7"/>
  <c r="D131" i="7"/>
  <c r="D152" i="7"/>
  <c r="D151" i="7"/>
  <c r="D142" i="7"/>
  <c r="D137" i="7"/>
  <c r="I156" i="7"/>
  <c r="I155" i="7"/>
  <c r="I148" i="7"/>
  <c r="I153" i="7"/>
  <c r="I150" i="7"/>
  <c r="I152" i="7"/>
  <c r="I157" i="7"/>
  <c r="I151" i="7"/>
  <c r="I146" i="7"/>
  <c r="I141" i="7"/>
  <c r="I138" i="7"/>
  <c r="I135" i="7"/>
  <c r="I154" i="7"/>
  <c r="I147" i="7"/>
  <c r="I140" i="7"/>
  <c r="I139" i="7"/>
  <c r="I149" i="7"/>
  <c r="I143" i="7"/>
  <c r="I136" i="7"/>
  <c r="I145" i="7"/>
  <c r="I142" i="7"/>
  <c r="I137" i="7"/>
  <c r="I144" i="7"/>
  <c r="L157" i="7"/>
  <c r="L154" i="7"/>
  <c r="L149" i="7"/>
  <c r="L156" i="7"/>
  <c r="L155" i="7"/>
  <c r="L148" i="7"/>
  <c r="L153" i="7"/>
  <c r="L144" i="7"/>
  <c r="L143" i="7"/>
  <c r="L152" i="7"/>
  <c r="L146" i="7"/>
  <c r="L141" i="7"/>
  <c r="L138" i="7"/>
  <c r="L151" i="7"/>
  <c r="L145" i="7"/>
  <c r="L150" i="7"/>
  <c r="L147" i="7"/>
  <c r="L140" i="7"/>
  <c r="L139" i="7"/>
  <c r="L142" i="7"/>
  <c r="E130" i="7"/>
  <c r="J60" i="2"/>
  <c r="J61" i="2" s="1"/>
  <c r="K59" i="2"/>
  <c r="K127" i="2"/>
  <c r="K187" i="2"/>
  <c r="K159" i="2"/>
  <c r="M15" i="2"/>
  <c r="L16" i="2"/>
  <c r="L99" i="2" s="1"/>
  <c r="H34" i="2"/>
  <c r="H165" i="2"/>
  <c r="H105" i="2"/>
  <c r="H109" i="2" s="1"/>
  <c r="H19" i="2"/>
  <c r="F209" i="7" l="1"/>
  <c r="F131" i="7"/>
  <c r="H132" i="2"/>
  <c r="H133" i="2" s="1"/>
  <c r="H74" i="2"/>
  <c r="I75" i="2" s="1"/>
  <c r="J75" i="2" s="1"/>
  <c r="K75" i="2" s="1"/>
  <c r="L75" i="2" s="1"/>
  <c r="M75" i="2" s="1"/>
  <c r="N75" i="2" s="1"/>
  <c r="O75" i="2" s="1"/>
  <c r="P75" i="2" s="1"/>
  <c r="Q75" i="2" s="1"/>
  <c r="R75" i="2" s="1"/>
  <c r="S75" i="2" s="1"/>
  <c r="T75" i="2" s="1"/>
  <c r="U75" i="2" s="1"/>
  <c r="V75" i="2" s="1"/>
  <c r="W75" i="2" s="1"/>
  <c r="X75" i="2" s="1"/>
  <c r="Y75" i="2" s="1"/>
  <c r="Z75" i="2" s="1"/>
  <c r="AA75" i="2" s="1"/>
  <c r="AB75" i="2" s="1"/>
  <c r="AC75" i="2" s="1"/>
  <c r="AD75" i="2" s="1"/>
  <c r="AE75" i="2" s="1"/>
  <c r="AF75" i="2" s="1"/>
  <c r="AG75" i="2" s="1"/>
  <c r="AH75" i="2" s="1"/>
  <c r="AI75" i="2" s="1"/>
  <c r="AJ75" i="2" s="1"/>
  <c r="AK75" i="2" s="1"/>
  <c r="H50" i="2"/>
  <c r="I51" i="2" s="1"/>
  <c r="K60" i="2"/>
  <c r="K61" i="2" s="1"/>
  <c r="L59" i="2"/>
  <c r="L127" i="2"/>
  <c r="L187" i="2"/>
  <c r="L159" i="2"/>
  <c r="N15" i="2"/>
  <c r="M16" i="2"/>
  <c r="M99" i="2" s="1"/>
  <c r="H36" i="2"/>
  <c r="H35" i="2"/>
  <c r="H110" i="2"/>
  <c r="H111" i="2" s="1"/>
  <c r="H166" i="2"/>
  <c r="H169" i="2"/>
  <c r="H106" i="2"/>
  <c r="G210" i="7" l="1"/>
  <c r="H76" i="2"/>
  <c r="H85" i="2" s="1"/>
  <c r="G132" i="7"/>
  <c r="L60" i="2"/>
  <c r="L61" i="2" s="1"/>
  <c r="M59" i="2"/>
  <c r="J51" i="2"/>
  <c r="I52" i="2"/>
  <c r="I54" i="2" s="1"/>
  <c r="I62" i="2"/>
  <c r="I76" i="2"/>
  <c r="M127" i="2"/>
  <c r="M187" i="2"/>
  <c r="M159" i="2"/>
  <c r="H52" i="2"/>
  <c r="H54" i="2" s="1"/>
  <c r="H62" i="2"/>
  <c r="H63" i="2" s="1"/>
  <c r="O15" i="2"/>
  <c r="N16" i="2"/>
  <c r="N99" i="2" s="1"/>
  <c r="I134" i="2"/>
  <c r="J134" i="2" s="1"/>
  <c r="H167" i="2"/>
  <c r="H168" i="2" s="1"/>
  <c r="H107" i="2"/>
  <c r="H108" i="2" s="1"/>
  <c r="H112" i="2" s="1"/>
  <c r="H114" i="2" s="1"/>
  <c r="H115" i="2" s="1"/>
  <c r="H170" i="2"/>
  <c r="H211" i="7" l="1"/>
  <c r="I63" i="2"/>
  <c r="I64" i="2" s="1"/>
  <c r="I65" i="2" s="1"/>
  <c r="I55" i="2"/>
  <c r="H77" i="2"/>
  <c r="H78" i="2" s="1"/>
  <c r="H79" i="2" s="1"/>
  <c r="H80" i="2" s="1"/>
  <c r="H133" i="7"/>
  <c r="H171" i="2"/>
  <c r="H172" i="2" s="1"/>
  <c r="H174" i="2" s="1"/>
  <c r="H175" i="2" s="1"/>
  <c r="H116" i="2"/>
  <c r="H128" i="2"/>
  <c r="J52" i="2"/>
  <c r="J54" i="2" s="1"/>
  <c r="K51" i="2"/>
  <c r="J62" i="2"/>
  <c r="M60" i="2"/>
  <c r="M61" i="2" s="1"/>
  <c r="N59" i="2"/>
  <c r="I77" i="2"/>
  <c r="I85" i="2"/>
  <c r="J76" i="2"/>
  <c r="N127" i="2"/>
  <c r="N187" i="2"/>
  <c r="N159" i="2"/>
  <c r="H64" i="2"/>
  <c r="P15" i="2"/>
  <c r="O16" i="2"/>
  <c r="O99" i="2" s="1"/>
  <c r="I135" i="2"/>
  <c r="I144" i="2" s="1"/>
  <c r="H135" i="2"/>
  <c r="H136" i="2" s="1"/>
  <c r="K134" i="2"/>
  <c r="J135" i="2"/>
  <c r="H55" i="2"/>
  <c r="I212" i="7" l="1"/>
  <c r="D13" i="7"/>
  <c r="I69" i="2"/>
  <c r="D51" i="7" s="1"/>
  <c r="J63" i="2"/>
  <c r="J64" i="2" s="1"/>
  <c r="J65" i="2" s="1"/>
  <c r="H65" i="2"/>
  <c r="I57" i="2"/>
  <c r="I70" i="2" s="1"/>
  <c r="I66" i="2"/>
  <c r="H56" i="2"/>
  <c r="I56" i="2" s="1"/>
  <c r="H66" i="2"/>
  <c r="C25" i="7" s="1"/>
  <c r="J55" i="2"/>
  <c r="J57" i="2" s="1"/>
  <c r="H81" i="2"/>
  <c r="H82" i="2" s="1"/>
  <c r="H83" i="2" s="1"/>
  <c r="I134" i="7"/>
  <c r="C152" i="7"/>
  <c r="C151" i="7"/>
  <c r="C157" i="7"/>
  <c r="AF126" i="7" s="1"/>
  <c r="AK129" i="2" s="1"/>
  <c r="C154" i="7"/>
  <c r="AC126" i="7" s="1"/>
  <c r="AH129" i="2" s="1"/>
  <c r="C149" i="7"/>
  <c r="C156" i="7"/>
  <c r="AE126" i="7" s="1"/>
  <c r="AJ129" i="2" s="1"/>
  <c r="C155" i="7"/>
  <c r="AD126" i="7" s="1"/>
  <c r="AI129" i="2" s="1"/>
  <c r="C148" i="7"/>
  <c r="C145" i="7"/>
  <c r="C142" i="7"/>
  <c r="C137" i="7"/>
  <c r="C134" i="7"/>
  <c r="I126" i="7" s="1"/>
  <c r="N129" i="2" s="1"/>
  <c r="C129" i="7"/>
  <c r="C139" i="7"/>
  <c r="C132" i="7"/>
  <c r="G126" i="7" s="1"/>
  <c r="L129" i="2" s="1"/>
  <c r="C153" i="7"/>
  <c r="AB126" i="7" s="1"/>
  <c r="AG129" i="2" s="1"/>
  <c r="C144" i="7"/>
  <c r="C143" i="7"/>
  <c r="C136" i="7"/>
  <c r="C135" i="7"/>
  <c r="C150" i="7"/>
  <c r="C131" i="7"/>
  <c r="F126" i="7" s="1"/>
  <c r="K129" i="2" s="1"/>
  <c r="C146" i="7"/>
  <c r="C141" i="7"/>
  <c r="C138" i="7"/>
  <c r="C133" i="7"/>
  <c r="H126" i="7" s="1"/>
  <c r="M129" i="2" s="1"/>
  <c r="C130" i="7"/>
  <c r="E126" i="7" s="1"/>
  <c r="J129" i="2" s="1"/>
  <c r="C147" i="7"/>
  <c r="C140" i="7"/>
  <c r="H130" i="2"/>
  <c r="H176" i="2"/>
  <c r="H190" i="2" s="1"/>
  <c r="H188" i="2"/>
  <c r="I116" i="2"/>
  <c r="N60" i="2"/>
  <c r="N61" i="2" s="1"/>
  <c r="O59" i="2"/>
  <c r="L51" i="2"/>
  <c r="K52" i="2"/>
  <c r="K54" i="2" s="1"/>
  <c r="K62" i="2"/>
  <c r="K76" i="2"/>
  <c r="I78" i="2"/>
  <c r="I79" i="2" s="1"/>
  <c r="I80" i="2" s="1"/>
  <c r="I81" i="2"/>
  <c r="I82" i="2" s="1"/>
  <c r="I83" i="2" s="1"/>
  <c r="J77" i="2"/>
  <c r="J85" i="2"/>
  <c r="O127" i="2"/>
  <c r="O187" i="2"/>
  <c r="O159" i="2"/>
  <c r="H84" i="2"/>
  <c r="H86" i="2" s="1"/>
  <c r="H87" i="2" s="1"/>
  <c r="Q15" i="2"/>
  <c r="Q16" i="2" s="1"/>
  <c r="P16" i="2"/>
  <c r="P99" i="2" s="1"/>
  <c r="I136" i="2"/>
  <c r="H137" i="2"/>
  <c r="H138" i="2" s="1"/>
  <c r="C128" i="7" s="1"/>
  <c r="C126" i="7" s="1"/>
  <c r="H140" i="2"/>
  <c r="H141" i="2" s="1"/>
  <c r="H142" i="2" s="1"/>
  <c r="H144" i="2"/>
  <c r="J136" i="2"/>
  <c r="J144" i="2"/>
  <c r="K135" i="2"/>
  <c r="L134" i="2"/>
  <c r="H57" i="2"/>
  <c r="H68" i="2" l="1"/>
  <c r="J213" i="7"/>
  <c r="J68" i="2"/>
  <c r="I68" i="2"/>
  <c r="H69" i="2"/>
  <c r="C50" i="7" s="1"/>
  <c r="C48" i="7" s="1"/>
  <c r="E14" i="7"/>
  <c r="J69" i="2"/>
  <c r="E52" i="7" s="1"/>
  <c r="K63" i="2"/>
  <c r="K64" i="2" s="1"/>
  <c r="K65" i="2" s="1"/>
  <c r="C12" i="7"/>
  <c r="C10" i="7" s="1"/>
  <c r="D76" i="7"/>
  <c r="D73" i="7"/>
  <c r="D75" i="7"/>
  <c r="D74" i="7"/>
  <c r="D67" i="7"/>
  <c r="D77" i="7"/>
  <c r="D72" i="7"/>
  <c r="D69" i="7"/>
  <c r="D70" i="7"/>
  <c r="D68" i="7"/>
  <c r="D64" i="7"/>
  <c r="D61" i="7"/>
  <c r="D55" i="7"/>
  <c r="D54" i="7"/>
  <c r="D78" i="7"/>
  <c r="D63" i="7"/>
  <c r="D62" i="7"/>
  <c r="D57" i="7"/>
  <c r="D52" i="7"/>
  <c r="D79" i="7"/>
  <c r="D65" i="7"/>
  <c r="D60" i="7"/>
  <c r="D58" i="7"/>
  <c r="D66" i="7"/>
  <c r="D59" i="7"/>
  <c r="D53" i="7"/>
  <c r="D71" i="7"/>
  <c r="D56" i="7"/>
  <c r="C37" i="7"/>
  <c r="C36" i="7"/>
  <c r="C29" i="7"/>
  <c r="C28" i="7"/>
  <c r="C21" i="7"/>
  <c r="C20" i="7"/>
  <c r="C13" i="7"/>
  <c r="C41" i="7"/>
  <c r="C34" i="7"/>
  <c r="C31" i="7"/>
  <c r="C26" i="7"/>
  <c r="C23" i="7"/>
  <c r="C18" i="7"/>
  <c r="C15" i="7"/>
  <c r="C39" i="7"/>
  <c r="C38" i="7"/>
  <c r="C35" i="7"/>
  <c r="C40" i="7"/>
  <c r="C33" i="7"/>
  <c r="C32" i="7"/>
  <c r="C24" i="7"/>
  <c r="C17" i="7"/>
  <c r="C16" i="7"/>
  <c r="C19" i="7"/>
  <c r="C14" i="7"/>
  <c r="C22" i="7"/>
  <c r="C30" i="7"/>
  <c r="C27" i="7"/>
  <c r="J70" i="2"/>
  <c r="J66" i="2"/>
  <c r="D39" i="7"/>
  <c r="D41" i="7"/>
  <c r="D34" i="7"/>
  <c r="D31" i="7"/>
  <c r="D26" i="7"/>
  <c r="D23" i="7"/>
  <c r="D18" i="7"/>
  <c r="D15" i="7"/>
  <c r="D40" i="7"/>
  <c r="D33" i="7"/>
  <c r="D32" i="7"/>
  <c r="D25" i="7"/>
  <c r="D24" i="7"/>
  <c r="D17" i="7"/>
  <c r="D16" i="7"/>
  <c r="D37" i="7"/>
  <c r="D36" i="7"/>
  <c r="D38" i="7"/>
  <c r="D35" i="7"/>
  <c r="D30" i="7"/>
  <c r="D27" i="7"/>
  <c r="D22" i="7"/>
  <c r="D19" i="7"/>
  <c r="D14" i="7"/>
  <c r="D21" i="7"/>
  <c r="D20" i="7"/>
  <c r="D29" i="7"/>
  <c r="D28" i="7"/>
  <c r="H58" i="2"/>
  <c r="I72" i="2" s="1"/>
  <c r="H70" i="2"/>
  <c r="C233" i="7"/>
  <c r="AD204" i="7" s="1"/>
  <c r="AI189" i="2" s="1"/>
  <c r="C235" i="7"/>
  <c r="AF204" i="7" s="1"/>
  <c r="AK189" i="2" s="1"/>
  <c r="C234" i="7"/>
  <c r="AE204" i="7" s="1"/>
  <c r="AJ189" i="2" s="1"/>
  <c r="C227" i="7"/>
  <c r="C226" i="7"/>
  <c r="C219" i="7"/>
  <c r="C218" i="7"/>
  <c r="C211" i="7"/>
  <c r="H204" i="7" s="1"/>
  <c r="M189" i="2" s="1"/>
  <c r="C210" i="7"/>
  <c r="G204" i="7" s="1"/>
  <c r="L189" i="2" s="1"/>
  <c r="C232" i="7"/>
  <c r="AC204" i="7" s="1"/>
  <c r="AH189" i="2" s="1"/>
  <c r="C229" i="7"/>
  <c r="C224" i="7"/>
  <c r="C221" i="7"/>
  <c r="C216" i="7"/>
  <c r="C213" i="7"/>
  <c r="C208" i="7"/>
  <c r="E204" i="7" s="1"/>
  <c r="J189" i="2" s="1"/>
  <c r="C228" i="7"/>
  <c r="C217" i="7"/>
  <c r="C212" i="7"/>
  <c r="I204" i="7" s="1"/>
  <c r="N189" i="2" s="1"/>
  <c r="C231" i="7"/>
  <c r="AB204" i="7" s="1"/>
  <c r="AG189" i="2" s="1"/>
  <c r="C230" i="7"/>
  <c r="C215" i="7"/>
  <c r="C214" i="7"/>
  <c r="C225" i="7"/>
  <c r="C220" i="7"/>
  <c r="C209" i="7"/>
  <c r="F204" i="7" s="1"/>
  <c r="K189" i="2" s="1"/>
  <c r="C223" i="7"/>
  <c r="C222" i="7"/>
  <c r="C207" i="7"/>
  <c r="C206" i="7"/>
  <c r="C204" i="7" s="1"/>
  <c r="K55" i="2"/>
  <c r="J56" i="2"/>
  <c r="D126" i="7"/>
  <c r="I129" i="2" s="1"/>
  <c r="H129" i="2"/>
  <c r="I176" i="2"/>
  <c r="I190" i="2" s="1"/>
  <c r="J135" i="7"/>
  <c r="J126" i="7" s="1"/>
  <c r="O129" i="2" s="1"/>
  <c r="I130" i="2"/>
  <c r="H100" i="2"/>
  <c r="C101" i="7" s="1"/>
  <c r="J116" i="2"/>
  <c r="H139" i="2"/>
  <c r="H143" i="2" s="1"/>
  <c r="I137" i="2"/>
  <c r="I138" i="2" s="1"/>
  <c r="H88" i="2"/>
  <c r="H102" i="2" s="1"/>
  <c r="M51" i="2"/>
  <c r="L52" i="2"/>
  <c r="L54" i="2" s="1"/>
  <c r="L62" i="2"/>
  <c r="O60" i="2"/>
  <c r="O61" i="2" s="1"/>
  <c r="P59" i="2"/>
  <c r="J81" i="2"/>
  <c r="J82" i="2" s="1"/>
  <c r="J83" i="2" s="1"/>
  <c r="J78" i="2"/>
  <c r="J79" i="2" s="1"/>
  <c r="J80" i="2" s="1"/>
  <c r="I84" i="2"/>
  <c r="I86" i="2" s="1"/>
  <c r="I87" i="2" s="1"/>
  <c r="K85" i="2"/>
  <c r="K77" i="2"/>
  <c r="L76" i="2"/>
  <c r="P127" i="2"/>
  <c r="P187" i="2"/>
  <c r="P159" i="2"/>
  <c r="I140" i="2"/>
  <c r="I141" i="2" s="1"/>
  <c r="I142" i="2" s="1"/>
  <c r="R15" i="2"/>
  <c r="Q99" i="2"/>
  <c r="K144" i="2"/>
  <c r="K136" i="2"/>
  <c r="J137" i="2"/>
  <c r="J138" i="2" s="1"/>
  <c r="J140" i="2"/>
  <c r="J141" i="2" s="1"/>
  <c r="J142" i="2" s="1"/>
  <c r="M134" i="2"/>
  <c r="L135" i="2"/>
  <c r="H72" i="2" l="1"/>
  <c r="J204" i="7"/>
  <c r="O189" i="2" s="1"/>
  <c r="K214" i="7"/>
  <c r="K204" i="7" s="1"/>
  <c r="P189" i="2" s="1"/>
  <c r="C115" i="7"/>
  <c r="K68" i="2"/>
  <c r="I58" i="2"/>
  <c r="F15" i="7"/>
  <c r="K69" i="2"/>
  <c r="F53" i="7" s="1"/>
  <c r="L63" i="2"/>
  <c r="L64" i="2" s="1"/>
  <c r="L65" i="2" s="1"/>
  <c r="C91" i="7"/>
  <c r="E39" i="7"/>
  <c r="E41" i="7"/>
  <c r="E40" i="7"/>
  <c r="E33" i="7"/>
  <c r="E32" i="7"/>
  <c r="E25" i="7"/>
  <c r="E24" i="7"/>
  <c r="E17" i="7"/>
  <c r="E16" i="7"/>
  <c r="E38" i="7"/>
  <c r="E35" i="7"/>
  <c r="E30" i="7"/>
  <c r="E27" i="7"/>
  <c r="E22" i="7"/>
  <c r="E19" i="7"/>
  <c r="E31" i="7"/>
  <c r="E37" i="7"/>
  <c r="E36" i="7"/>
  <c r="E29" i="7"/>
  <c r="E28" i="7"/>
  <c r="E21" i="7"/>
  <c r="E20" i="7"/>
  <c r="E34" i="7"/>
  <c r="E15" i="7"/>
  <c r="E18" i="7"/>
  <c r="E26" i="7"/>
  <c r="E23" i="7"/>
  <c r="E10" i="7"/>
  <c r="J67" i="2" s="1"/>
  <c r="E75" i="7"/>
  <c r="E74" i="7"/>
  <c r="E77" i="7"/>
  <c r="E72" i="7"/>
  <c r="E69" i="7"/>
  <c r="E79" i="7"/>
  <c r="E78" i="7"/>
  <c r="E71" i="7"/>
  <c r="E70" i="7"/>
  <c r="E73" i="7"/>
  <c r="E67" i="7"/>
  <c r="E63" i="7"/>
  <c r="E62" i="7"/>
  <c r="E57" i="7"/>
  <c r="E65" i="7"/>
  <c r="E60" i="7"/>
  <c r="E58" i="7"/>
  <c r="E76" i="7"/>
  <c r="E66" i="7"/>
  <c r="E59" i="7"/>
  <c r="E56" i="7"/>
  <c r="E53" i="7"/>
  <c r="E61" i="7"/>
  <c r="E54" i="7"/>
  <c r="E68" i="7"/>
  <c r="E64" i="7"/>
  <c r="E55" i="7"/>
  <c r="D10" i="7"/>
  <c r="I67" i="2" s="1"/>
  <c r="H67" i="2"/>
  <c r="K57" i="2"/>
  <c r="K70" i="2" s="1"/>
  <c r="K66" i="2"/>
  <c r="C79" i="7"/>
  <c r="C78" i="7"/>
  <c r="C71" i="7"/>
  <c r="C70" i="7"/>
  <c r="C76" i="7"/>
  <c r="C73" i="7"/>
  <c r="C68" i="7"/>
  <c r="C75" i="7"/>
  <c r="C74" i="7"/>
  <c r="C67" i="7"/>
  <c r="C77" i="7"/>
  <c r="C66" i="7"/>
  <c r="C59" i="7"/>
  <c r="C56" i="7"/>
  <c r="C53" i="7"/>
  <c r="C69" i="7"/>
  <c r="C64" i="7"/>
  <c r="C61" i="7"/>
  <c r="C55" i="7"/>
  <c r="C54" i="7"/>
  <c r="C72" i="7"/>
  <c r="C63" i="7"/>
  <c r="C62" i="7"/>
  <c r="C57" i="7"/>
  <c r="C52" i="7"/>
  <c r="C65" i="7"/>
  <c r="C60" i="7"/>
  <c r="C58" i="7"/>
  <c r="C51" i="7"/>
  <c r="D204" i="7"/>
  <c r="I189" i="2" s="1"/>
  <c r="H189" i="2"/>
  <c r="C89" i="7"/>
  <c r="C87" i="7" s="1"/>
  <c r="C92" i="7"/>
  <c r="K56" i="2"/>
  <c r="C108" i="7"/>
  <c r="L55" i="2"/>
  <c r="C110" i="7"/>
  <c r="C117" i="7"/>
  <c r="C112" i="7"/>
  <c r="C97" i="7"/>
  <c r="C106" i="7"/>
  <c r="C107" i="7"/>
  <c r="J176" i="2"/>
  <c r="J190" i="2" s="1"/>
  <c r="C104" i="7"/>
  <c r="C109" i="7"/>
  <c r="C94" i="7"/>
  <c r="C114" i="7"/>
  <c r="C99" i="7"/>
  <c r="C93" i="7"/>
  <c r="C113" i="7"/>
  <c r="C98" i="7"/>
  <c r="C96" i="7"/>
  <c r="C103" i="7"/>
  <c r="C116" i="7"/>
  <c r="C105" i="7"/>
  <c r="C100" i="7"/>
  <c r="C102" i="7"/>
  <c r="C118" i="7"/>
  <c r="C95" i="7"/>
  <c r="C111" i="7"/>
  <c r="J130" i="2"/>
  <c r="C90" i="7"/>
  <c r="K136" i="7"/>
  <c r="K126" i="7" s="1"/>
  <c r="P129" i="2" s="1"/>
  <c r="I100" i="2"/>
  <c r="D105" i="7" s="1"/>
  <c r="K116" i="2"/>
  <c r="L116" i="2" s="1"/>
  <c r="L130" i="2" s="1"/>
  <c r="I139" i="2"/>
  <c r="I143" i="2" s="1"/>
  <c r="I145" i="2" s="1"/>
  <c r="I147" i="2" s="1"/>
  <c r="I160" i="2" s="1"/>
  <c r="J139" i="2"/>
  <c r="J143" i="2" s="1"/>
  <c r="J145" i="2" s="1"/>
  <c r="J147" i="2" s="1"/>
  <c r="J160" i="2" s="1"/>
  <c r="I88" i="2"/>
  <c r="I102" i="2" s="1"/>
  <c r="N51" i="2"/>
  <c r="M52" i="2"/>
  <c r="M54" i="2" s="1"/>
  <c r="M62" i="2"/>
  <c r="Q59" i="2"/>
  <c r="P60" i="2"/>
  <c r="P61" i="2" s="1"/>
  <c r="J84" i="2"/>
  <c r="J86" i="2" s="1"/>
  <c r="J87" i="2" s="1"/>
  <c r="L85" i="2"/>
  <c r="L77" i="2"/>
  <c r="M76" i="2"/>
  <c r="K81" i="2"/>
  <c r="K82" i="2" s="1"/>
  <c r="K83" i="2" s="1"/>
  <c r="K78" i="2"/>
  <c r="K79" i="2" s="1"/>
  <c r="K80" i="2" s="1"/>
  <c r="Q127" i="2"/>
  <c r="Q187" i="2"/>
  <c r="Q159" i="2"/>
  <c r="S15" i="2"/>
  <c r="R16" i="2"/>
  <c r="R99" i="2" s="1"/>
  <c r="H145" i="2"/>
  <c r="H146" i="2"/>
  <c r="L144" i="2"/>
  <c r="L136" i="2"/>
  <c r="K140" i="2"/>
  <c r="K141" i="2" s="1"/>
  <c r="K142" i="2" s="1"/>
  <c r="K137" i="2"/>
  <c r="K138" i="2" s="1"/>
  <c r="M135" i="2"/>
  <c r="N134" i="2"/>
  <c r="J58" i="2" l="1"/>
  <c r="K72" i="2" s="1"/>
  <c r="J72" i="2"/>
  <c r="L215" i="7"/>
  <c r="L204" i="7" s="1"/>
  <c r="Q189" i="2" s="1"/>
  <c r="E48" i="7"/>
  <c r="J71" i="2" s="1"/>
  <c r="L68" i="2"/>
  <c r="D92" i="7"/>
  <c r="G16" i="7"/>
  <c r="L69" i="2"/>
  <c r="G54" i="7" s="1"/>
  <c r="M63" i="2"/>
  <c r="M64" i="2" s="1"/>
  <c r="M65" i="2" s="1"/>
  <c r="H71" i="2"/>
  <c r="D48" i="7"/>
  <c r="I71" i="2" s="1"/>
  <c r="F41" i="7"/>
  <c r="F40" i="7"/>
  <c r="F38" i="7"/>
  <c r="F35" i="7"/>
  <c r="F30" i="7"/>
  <c r="F27" i="7"/>
  <c r="F22" i="7"/>
  <c r="F19" i="7"/>
  <c r="F33" i="7"/>
  <c r="F37" i="7"/>
  <c r="F36" i="7"/>
  <c r="F29" i="7"/>
  <c r="F28" i="7"/>
  <c r="F21" i="7"/>
  <c r="F20" i="7"/>
  <c r="F32" i="7"/>
  <c r="F39" i="7"/>
  <c r="F34" i="7"/>
  <c r="F31" i="7"/>
  <c r="F26" i="7"/>
  <c r="F23" i="7"/>
  <c r="F18" i="7"/>
  <c r="F24" i="7"/>
  <c r="F25" i="7"/>
  <c r="F17" i="7"/>
  <c r="F16" i="7"/>
  <c r="F10" i="7"/>
  <c r="K67" i="2" s="1"/>
  <c r="L57" i="2"/>
  <c r="L70" i="2" s="1"/>
  <c r="L66" i="2"/>
  <c r="F77" i="7"/>
  <c r="F72" i="7"/>
  <c r="F69" i="7"/>
  <c r="F79" i="7"/>
  <c r="F78" i="7"/>
  <c r="F71" i="7"/>
  <c r="F70" i="7"/>
  <c r="F76" i="7"/>
  <c r="F73" i="7"/>
  <c r="F68" i="7"/>
  <c r="F75" i="7"/>
  <c r="F65" i="7"/>
  <c r="F60" i="7"/>
  <c r="F58" i="7"/>
  <c r="F66" i="7"/>
  <c r="F59" i="7"/>
  <c r="F56" i="7"/>
  <c r="F74" i="7"/>
  <c r="F64" i="7"/>
  <c r="F61" i="7"/>
  <c r="F55" i="7"/>
  <c r="F54" i="7"/>
  <c r="F57" i="7"/>
  <c r="F67" i="7"/>
  <c r="F62" i="7"/>
  <c r="F63" i="7"/>
  <c r="F48" i="7"/>
  <c r="K71" i="2" s="1"/>
  <c r="K176" i="2"/>
  <c r="K190" i="2" s="1"/>
  <c r="L56" i="2"/>
  <c r="M55" i="2"/>
  <c r="H101" i="2"/>
  <c r="D115" i="7"/>
  <c r="D109" i="7"/>
  <c r="D116" i="7"/>
  <c r="D111" i="7"/>
  <c r="D99" i="7"/>
  <c r="D102" i="7"/>
  <c r="D98" i="7"/>
  <c r="D95" i="7"/>
  <c r="D114" i="7"/>
  <c r="D104" i="7"/>
  <c r="K130" i="2"/>
  <c r="D90" i="7"/>
  <c r="D193" i="7"/>
  <c r="D190" i="7"/>
  <c r="D185" i="7"/>
  <c r="D192" i="7"/>
  <c r="D191" i="7"/>
  <c r="D184" i="7"/>
  <c r="D194" i="7"/>
  <c r="D189" i="7"/>
  <c r="D182" i="7"/>
  <c r="D177" i="7"/>
  <c r="D174" i="7"/>
  <c r="D196" i="7"/>
  <c r="D187" i="7"/>
  <c r="D183" i="7"/>
  <c r="D176" i="7"/>
  <c r="D175" i="7"/>
  <c r="D169" i="7"/>
  <c r="D186" i="7"/>
  <c r="D181" i="7"/>
  <c r="D178" i="7"/>
  <c r="D173" i="7"/>
  <c r="D179" i="7"/>
  <c r="D170" i="7"/>
  <c r="D180" i="7"/>
  <c r="D195" i="7"/>
  <c r="D172" i="7"/>
  <c r="D171" i="7"/>
  <c r="D188" i="7"/>
  <c r="D168" i="7"/>
  <c r="L137" i="7"/>
  <c r="L126" i="7" s="1"/>
  <c r="Q129" i="2" s="1"/>
  <c r="D93" i="7"/>
  <c r="D108" i="7"/>
  <c r="E192" i="7"/>
  <c r="E191" i="7"/>
  <c r="E184" i="7"/>
  <c r="E194" i="7"/>
  <c r="E189" i="7"/>
  <c r="E186" i="7"/>
  <c r="E196" i="7"/>
  <c r="E187" i="7"/>
  <c r="E183" i="7"/>
  <c r="E176" i="7"/>
  <c r="E175" i="7"/>
  <c r="E193" i="7"/>
  <c r="E190" i="7"/>
  <c r="E181" i="7"/>
  <c r="E178" i="7"/>
  <c r="E173" i="7"/>
  <c r="E195" i="7"/>
  <c r="E188" i="7"/>
  <c r="E180" i="7"/>
  <c r="E179" i="7"/>
  <c r="E172" i="7"/>
  <c r="E171" i="7"/>
  <c r="E170" i="7"/>
  <c r="E177" i="7"/>
  <c r="E185" i="7"/>
  <c r="E182" i="7"/>
  <c r="E174" i="7"/>
  <c r="E169" i="7"/>
  <c r="D117" i="7"/>
  <c r="D107" i="7"/>
  <c r="D91" i="7"/>
  <c r="D101" i="7"/>
  <c r="D110" i="7"/>
  <c r="D94" i="7"/>
  <c r="D100" i="7"/>
  <c r="J100" i="2"/>
  <c r="E91" i="7" s="1"/>
  <c r="D118" i="7"/>
  <c r="D106" i="7"/>
  <c r="D112" i="7"/>
  <c r="D96" i="7"/>
  <c r="D103" i="7"/>
  <c r="D113" i="7"/>
  <c r="D97" i="7"/>
  <c r="K139" i="2"/>
  <c r="K143" i="2" s="1"/>
  <c r="K145" i="2" s="1"/>
  <c r="K147" i="2" s="1"/>
  <c r="K160" i="2" s="1"/>
  <c r="J88" i="2"/>
  <c r="J102" i="2" s="1"/>
  <c r="R59" i="2"/>
  <c r="Q60" i="2"/>
  <c r="Q61" i="2" s="1"/>
  <c r="O51" i="2"/>
  <c r="N52" i="2"/>
  <c r="N54" i="2" s="1"/>
  <c r="N62" i="2"/>
  <c r="M85" i="2"/>
  <c r="M77" i="2"/>
  <c r="K84" i="2"/>
  <c r="K86" i="2" s="1"/>
  <c r="K87" i="2" s="1"/>
  <c r="N76" i="2"/>
  <c r="L78" i="2"/>
  <c r="L79" i="2" s="1"/>
  <c r="L80" i="2" s="1"/>
  <c r="L81" i="2"/>
  <c r="L82" i="2" s="1"/>
  <c r="L83" i="2" s="1"/>
  <c r="R127" i="2"/>
  <c r="R187" i="2"/>
  <c r="R159" i="2"/>
  <c r="M116" i="2"/>
  <c r="M130" i="2" s="1"/>
  <c r="T15" i="2"/>
  <c r="S16" i="2"/>
  <c r="S99" i="2" s="1"/>
  <c r="H147" i="2"/>
  <c r="N135" i="2"/>
  <c r="O134" i="2"/>
  <c r="O135" i="2" s="1"/>
  <c r="L137" i="2"/>
  <c r="L138" i="2" s="1"/>
  <c r="L140" i="2"/>
  <c r="L141" i="2" s="1"/>
  <c r="L142" i="2" s="1"/>
  <c r="M136" i="2"/>
  <c r="M144" i="2"/>
  <c r="K58" i="2" l="1"/>
  <c r="L72" i="2" s="1"/>
  <c r="M216" i="7"/>
  <c r="M204" i="7" s="1"/>
  <c r="R189" i="2" s="1"/>
  <c r="M68" i="2"/>
  <c r="G48" i="7"/>
  <c r="L71" i="2" s="1"/>
  <c r="M69" i="2"/>
  <c r="H55" i="7" s="1"/>
  <c r="N63" i="2"/>
  <c r="N64" i="2" s="1"/>
  <c r="N65" i="2" s="1"/>
  <c r="M57" i="2"/>
  <c r="M70" i="2" s="1"/>
  <c r="M66" i="2"/>
  <c r="H17" i="7" s="1"/>
  <c r="G79" i="7"/>
  <c r="G78" i="7"/>
  <c r="G71" i="7"/>
  <c r="G70" i="7"/>
  <c r="G58" i="7"/>
  <c r="G76" i="7"/>
  <c r="G73" i="7"/>
  <c r="G68" i="7"/>
  <c r="G75" i="7"/>
  <c r="G74" i="7"/>
  <c r="G67" i="7"/>
  <c r="G69" i="7"/>
  <c r="G66" i="7"/>
  <c r="G59" i="7"/>
  <c r="G56" i="7"/>
  <c r="G72" i="7"/>
  <c r="G64" i="7"/>
  <c r="G61" i="7"/>
  <c r="G55" i="7"/>
  <c r="G63" i="7"/>
  <c r="G62" i="7"/>
  <c r="G57" i="7"/>
  <c r="G65" i="7"/>
  <c r="G77" i="7"/>
  <c r="G60" i="7"/>
  <c r="G41" i="7"/>
  <c r="G40" i="7"/>
  <c r="G37" i="7"/>
  <c r="G36" i="7"/>
  <c r="G29" i="7"/>
  <c r="G28" i="7"/>
  <c r="G21" i="7"/>
  <c r="G20" i="7"/>
  <c r="G39" i="7"/>
  <c r="G34" i="7"/>
  <c r="G31" i="7"/>
  <c r="G26" i="7"/>
  <c r="G23" i="7"/>
  <c r="G18" i="7"/>
  <c r="G38" i="7"/>
  <c r="G33" i="7"/>
  <c r="G32" i="7"/>
  <c r="G25" i="7"/>
  <c r="G24" i="7"/>
  <c r="G17" i="7"/>
  <c r="G35" i="7"/>
  <c r="G22" i="7"/>
  <c r="G30" i="7"/>
  <c r="G27" i="7"/>
  <c r="G19" i="7"/>
  <c r="G10" i="7"/>
  <c r="L67" i="2" s="1"/>
  <c r="L176" i="2"/>
  <c r="L190" i="2" s="1"/>
  <c r="M56" i="2"/>
  <c r="N55" i="2"/>
  <c r="E87" i="7"/>
  <c r="J101" i="2" s="1"/>
  <c r="D87" i="7"/>
  <c r="I101" i="2" s="1"/>
  <c r="E110" i="7"/>
  <c r="E94" i="7"/>
  <c r="E115" i="7"/>
  <c r="E100" i="7"/>
  <c r="E101" i="7"/>
  <c r="E107" i="7"/>
  <c r="F194" i="7"/>
  <c r="F189" i="7"/>
  <c r="F186" i="7"/>
  <c r="F196" i="7"/>
  <c r="F195" i="7"/>
  <c r="F188" i="7"/>
  <c r="F187" i="7"/>
  <c r="F193" i="7"/>
  <c r="F190" i="7"/>
  <c r="F181" i="7"/>
  <c r="F178" i="7"/>
  <c r="F173" i="7"/>
  <c r="F192" i="7"/>
  <c r="F191" i="7"/>
  <c r="F180" i="7"/>
  <c r="F179" i="7"/>
  <c r="F172" i="7"/>
  <c r="F171" i="7"/>
  <c r="F185" i="7"/>
  <c r="F182" i="7"/>
  <c r="F177" i="7"/>
  <c r="F174" i="7"/>
  <c r="F184" i="7"/>
  <c r="F175" i="7"/>
  <c r="F183" i="7"/>
  <c r="F176" i="7"/>
  <c r="F170" i="7"/>
  <c r="E117" i="7"/>
  <c r="E96" i="7"/>
  <c r="E113" i="7"/>
  <c r="E106" i="7"/>
  <c r="E118" i="7"/>
  <c r="E109" i="7"/>
  <c r="E93" i="7"/>
  <c r="E102" i="7"/>
  <c r="E108" i="7"/>
  <c r="E92" i="7"/>
  <c r="E99" i="7"/>
  <c r="M138" i="7"/>
  <c r="M126" i="7" s="1"/>
  <c r="R129" i="2" s="1"/>
  <c r="E112" i="7"/>
  <c r="E103" i="7"/>
  <c r="E97" i="7"/>
  <c r="L58" i="2"/>
  <c r="E116" i="7"/>
  <c r="E104" i="7"/>
  <c r="E111" i="7"/>
  <c r="E95" i="7"/>
  <c r="E105" i="7"/>
  <c r="E114" i="7"/>
  <c r="E98" i="7"/>
  <c r="K100" i="2"/>
  <c r="F106" i="7" s="1"/>
  <c r="H148" i="2"/>
  <c r="H162" i="2" s="1"/>
  <c r="H160" i="2"/>
  <c r="L139" i="2"/>
  <c r="L143" i="2" s="1"/>
  <c r="L145" i="2" s="1"/>
  <c r="L147" i="2" s="1"/>
  <c r="L160" i="2" s="1"/>
  <c r="K88" i="2"/>
  <c r="K102" i="2" s="1"/>
  <c r="R60" i="2"/>
  <c r="R61" i="2" s="1"/>
  <c r="S59" i="2"/>
  <c r="P51" i="2"/>
  <c r="O52" i="2"/>
  <c r="O54" i="2" s="1"/>
  <c r="O62" i="2"/>
  <c r="L84" i="2"/>
  <c r="L86" i="2" s="1"/>
  <c r="L87" i="2" s="1"/>
  <c r="M78" i="2"/>
  <c r="M79" i="2" s="1"/>
  <c r="M80" i="2" s="1"/>
  <c r="M81" i="2"/>
  <c r="M82" i="2" s="1"/>
  <c r="M83" i="2" s="1"/>
  <c r="N77" i="2"/>
  <c r="N85" i="2"/>
  <c r="O76" i="2"/>
  <c r="S127" i="2"/>
  <c r="S187" i="2"/>
  <c r="S159" i="2"/>
  <c r="O136" i="2"/>
  <c r="O144" i="2"/>
  <c r="N116" i="2"/>
  <c r="N130" i="2" s="1"/>
  <c r="U15" i="2"/>
  <c r="T16" i="2"/>
  <c r="T99" i="2" s="1"/>
  <c r="P134" i="2"/>
  <c r="P135" i="2" s="1"/>
  <c r="N136" i="2"/>
  <c r="N144" i="2"/>
  <c r="M137" i="2"/>
  <c r="M138" i="2" s="1"/>
  <c r="M140" i="2"/>
  <c r="M141" i="2" s="1"/>
  <c r="M142" i="2" s="1"/>
  <c r="M72" i="2" l="1"/>
  <c r="M176" i="2"/>
  <c r="M190" i="2" s="1"/>
  <c r="N217" i="7"/>
  <c r="N204" i="7" s="1"/>
  <c r="S189" i="2" s="1"/>
  <c r="N68" i="2"/>
  <c r="H48" i="7"/>
  <c r="M71" i="2" s="1"/>
  <c r="I18" i="7"/>
  <c r="N69" i="2"/>
  <c r="I56" i="7" s="1"/>
  <c r="O63" i="2"/>
  <c r="O64" i="2" s="1"/>
  <c r="O65" i="2" s="1"/>
  <c r="H39" i="7"/>
  <c r="H41" i="7"/>
  <c r="H34" i="7"/>
  <c r="H31" i="7"/>
  <c r="H26" i="7"/>
  <c r="H23" i="7"/>
  <c r="H18" i="7"/>
  <c r="H33" i="7"/>
  <c r="H32" i="7"/>
  <c r="H25" i="7"/>
  <c r="H24" i="7"/>
  <c r="H40" i="7"/>
  <c r="H37" i="7"/>
  <c r="H38" i="7"/>
  <c r="H35" i="7"/>
  <c r="H30" i="7"/>
  <c r="H27" i="7"/>
  <c r="H22" i="7"/>
  <c r="H19" i="7"/>
  <c r="H36" i="7"/>
  <c r="H20" i="7"/>
  <c r="H29" i="7"/>
  <c r="H28" i="7"/>
  <c r="H21" i="7"/>
  <c r="H10" i="7"/>
  <c r="M67" i="2" s="1"/>
  <c r="N57" i="2"/>
  <c r="N70" i="2" s="1"/>
  <c r="N66" i="2"/>
  <c r="H76" i="7"/>
  <c r="H73" i="7"/>
  <c r="H75" i="7"/>
  <c r="H74" i="7"/>
  <c r="H67" i="7"/>
  <c r="H77" i="7"/>
  <c r="H72" i="7"/>
  <c r="H69" i="7"/>
  <c r="H78" i="7"/>
  <c r="H64" i="7"/>
  <c r="H61" i="7"/>
  <c r="H79" i="7"/>
  <c r="H63" i="7"/>
  <c r="H62" i="7"/>
  <c r="H57" i="7"/>
  <c r="H71" i="7"/>
  <c r="H68" i="7"/>
  <c r="H65" i="7"/>
  <c r="H60" i="7"/>
  <c r="H70" i="7"/>
  <c r="H59" i="7"/>
  <c r="H56" i="7"/>
  <c r="H66" i="7"/>
  <c r="H58" i="7"/>
  <c r="N56" i="2"/>
  <c r="O55" i="2"/>
  <c r="O66" i="2" s="1"/>
  <c r="F109" i="7"/>
  <c r="F94" i="7"/>
  <c r="F110" i="7"/>
  <c r="F100" i="7"/>
  <c r="F118" i="7"/>
  <c r="N139" i="7"/>
  <c r="N126" i="7" s="1"/>
  <c r="S129" i="2" s="1"/>
  <c r="G196" i="7"/>
  <c r="G195" i="7"/>
  <c r="G188" i="7"/>
  <c r="G187" i="7"/>
  <c r="G193" i="7"/>
  <c r="G190" i="7"/>
  <c r="G185" i="7"/>
  <c r="G192" i="7"/>
  <c r="G191" i="7"/>
  <c r="G180" i="7"/>
  <c r="G179" i="7"/>
  <c r="G172" i="7"/>
  <c r="G186" i="7"/>
  <c r="G182" i="7"/>
  <c r="G177" i="7"/>
  <c r="G174" i="7"/>
  <c r="G184" i="7"/>
  <c r="G183" i="7"/>
  <c r="G176" i="7"/>
  <c r="G175" i="7"/>
  <c r="G189" i="7"/>
  <c r="G173" i="7"/>
  <c r="G194" i="7"/>
  <c r="G181" i="7"/>
  <c r="G178" i="7"/>
  <c r="G171" i="7"/>
  <c r="F96" i="7"/>
  <c r="F93" i="7"/>
  <c r="F92" i="7"/>
  <c r="M58" i="2"/>
  <c r="C196" i="7"/>
  <c r="C195" i="7"/>
  <c r="C188" i="7"/>
  <c r="C187" i="7"/>
  <c r="C193" i="7"/>
  <c r="C190" i="7"/>
  <c r="C185" i="7"/>
  <c r="C184" i="7"/>
  <c r="C180" i="7"/>
  <c r="C179" i="7"/>
  <c r="C172" i="7"/>
  <c r="C171" i="7"/>
  <c r="C170" i="7"/>
  <c r="F165" i="7" s="1"/>
  <c r="K161" i="2" s="1"/>
  <c r="C194" i="7"/>
  <c r="C189" i="7"/>
  <c r="C182" i="7"/>
  <c r="C177" i="7"/>
  <c r="C174" i="7"/>
  <c r="C192" i="7"/>
  <c r="C191" i="7"/>
  <c r="C183" i="7"/>
  <c r="C176" i="7"/>
  <c r="C175" i="7"/>
  <c r="C169" i="7"/>
  <c r="E165" i="7" s="1"/>
  <c r="J161" i="2" s="1"/>
  <c r="C186" i="7"/>
  <c r="C173" i="7"/>
  <c r="C168" i="7"/>
  <c r="C181" i="7"/>
  <c r="C178" i="7"/>
  <c r="C167" i="7"/>
  <c r="C165" i="7" s="1"/>
  <c r="F115" i="7"/>
  <c r="F103" i="7"/>
  <c r="F113" i="7"/>
  <c r="F97" i="7"/>
  <c r="F99" i="7"/>
  <c r="F104" i="7"/>
  <c r="L100" i="2"/>
  <c r="G110" i="7" s="1"/>
  <c r="F117" i="7"/>
  <c r="F102" i="7"/>
  <c r="F108" i="7"/>
  <c r="F114" i="7"/>
  <c r="F98" i="7"/>
  <c r="F101" i="7"/>
  <c r="F116" i="7"/>
  <c r="F111" i="7"/>
  <c r="F95" i="7"/>
  <c r="F105" i="7"/>
  <c r="F107" i="7"/>
  <c r="F112" i="7"/>
  <c r="I148" i="2"/>
  <c r="J148" i="2" s="1"/>
  <c r="J162" i="2" s="1"/>
  <c r="M139" i="2"/>
  <c r="M143" i="2" s="1"/>
  <c r="M145" i="2" s="1"/>
  <c r="M147" i="2" s="1"/>
  <c r="M160" i="2" s="1"/>
  <c r="L88" i="2"/>
  <c r="L102" i="2" s="1"/>
  <c r="Q51" i="2"/>
  <c r="P52" i="2"/>
  <c r="P54" i="2" s="1"/>
  <c r="P62" i="2"/>
  <c r="T59" i="2"/>
  <c r="S60" i="2"/>
  <c r="S61" i="2" s="1"/>
  <c r="O77" i="2"/>
  <c r="O85" i="2"/>
  <c r="P76" i="2"/>
  <c r="N81" i="2"/>
  <c r="N82" i="2" s="1"/>
  <c r="N83" i="2" s="1"/>
  <c r="N78" i="2"/>
  <c r="N79" i="2" s="1"/>
  <c r="N80" i="2" s="1"/>
  <c r="M84" i="2"/>
  <c r="M86" i="2" s="1"/>
  <c r="M87" i="2" s="1"/>
  <c r="T127" i="2"/>
  <c r="T187" i="2"/>
  <c r="O116" i="2"/>
  <c r="T159" i="2"/>
  <c r="O137" i="2"/>
  <c r="O138" i="2" s="1"/>
  <c r="O140" i="2"/>
  <c r="O141" i="2" s="1"/>
  <c r="O142" i="2" s="1"/>
  <c r="P136" i="2"/>
  <c r="P144" i="2"/>
  <c r="V15" i="2"/>
  <c r="U16" i="2"/>
  <c r="U99" i="2" s="1"/>
  <c r="N140" i="2"/>
  <c r="N141" i="2" s="1"/>
  <c r="N142" i="2" s="1"/>
  <c r="N137" i="2"/>
  <c r="N138" i="2" s="1"/>
  <c r="Q134" i="2"/>
  <c r="N72" i="2" l="1"/>
  <c r="N176" i="2"/>
  <c r="N190" i="2" s="1"/>
  <c r="O57" i="2"/>
  <c r="O70" i="2" s="1"/>
  <c r="J77" i="7" s="1"/>
  <c r="O218" i="7"/>
  <c r="O204" i="7" s="1"/>
  <c r="T189" i="2" s="1"/>
  <c r="O68" i="2"/>
  <c r="J19" i="7"/>
  <c r="O69" i="2"/>
  <c r="J57" i="7" s="1"/>
  <c r="P63" i="2"/>
  <c r="P64" i="2" s="1"/>
  <c r="P65" i="2" s="1"/>
  <c r="J41" i="7"/>
  <c r="J40" i="7"/>
  <c r="J39" i="7"/>
  <c r="J38" i="7"/>
  <c r="J35" i="7"/>
  <c r="J30" i="7"/>
  <c r="J27" i="7"/>
  <c r="J22" i="7"/>
  <c r="J37" i="7"/>
  <c r="J36" i="7"/>
  <c r="J29" i="7"/>
  <c r="J28" i="7"/>
  <c r="J21" i="7"/>
  <c r="J20" i="7"/>
  <c r="J34" i="7"/>
  <c r="J31" i="7"/>
  <c r="J26" i="7"/>
  <c r="J23" i="7"/>
  <c r="J33" i="7"/>
  <c r="J32" i="7"/>
  <c r="J25" i="7"/>
  <c r="J24" i="7"/>
  <c r="I75" i="7"/>
  <c r="I74" i="7"/>
  <c r="I77" i="7"/>
  <c r="I72" i="7"/>
  <c r="I69" i="7"/>
  <c r="I79" i="7"/>
  <c r="I78" i="7"/>
  <c r="I71" i="7"/>
  <c r="I70" i="7"/>
  <c r="I63" i="7"/>
  <c r="I62" i="7"/>
  <c r="I57" i="7"/>
  <c r="I76" i="7"/>
  <c r="I68" i="7"/>
  <c r="I65" i="7"/>
  <c r="I60" i="7"/>
  <c r="I67" i="7"/>
  <c r="I66" i="7"/>
  <c r="I59" i="7"/>
  <c r="I58" i="7"/>
  <c r="I73" i="7"/>
  <c r="I61" i="7"/>
  <c r="I64" i="7"/>
  <c r="I39" i="7"/>
  <c r="I41" i="7"/>
  <c r="I40" i="7"/>
  <c r="I33" i="7"/>
  <c r="I32" i="7"/>
  <c r="I25" i="7"/>
  <c r="I24" i="7"/>
  <c r="I38" i="7"/>
  <c r="I35" i="7"/>
  <c r="I30" i="7"/>
  <c r="I27" i="7"/>
  <c r="I22" i="7"/>
  <c r="I19" i="7"/>
  <c r="I34" i="7"/>
  <c r="I37" i="7"/>
  <c r="I36" i="7"/>
  <c r="I29" i="7"/>
  <c r="I28" i="7"/>
  <c r="I21" i="7"/>
  <c r="I20" i="7"/>
  <c r="I31" i="7"/>
  <c r="I26" i="7"/>
  <c r="I23" i="7"/>
  <c r="I10" i="7"/>
  <c r="N67" i="2" s="1"/>
  <c r="I48" i="7"/>
  <c r="N71" i="2" s="1"/>
  <c r="O56" i="2"/>
  <c r="P55" i="2"/>
  <c r="G165" i="7"/>
  <c r="L161" i="2" s="1"/>
  <c r="F87" i="7"/>
  <c r="K101" i="2" s="1"/>
  <c r="D165" i="7"/>
  <c r="I161" i="2" s="1"/>
  <c r="H161" i="2"/>
  <c r="G116" i="7"/>
  <c r="G101" i="7"/>
  <c r="G102" i="7"/>
  <c r="G105" i="7"/>
  <c r="G106" i="7"/>
  <c r="N58" i="2"/>
  <c r="G100" i="7"/>
  <c r="G96" i="7"/>
  <c r="G115" i="7"/>
  <c r="G113" i="7"/>
  <c r="G114" i="7"/>
  <c r="G112" i="7"/>
  <c r="G111" i="7"/>
  <c r="G118" i="7"/>
  <c r="G98" i="7"/>
  <c r="G95" i="7"/>
  <c r="G117" i="7"/>
  <c r="G108" i="7"/>
  <c r="G107" i="7"/>
  <c r="G109" i="7"/>
  <c r="G103" i="7"/>
  <c r="O140" i="7"/>
  <c r="O126" i="7" s="1"/>
  <c r="T129" i="2" s="1"/>
  <c r="G97" i="7"/>
  <c r="G99" i="7"/>
  <c r="G104" i="7"/>
  <c r="I162" i="2"/>
  <c r="H193" i="7"/>
  <c r="H190" i="7"/>
  <c r="H185" i="7"/>
  <c r="H192" i="7"/>
  <c r="H191" i="7"/>
  <c r="H184" i="7"/>
  <c r="H183" i="7"/>
  <c r="H186" i="7"/>
  <c r="H182" i="7"/>
  <c r="H177" i="7"/>
  <c r="H174" i="7"/>
  <c r="H195" i="7"/>
  <c r="H188" i="7"/>
  <c r="H176" i="7"/>
  <c r="H175" i="7"/>
  <c r="H194" i="7"/>
  <c r="H189" i="7"/>
  <c r="H181" i="7"/>
  <c r="H178" i="7"/>
  <c r="H173" i="7"/>
  <c r="H180" i="7"/>
  <c r="H187" i="7"/>
  <c r="H196" i="7"/>
  <c r="H179" i="7"/>
  <c r="H172" i="7"/>
  <c r="H165" i="7" s="1"/>
  <c r="M161" i="2" s="1"/>
  <c r="O130" i="2"/>
  <c r="G94" i="7"/>
  <c r="G93" i="7"/>
  <c r="M100" i="2"/>
  <c r="H111" i="7" s="1"/>
  <c r="N139" i="2"/>
  <c r="N143" i="2" s="1"/>
  <c r="N145" i="2" s="1"/>
  <c r="N147" i="2" s="1"/>
  <c r="N160" i="2" s="1"/>
  <c r="O139" i="2"/>
  <c r="O143" i="2" s="1"/>
  <c r="O145" i="2" s="1"/>
  <c r="O147" i="2" s="1"/>
  <c r="O160" i="2" s="1"/>
  <c r="M88" i="2"/>
  <c r="M102" i="2" s="1"/>
  <c r="R51" i="2"/>
  <c r="Q52" i="2"/>
  <c r="Q54" i="2" s="1"/>
  <c r="Q62" i="2"/>
  <c r="T60" i="2"/>
  <c r="T61" i="2" s="1"/>
  <c r="U59" i="2"/>
  <c r="P77" i="2"/>
  <c r="P85" i="2"/>
  <c r="O81" i="2"/>
  <c r="O82" i="2" s="1"/>
  <c r="O83" i="2" s="1"/>
  <c r="O78" i="2"/>
  <c r="O79" i="2" s="1"/>
  <c r="O80" i="2" s="1"/>
  <c r="N84" i="2"/>
  <c r="N86" i="2" s="1"/>
  <c r="N87" i="2" s="1"/>
  <c r="Q76" i="2"/>
  <c r="U127" i="2"/>
  <c r="U187" i="2"/>
  <c r="P116" i="2"/>
  <c r="O176" i="2"/>
  <c r="O190" i="2" s="1"/>
  <c r="U159" i="2"/>
  <c r="R134" i="2"/>
  <c r="R135" i="2" s="1"/>
  <c r="Q135" i="2"/>
  <c r="P137" i="2"/>
  <c r="P138" i="2" s="1"/>
  <c r="P140" i="2"/>
  <c r="P141" i="2" s="1"/>
  <c r="P142" i="2" s="1"/>
  <c r="K148" i="2"/>
  <c r="K162" i="2" s="1"/>
  <c r="W15" i="2"/>
  <c r="V16" i="2"/>
  <c r="V99" i="2" s="1"/>
  <c r="J61" i="7" l="1"/>
  <c r="J66" i="7"/>
  <c r="J70" i="7"/>
  <c r="J63" i="7"/>
  <c r="J64" i="7"/>
  <c r="J60" i="7"/>
  <c r="J79" i="7"/>
  <c r="J75" i="7"/>
  <c r="J58" i="7"/>
  <c r="J65" i="7"/>
  <c r="J69" i="7"/>
  <c r="J62" i="7"/>
  <c r="J59" i="7"/>
  <c r="J76" i="7"/>
  <c r="O72" i="2"/>
  <c r="J67" i="7"/>
  <c r="J68" i="7"/>
  <c r="J71" i="7"/>
  <c r="J72" i="7"/>
  <c r="J74" i="7"/>
  <c r="J73" i="7"/>
  <c r="J78" i="7"/>
  <c r="P219" i="7"/>
  <c r="P204" i="7" s="1"/>
  <c r="U189" i="2" s="1"/>
  <c r="P56" i="2"/>
  <c r="P68" i="2"/>
  <c r="K20" i="7"/>
  <c r="P69" i="2"/>
  <c r="K58" i="7" s="1"/>
  <c r="Q63" i="2"/>
  <c r="Q64" i="2" s="1"/>
  <c r="Q65" i="2" s="1"/>
  <c r="P57" i="2"/>
  <c r="P70" i="2" s="1"/>
  <c r="P66" i="2"/>
  <c r="J10" i="7"/>
  <c r="O67" i="2" s="1"/>
  <c r="J48" i="7"/>
  <c r="O71" i="2" s="1"/>
  <c r="Q55" i="2"/>
  <c r="Q66" i="2" s="1"/>
  <c r="G87" i="7"/>
  <c r="L101" i="2" s="1"/>
  <c r="O58" i="2"/>
  <c r="H113" i="7"/>
  <c r="H97" i="7"/>
  <c r="H118" i="7"/>
  <c r="H109" i="7"/>
  <c r="H106" i="7"/>
  <c r="P130" i="2"/>
  <c r="H95" i="7"/>
  <c r="H94" i="7"/>
  <c r="H116" i="7"/>
  <c r="H99" i="7"/>
  <c r="H104" i="7"/>
  <c r="H110" i="7"/>
  <c r="H108" i="7"/>
  <c r="J194" i="7"/>
  <c r="J189" i="7"/>
  <c r="J186" i="7"/>
  <c r="J196" i="7"/>
  <c r="J195" i="7"/>
  <c r="J188" i="7"/>
  <c r="J187" i="7"/>
  <c r="J185" i="7"/>
  <c r="J181" i="7"/>
  <c r="J178" i="7"/>
  <c r="J184" i="7"/>
  <c r="J183" i="7"/>
  <c r="J180" i="7"/>
  <c r="J179" i="7"/>
  <c r="J193" i="7"/>
  <c r="J190" i="7"/>
  <c r="J182" i="7"/>
  <c r="J177" i="7"/>
  <c r="J175" i="7"/>
  <c r="J191" i="7"/>
  <c r="J176" i="7"/>
  <c r="J192" i="7"/>
  <c r="J174" i="7"/>
  <c r="I192" i="7"/>
  <c r="I191" i="7"/>
  <c r="I184" i="7"/>
  <c r="I183" i="7"/>
  <c r="I194" i="7"/>
  <c r="I189" i="7"/>
  <c r="I186" i="7"/>
  <c r="I195" i="7"/>
  <c r="I188" i="7"/>
  <c r="I176" i="7"/>
  <c r="I175" i="7"/>
  <c r="I185" i="7"/>
  <c r="I181" i="7"/>
  <c r="I178" i="7"/>
  <c r="I196" i="7"/>
  <c r="I187" i="7"/>
  <c r="I180" i="7"/>
  <c r="I179" i="7"/>
  <c r="I193" i="7"/>
  <c r="I177" i="7"/>
  <c r="I190" i="7"/>
  <c r="I182" i="7"/>
  <c r="I174" i="7"/>
  <c r="I173" i="7"/>
  <c r="I165" i="7" s="1"/>
  <c r="N161" i="2" s="1"/>
  <c r="P141" i="7"/>
  <c r="P126" i="7" s="1"/>
  <c r="U129" i="2" s="1"/>
  <c r="H115" i="7"/>
  <c r="H114" i="7"/>
  <c r="H98" i="7"/>
  <c r="H101" i="7"/>
  <c r="H103" i="7"/>
  <c r="H105" i="7"/>
  <c r="H117" i="7"/>
  <c r="H107" i="7"/>
  <c r="H112" i="7"/>
  <c r="H96" i="7"/>
  <c r="H102" i="7"/>
  <c r="H100" i="7"/>
  <c r="N100" i="2"/>
  <c r="I98" i="7" s="1"/>
  <c r="P139" i="2"/>
  <c r="P143" i="2" s="1"/>
  <c r="P145" i="2" s="1"/>
  <c r="P147" i="2" s="1"/>
  <c r="P160" i="2" s="1"/>
  <c r="N88" i="2"/>
  <c r="N102" i="2" s="1"/>
  <c r="V59" i="2"/>
  <c r="U60" i="2"/>
  <c r="U61" i="2" s="1"/>
  <c r="S51" i="2"/>
  <c r="R52" i="2"/>
  <c r="R54" i="2" s="1"/>
  <c r="R62" i="2"/>
  <c r="R76" i="2"/>
  <c r="Q85" i="2"/>
  <c r="Q77" i="2"/>
  <c r="O84" i="2"/>
  <c r="O86" i="2" s="1"/>
  <c r="O87" i="2" s="1"/>
  <c r="P78" i="2"/>
  <c r="P79" i="2" s="1"/>
  <c r="P80" i="2" s="1"/>
  <c r="P81" i="2"/>
  <c r="P82" i="2" s="1"/>
  <c r="P83" i="2" s="1"/>
  <c r="V127" i="2"/>
  <c r="V187" i="2"/>
  <c r="Q116" i="2"/>
  <c r="P176" i="2"/>
  <c r="P190" i="2" s="1"/>
  <c r="V159" i="2"/>
  <c r="S134" i="2"/>
  <c r="S135" i="2" s="1"/>
  <c r="S136" i="2" s="1"/>
  <c r="Q136" i="2"/>
  <c r="Q144" i="2"/>
  <c r="R136" i="2"/>
  <c r="R144" i="2"/>
  <c r="L148" i="2"/>
  <c r="L162" i="2" s="1"/>
  <c r="X15" i="2"/>
  <c r="W16" i="2"/>
  <c r="W99" i="2" s="1"/>
  <c r="P72" i="2" l="1"/>
  <c r="Q68" i="2"/>
  <c r="Q220" i="7"/>
  <c r="Q204" i="7" s="1"/>
  <c r="V189" i="2" s="1"/>
  <c r="Q57" i="2"/>
  <c r="Q70" i="2" s="1"/>
  <c r="L74" i="7" s="1"/>
  <c r="K48" i="7"/>
  <c r="P71" i="2" s="1"/>
  <c r="Q56" i="2"/>
  <c r="L21" i="7"/>
  <c r="Q69" i="2"/>
  <c r="L59" i="7" s="1"/>
  <c r="R63" i="2"/>
  <c r="R64" i="2" s="1"/>
  <c r="R65" i="2" s="1"/>
  <c r="L39" i="7"/>
  <c r="L41" i="7"/>
  <c r="L34" i="7"/>
  <c r="L31" i="7"/>
  <c r="L26" i="7"/>
  <c r="L23" i="7"/>
  <c r="L40" i="7"/>
  <c r="L33" i="7"/>
  <c r="L32" i="7"/>
  <c r="L25" i="7"/>
  <c r="L24" i="7"/>
  <c r="L37" i="7"/>
  <c r="L36" i="7"/>
  <c r="L38" i="7"/>
  <c r="L35" i="7"/>
  <c r="L30" i="7"/>
  <c r="L27" i="7"/>
  <c r="L22" i="7"/>
  <c r="L29" i="7"/>
  <c r="L28" i="7"/>
  <c r="K37" i="7"/>
  <c r="K36" i="7"/>
  <c r="K29" i="7"/>
  <c r="K28" i="7"/>
  <c r="K21" i="7"/>
  <c r="K34" i="7"/>
  <c r="K31" i="7"/>
  <c r="K26" i="7"/>
  <c r="K23" i="7"/>
  <c r="K41" i="7"/>
  <c r="K39" i="7"/>
  <c r="K38" i="7"/>
  <c r="K35" i="7"/>
  <c r="K40" i="7"/>
  <c r="K33" i="7"/>
  <c r="K32" i="7"/>
  <c r="K25" i="7"/>
  <c r="K24" i="7"/>
  <c r="K22" i="7"/>
  <c r="K30" i="7"/>
  <c r="K27" i="7"/>
  <c r="K10" i="7"/>
  <c r="P67" i="2" s="1"/>
  <c r="K79" i="7"/>
  <c r="K78" i="7"/>
  <c r="K71" i="7"/>
  <c r="K70" i="7"/>
  <c r="K76" i="7"/>
  <c r="K73" i="7"/>
  <c r="K68" i="7"/>
  <c r="K75" i="7"/>
  <c r="K74" i="7"/>
  <c r="K67" i="7"/>
  <c r="K66" i="7"/>
  <c r="K72" i="7"/>
  <c r="K59" i="7"/>
  <c r="K64" i="7"/>
  <c r="K61" i="7"/>
  <c r="K77" i="7"/>
  <c r="K63" i="7"/>
  <c r="K62" i="7"/>
  <c r="K69" i="7"/>
  <c r="K60" i="7"/>
  <c r="K65" i="7"/>
  <c r="R55" i="2"/>
  <c r="J165" i="7"/>
  <c r="O161" i="2" s="1"/>
  <c r="H87" i="7"/>
  <c r="M101" i="2" s="1"/>
  <c r="P58" i="2"/>
  <c r="I112" i="7"/>
  <c r="I100" i="7"/>
  <c r="I101" i="7"/>
  <c r="I114" i="7"/>
  <c r="I118" i="7"/>
  <c r="I103" i="7"/>
  <c r="I107" i="7"/>
  <c r="I117" i="7"/>
  <c r="I102" i="7"/>
  <c r="I104" i="7"/>
  <c r="I108" i="7"/>
  <c r="Q142" i="7"/>
  <c r="Q126" i="7" s="1"/>
  <c r="V129" i="2" s="1"/>
  <c r="I99" i="7"/>
  <c r="I96" i="7"/>
  <c r="I95" i="7"/>
  <c r="K196" i="7"/>
  <c r="K195" i="7"/>
  <c r="K188" i="7"/>
  <c r="K187" i="7"/>
  <c r="K193" i="7"/>
  <c r="K190" i="7"/>
  <c r="K185" i="7"/>
  <c r="K184" i="7"/>
  <c r="K183" i="7"/>
  <c r="K180" i="7"/>
  <c r="K179" i="7"/>
  <c r="K194" i="7"/>
  <c r="K189" i="7"/>
  <c r="K182" i="7"/>
  <c r="K177" i="7"/>
  <c r="K192" i="7"/>
  <c r="K191" i="7"/>
  <c r="K176" i="7"/>
  <c r="K181" i="7"/>
  <c r="K178" i="7"/>
  <c r="K186" i="7"/>
  <c r="K175" i="7"/>
  <c r="K165" i="7" s="1"/>
  <c r="P161" i="2" s="1"/>
  <c r="Q130" i="2"/>
  <c r="I115" i="7"/>
  <c r="I110" i="7"/>
  <c r="I105" i="7"/>
  <c r="I106" i="7"/>
  <c r="I116" i="7"/>
  <c r="I109" i="7"/>
  <c r="I111" i="7"/>
  <c r="I113" i="7"/>
  <c r="I97" i="7"/>
  <c r="O100" i="2"/>
  <c r="J104" i="7" s="1"/>
  <c r="O88" i="2"/>
  <c r="O102" i="2" s="1"/>
  <c r="W59" i="2"/>
  <c r="V60" i="2"/>
  <c r="V61" i="2" s="1"/>
  <c r="T51" i="2"/>
  <c r="S52" i="2"/>
  <c r="S54" i="2" s="1"/>
  <c r="S62" i="2"/>
  <c r="P84" i="2"/>
  <c r="P86" i="2" s="1"/>
  <c r="P87" i="2" s="1"/>
  <c r="Q81" i="2"/>
  <c r="Q82" i="2" s="1"/>
  <c r="Q83" i="2" s="1"/>
  <c r="Q78" i="2"/>
  <c r="Q79" i="2" s="1"/>
  <c r="Q80" i="2" s="1"/>
  <c r="S76" i="2"/>
  <c r="R85" i="2"/>
  <c r="R77" i="2"/>
  <c r="W127" i="2"/>
  <c r="W187" i="2"/>
  <c r="R116" i="2"/>
  <c r="Q176" i="2"/>
  <c r="Q190" i="2" s="1"/>
  <c r="W159" i="2"/>
  <c r="S144" i="2"/>
  <c r="T134" i="2"/>
  <c r="T135" i="2" s="1"/>
  <c r="T144" i="2" s="1"/>
  <c r="R137" i="2"/>
  <c r="R138" i="2" s="1"/>
  <c r="R140" i="2"/>
  <c r="R141" i="2" s="1"/>
  <c r="R142" i="2" s="1"/>
  <c r="Q137" i="2"/>
  <c r="Q138" i="2" s="1"/>
  <c r="Q140" i="2"/>
  <c r="Q141" i="2" s="1"/>
  <c r="Q142" i="2" s="1"/>
  <c r="S137" i="2"/>
  <c r="S138" i="2" s="1"/>
  <c r="S140" i="2"/>
  <c r="S141" i="2" s="1"/>
  <c r="S142" i="2" s="1"/>
  <c r="M148" i="2"/>
  <c r="M162" i="2" s="1"/>
  <c r="Y15" i="2"/>
  <c r="X16" i="2"/>
  <c r="X99" i="2" s="1"/>
  <c r="L65" i="7" l="1"/>
  <c r="L48" i="7"/>
  <c r="Q71" i="2" s="1"/>
  <c r="L63" i="7"/>
  <c r="L66" i="7"/>
  <c r="L77" i="7"/>
  <c r="L71" i="7"/>
  <c r="L73" i="7"/>
  <c r="Q72" i="2"/>
  <c r="L60" i="7"/>
  <c r="L79" i="7"/>
  <c r="L68" i="7"/>
  <c r="L75" i="7"/>
  <c r="L70" i="7"/>
  <c r="L61" i="7"/>
  <c r="L69" i="7"/>
  <c r="L67" i="7"/>
  <c r="L76" i="7"/>
  <c r="L78" i="7"/>
  <c r="L62" i="7"/>
  <c r="L64" i="7"/>
  <c r="L72" i="7"/>
  <c r="R221" i="7"/>
  <c r="R204" i="7" s="1"/>
  <c r="W189" i="2" s="1"/>
  <c r="R68" i="2"/>
  <c r="L10" i="7"/>
  <c r="Q67" i="2" s="1"/>
  <c r="M22" i="7"/>
  <c r="R69" i="2"/>
  <c r="M60" i="7" s="1"/>
  <c r="S63" i="2"/>
  <c r="S64" i="2" s="1"/>
  <c r="S65" i="2" s="1"/>
  <c r="R57" i="2"/>
  <c r="R70" i="2" s="1"/>
  <c r="R66" i="2"/>
  <c r="R56" i="2"/>
  <c r="S55" i="2"/>
  <c r="S66" i="2" s="1"/>
  <c r="I87" i="7"/>
  <c r="N101" i="2" s="1"/>
  <c r="Q58" i="2"/>
  <c r="J118" i="7"/>
  <c r="J111" i="7"/>
  <c r="J99" i="7"/>
  <c r="J109" i="7"/>
  <c r="J97" i="7"/>
  <c r="J96" i="7"/>
  <c r="R143" i="7"/>
  <c r="R126" i="7" s="1"/>
  <c r="W129" i="2" s="1"/>
  <c r="R130" i="2"/>
  <c r="J113" i="7"/>
  <c r="J116" i="7"/>
  <c r="J110" i="7"/>
  <c r="J108" i="7"/>
  <c r="J114" i="7"/>
  <c r="J98" i="7"/>
  <c r="J101" i="7"/>
  <c r="P100" i="2"/>
  <c r="K103" i="7" s="1"/>
  <c r="J115" i="7"/>
  <c r="J103" i="7"/>
  <c r="J105" i="7"/>
  <c r="J107" i="7"/>
  <c r="J112" i="7"/>
  <c r="J117" i="7"/>
  <c r="J102" i="7"/>
  <c r="J100" i="7"/>
  <c r="J106" i="7"/>
  <c r="R139" i="2"/>
  <c r="R143" i="2" s="1"/>
  <c r="R145" i="2" s="1"/>
  <c r="R147" i="2" s="1"/>
  <c r="R160" i="2" s="1"/>
  <c r="S139" i="2"/>
  <c r="S143" i="2" s="1"/>
  <c r="S145" i="2" s="1"/>
  <c r="S147" i="2" s="1"/>
  <c r="S160" i="2" s="1"/>
  <c r="Q139" i="2"/>
  <c r="Q143" i="2" s="1"/>
  <c r="Q145" i="2" s="1"/>
  <c r="Q147" i="2" s="1"/>
  <c r="Q160" i="2" s="1"/>
  <c r="P88" i="2"/>
  <c r="P102" i="2" s="1"/>
  <c r="S57" i="2"/>
  <c r="S70" i="2" s="1"/>
  <c r="T52" i="2"/>
  <c r="T54" i="2" s="1"/>
  <c r="U51" i="2"/>
  <c r="T62" i="2"/>
  <c r="X59" i="2"/>
  <c r="W60" i="2"/>
  <c r="W61" i="2" s="1"/>
  <c r="Q84" i="2"/>
  <c r="Q86" i="2" s="1"/>
  <c r="Q87" i="2" s="1"/>
  <c r="S77" i="2"/>
  <c r="S85" i="2"/>
  <c r="T76" i="2"/>
  <c r="R81" i="2"/>
  <c r="R82" i="2" s="1"/>
  <c r="R83" i="2" s="1"/>
  <c r="R78" i="2"/>
  <c r="R79" i="2" s="1"/>
  <c r="R80" i="2" s="1"/>
  <c r="S116" i="2"/>
  <c r="R176" i="2"/>
  <c r="R190" i="2" s="1"/>
  <c r="X127" i="2"/>
  <c r="X187" i="2"/>
  <c r="X159" i="2"/>
  <c r="T136" i="2"/>
  <c r="U134" i="2"/>
  <c r="U135" i="2" s="1"/>
  <c r="U136" i="2" s="1"/>
  <c r="N148" i="2"/>
  <c r="N162" i="2" s="1"/>
  <c r="Z15" i="2"/>
  <c r="Y16" i="2"/>
  <c r="Y99" i="2" s="1"/>
  <c r="R72" i="2" l="1"/>
  <c r="S222" i="7"/>
  <c r="S204" i="7" s="1"/>
  <c r="X189" i="2" s="1"/>
  <c r="S68" i="2"/>
  <c r="M48" i="7"/>
  <c r="R71" i="2" s="1"/>
  <c r="N23" i="7"/>
  <c r="S69" i="2"/>
  <c r="N61" i="7" s="1"/>
  <c r="T63" i="2"/>
  <c r="T64" i="2" s="1"/>
  <c r="T65" i="2" s="1"/>
  <c r="S56" i="2"/>
  <c r="M39" i="7"/>
  <c r="M41" i="7"/>
  <c r="M40" i="7"/>
  <c r="M33" i="7"/>
  <c r="M32" i="7"/>
  <c r="M25" i="7"/>
  <c r="M24" i="7"/>
  <c r="M38" i="7"/>
  <c r="M35" i="7"/>
  <c r="M30" i="7"/>
  <c r="M27" i="7"/>
  <c r="M37" i="7"/>
  <c r="M36" i="7"/>
  <c r="M29" i="7"/>
  <c r="M28" i="7"/>
  <c r="M34" i="7"/>
  <c r="M31" i="7"/>
  <c r="M26" i="7"/>
  <c r="M23" i="7"/>
  <c r="M10" i="7"/>
  <c r="R67" i="2" s="1"/>
  <c r="N77" i="7"/>
  <c r="N72" i="7"/>
  <c r="N69" i="7"/>
  <c r="N79" i="7"/>
  <c r="N78" i="7"/>
  <c r="N71" i="7"/>
  <c r="N70" i="7"/>
  <c r="N76" i="7"/>
  <c r="N73" i="7"/>
  <c r="N68" i="7"/>
  <c r="N74" i="7"/>
  <c r="N65" i="7"/>
  <c r="N75" i="7"/>
  <c r="N64" i="7"/>
  <c r="N67" i="7"/>
  <c r="N63" i="7"/>
  <c r="N62" i="7"/>
  <c r="N66" i="7"/>
  <c r="M75" i="7"/>
  <c r="M74" i="7"/>
  <c r="M77" i="7"/>
  <c r="M72" i="7"/>
  <c r="M69" i="7"/>
  <c r="M79" i="7"/>
  <c r="M78" i="7"/>
  <c r="M71" i="7"/>
  <c r="M70" i="7"/>
  <c r="M76" i="7"/>
  <c r="M67" i="7"/>
  <c r="M66" i="7"/>
  <c r="M63" i="7"/>
  <c r="M62" i="7"/>
  <c r="M65" i="7"/>
  <c r="M73" i="7"/>
  <c r="M64" i="7"/>
  <c r="M68" i="7"/>
  <c r="M61" i="7"/>
  <c r="N41" i="7"/>
  <c r="N40" i="7"/>
  <c r="N38" i="7"/>
  <c r="N35" i="7"/>
  <c r="N30" i="7"/>
  <c r="N27" i="7"/>
  <c r="N37" i="7"/>
  <c r="N36" i="7"/>
  <c r="N29" i="7"/>
  <c r="N28" i="7"/>
  <c r="N33" i="7"/>
  <c r="N32" i="7"/>
  <c r="N39" i="7"/>
  <c r="N34" i="7"/>
  <c r="N31" i="7"/>
  <c r="N26" i="7"/>
  <c r="N24" i="7"/>
  <c r="N25" i="7"/>
  <c r="T55" i="2"/>
  <c r="T66" i="2" s="1"/>
  <c r="J87" i="7"/>
  <c r="O101" i="2" s="1"/>
  <c r="K106" i="7"/>
  <c r="R58" i="2"/>
  <c r="K117" i="7"/>
  <c r="K109" i="7"/>
  <c r="K105" i="7"/>
  <c r="K104" i="7"/>
  <c r="K100" i="7"/>
  <c r="K110" i="7"/>
  <c r="S130" i="2"/>
  <c r="K118" i="7"/>
  <c r="K99" i="7"/>
  <c r="M192" i="7"/>
  <c r="M191" i="7"/>
  <c r="M184" i="7"/>
  <c r="M183" i="7"/>
  <c r="M194" i="7"/>
  <c r="M189" i="7"/>
  <c r="M186" i="7"/>
  <c r="M196" i="7"/>
  <c r="M187" i="7"/>
  <c r="M193" i="7"/>
  <c r="M190" i="7"/>
  <c r="M181" i="7"/>
  <c r="M178" i="7"/>
  <c r="M195" i="7"/>
  <c r="M188" i="7"/>
  <c r="M180" i="7"/>
  <c r="M179" i="7"/>
  <c r="M182" i="7"/>
  <c r="M185" i="7"/>
  <c r="M177" i="7"/>
  <c r="L193" i="7"/>
  <c r="L190" i="7"/>
  <c r="L185" i="7"/>
  <c r="L192" i="7"/>
  <c r="L191" i="7"/>
  <c r="L184" i="7"/>
  <c r="L183" i="7"/>
  <c r="L194" i="7"/>
  <c r="L189" i="7"/>
  <c r="L182" i="7"/>
  <c r="L177" i="7"/>
  <c r="L196" i="7"/>
  <c r="L187" i="7"/>
  <c r="L186" i="7"/>
  <c r="L181" i="7"/>
  <c r="L178" i="7"/>
  <c r="L195" i="7"/>
  <c r="L188" i="7"/>
  <c r="L179" i="7"/>
  <c r="L180" i="7"/>
  <c r="L176" i="7"/>
  <c r="L165" i="7" s="1"/>
  <c r="Q161" i="2" s="1"/>
  <c r="K111" i="7"/>
  <c r="K98" i="7"/>
  <c r="K97" i="7"/>
  <c r="S144" i="7"/>
  <c r="S126" i="7" s="1"/>
  <c r="X129" i="2" s="1"/>
  <c r="N194" i="7"/>
  <c r="N189" i="7"/>
  <c r="N186" i="7"/>
  <c r="N196" i="7"/>
  <c r="N195" i="7"/>
  <c r="N188" i="7"/>
  <c r="N187" i="7"/>
  <c r="N193" i="7"/>
  <c r="N190" i="7"/>
  <c r="N181" i="7"/>
  <c r="N192" i="7"/>
  <c r="N191" i="7"/>
  <c r="N180" i="7"/>
  <c r="N179" i="7"/>
  <c r="N185" i="7"/>
  <c r="N182" i="7"/>
  <c r="N183" i="7"/>
  <c r="N184" i="7"/>
  <c r="N178" i="7"/>
  <c r="Q100" i="2"/>
  <c r="L113" i="7" s="1"/>
  <c r="K115" i="7"/>
  <c r="K113" i="7"/>
  <c r="K114" i="7"/>
  <c r="K101" i="7"/>
  <c r="K102" i="7"/>
  <c r="K116" i="7"/>
  <c r="K108" i="7"/>
  <c r="K107" i="7"/>
  <c r="K112" i="7"/>
  <c r="T140" i="2"/>
  <c r="T141" i="2" s="1"/>
  <c r="T142" i="2" s="1"/>
  <c r="Q88" i="2"/>
  <c r="Q102" i="2" s="1"/>
  <c r="T137" i="2"/>
  <c r="T138" i="2" s="1"/>
  <c r="Y59" i="2"/>
  <c r="X60" i="2"/>
  <c r="X61" i="2" s="1"/>
  <c r="V51" i="2"/>
  <c r="U52" i="2"/>
  <c r="U54" i="2" s="1"/>
  <c r="U62" i="2"/>
  <c r="U76" i="2"/>
  <c r="S81" i="2"/>
  <c r="S82" i="2" s="1"/>
  <c r="S83" i="2" s="1"/>
  <c r="S78" i="2"/>
  <c r="S79" i="2" s="1"/>
  <c r="S80" i="2" s="1"/>
  <c r="R84" i="2"/>
  <c r="R86" i="2" s="1"/>
  <c r="R87" i="2" s="1"/>
  <c r="T77" i="2"/>
  <c r="T85" i="2"/>
  <c r="S176" i="2"/>
  <c r="S190" i="2" s="1"/>
  <c r="T116" i="2"/>
  <c r="Y127" i="2"/>
  <c r="Y187" i="2"/>
  <c r="U144" i="2"/>
  <c r="O148" i="2"/>
  <c r="O162" i="2" s="1"/>
  <c r="Y159" i="2"/>
  <c r="V134" i="2"/>
  <c r="U137" i="2"/>
  <c r="U138" i="2" s="1"/>
  <c r="U140" i="2"/>
  <c r="U141" i="2" s="1"/>
  <c r="U142" i="2" s="1"/>
  <c r="AA15" i="2"/>
  <c r="Z16" i="2"/>
  <c r="Z99" i="2" s="1"/>
  <c r="S72" i="2" l="1"/>
  <c r="T223" i="7"/>
  <c r="T204" i="7" s="1"/>
  <c r="Y189" i="2" s="1"/>
  <c r="T68" i="2"/>
  <c r="T57" i="2"/>
  <c r="T70" i="2" s="1"/>
  <c r="O71" i="7" s="1"/>
  <c r="N10" i="7"/>
  <c r="S67" i="2" s="1"/>
  <c r="N48" i="7"/>
  <c r="S71" i="2" s="1"/>
  <c r="O24" i="7"/>
  <c r="O10" i="7" s="1"/>
  <c r="T67" i="2" s="1"/>
  <c r="T69" i="2"/>
  <c r="U63" i="2"/>
  <c r="U64" i="2" s="1"/>
  <c r="U65" i="2" s="1"/>
  <c r="T56" i="2"/>
  <c r="O40" i="7"/>
  <c r="O37" i="7"/>
  <c r="O36" i="7"/>
  <c r="O29" i="7"/>
  <c r="O28" i="7"/>
  <c r="O39" i="7"/>
  <c r="O34" i="7"/>
  <c r="O31" i="7"/>
  <c r="O26" i="7"/>
  <c r="O38" i="7"/>
  <c r="O41" i="7"/>
  <c r="O33" i="7"/>
  <c r="O32" i="7"/>
  <c r="O25" i="7"/>
  <c r="O35" i="7"/>
  <c r="O30" i="7"/>
  <c r="O27" i="7"/>
  <c r="O79" i="7"/>
  <c r="U55" i="2"/>
  <c r="U66" i="2" s="1"/>
  <c r="N165" i="7"/>
  <c r="S161" i="2" s="1"/>
  <c r="K87" i="7"/>
  <c r="P101" i="2" s="1"/>
  <c r="M165" i="7"/>
  <c r="R161" i="2" s="1"/>
  <c r="S58" i="2"/>
  <c r="L115" i="7"/>
  <c r="L104" i="7"/>
  <c r="L105" i="7"/>
  <c r="L118" i="7"/>
  <c r="L101" i="7"/>
  <c r="L107" i="7"/>
  <c r="L103" i="7"/>
  <c r="L100" i="7"/>
  <c r="L106" i="7"/>
  <c r="L102" i="7"/>
  <c r="T145" i="7"/>
  <c r="T126" i="7" s="1"/>
  <c r="Y129" i="2" s="1"/>
  <c r="T130" i="2"/>
  <c r="L116" i="7"/>
  <c r="L112" i="7"/>
  <c r="L111" i="7"/>
  <c r="L99" i="7"/>
  <c r="L98" i="7"/>
  <c r="L117" i="7"/>
  <c r="L114" i="7"/>
  <c r="L109" i="7"/>
  <c r="L110" i="7"/>
  <c r="L108" i="7"/>
  <c r="R100" i="2"/>
  <c r="M105" i="7" s="1"/>
  <c r="U139" i="2"/>
  <c r="U143" i="2" s="1"/>
  <c r="U145" i="2" s="1"/>
  <c r="U147" i="2" s="1"/>
  <c r="U160" i="2" s="1"/>
  <c r="T139" i="2"/>
  <c r="T143" i="2" s="1"/>
  <c r="T145" i="2" s="1"/>
  <c r="T147" i="2" s="1"/>
  <c r="T160" i="2" s="1"/>
  <c r="R88" i="2"/>
  <c r="R102" i="2" s="1"/>
  <c r="Z59" i="2"/>
  <c r="Y60" i="2"/>
  <c r="Y61" i="2" s="1"/>
  <c r="W51" i="2"/>
  <c r="V52" i="2"/>
  <c r="V54" i="2" s="1"/>
  <c r="V62" i="2"/>
  <c r="S84" i="2"/>
  <c r="S86" i="2" s="1"/>
  <c r="S87" i="2" s="1"/>
  <c r="U116" i="2"/>
  <c r="T176" i="2"/>
  <c r="T190" i="2" s="1"/>
  <c r="T78" i="2"/>
  <c r="T79" i="2" s="1"/>
  <c r="T80" i="2" s="1"/>
  <c r="T81" i="2"/>
  <c r="T82" i="2" s="1"/>
  <c r="T83" i="2" s="1"/>
  <c r="V76" i="2"/>
  <c r="U85" i="2"/>
  <c r="U77" i="2"/>
  <c r="V135" i="2"/>
  <c r="V136" i="2" s="1"/>
  <c r="Z127" i="2"/>
  <c r="Z187" i="2"/>
  <c r="W134" i="2"/>
  <c r="W135" i="2" s="1"/>
  <c r="W136" i="2" s="1"/>
  <c r="P148" i="2"/>
  <c r="Z159" i="2"/>
  <c r="AB15" i="2"/>
  <c r="AA16" i="2"/>
  <c r="AA99" i="2" s="1"/>
  <c r="T72" i="2" l="1"/>
  <c r="O65" i="7"/>
  <c r="O74" i="7"/>
  <c r="U224" i="7"/>
  <c r="U204" i="7" s="1"/>
  <c r="Z189" i="2" s="1"/>
  <c r="O62" i="7"/>
  <c r="O48" i="7" s="1"/>
  <c r="T71" i="2" s="1"/>
  <c r="O78" i="7"/>
  <c r="O67" i="7"/>
  <c r="U68" i="2"/>
  <c r="O69" i="7"/>
  <c r="O73" i="7"/>
  <c r="O64" i="7"/>
  <c r="O76" i="7"/>
  <c r="O72" i="7"/>
  <c r="O77" i="7"/>
  <c r="O75" i="7"/>
  <c r="O70" i="7"/>
  <c r="O63" i="7"/>
  <c r="O66" i="7"/>
  <c r="O68" i="7"/>
  <c r="U57" i="2"/>
  <c r="U70" i="2" s="1"/>
  <c r="P68" i="7" s="1"/>
  <c r="U56" i="2"/>
  <c r="P25" i="7"/>
  <c r="P10" i="7" s="1"/>
  <c r="U67" i="2" s="1"/>
  <c r="U69" i="2"/>
  <c r="P63" i="7" s="1"/>
  <c r="V63" i="2"/>
  <c r="V64" i="2" s="1"/>
  <c r="V65" i="2" s="1"/>
  <c r="P39" i="7"/>
  <c r="P41" i="7"/>
  <c r="P34" i="7"/>
  <c r="P31" i="7"/>
  <c r="P26" i="7"/>
  <c r="P33" i="7"/>
  <c r="P32" i="7"/>
  <c r="P40" i="7"/>
  <c r="P37" i="7"/>
  <c r="P38" i="7"/>
  <c r="P35" i="7"/>
  <c r="P30" i="7"/>
  <c r="P27" i="7"/>
  <c r="P36" i="7"/>
  <c r="P29" i="7"/>
  <c r="P28" i="7"/>
  <c r="M117" i="7"/>
  <c r="V55" i="2"/>
  <c r="L87" i="7"/>
  <c r="Q101" i="2" s="1"/>
  <c r="T58" i="2"/>
  <c r="M109" i="7"/>
  <c r="M102" i="7"/>
  <c r="M107" i="7"/>
  <c r="M116" i="7"/>
  <c r="M101" i="7"/>
  <c r="M113" i="7"/>
  <c r="M106" i="7"/>
  <c r="M115" i="7"/>
  <c r="M111" i="7"/>
  <c r="M108" i="7"/>
  <c r="M118" i="7"/>
  <c r="M112" i="7"/>
  <c r="M110" i="7"/>
  <c r="M114" i="7"/>
  <c r="M104" i="7"/>
  <c r="M103" i="7"/>
  <c r="P162" i="2"/>
  <c r="U146" i="7"/>
  <c r="U126" i="7" s="1"/>
  <c r="Z129" i="2" s="1"/>
  <c r="U130" i="2"/>
  <c r="O196" i="7"/>
  <c r="O195" i="7"/>
  <c r="O188" i="7"/>
  <c r="O187" i="7"/>
  <c r="O193" i="7"/>
  <c r="O190" i="7"/>
  <c r="O185" i="7"/>
  <c r="O192" i="7"/>
  <c r="O191" i="7"/>
  <c r="O180" i="7"/>
  <c r="O186" i="7"/>
  <c r="O182" i="7"/>
  <c r="O184" i="7"/>
  <c r="O183" i="7"/>
  <c r="O194" i="7"/>
  <c r="O189" i="7"/>
  <c r="O181" i="7"/>
  <c r="O179" i="7"/>
  <c r="O165" i="7" s="1"/>
  <c r="T161" i="2" s="1"/>
  <c r="P193" i="7"/>
  <c r="P190" i="7"/>
  <c r="P185" i="7"/>
  <c r="P192" i="7"/>
  <c r="P191" i="7"/>
  <c r="P184" i="7"/>
  <c r="P183" i="7"/>
  <c r="P186" i="7"/>
  <c r="P182" i="7"/>
  <c r="P195" i="7"/>
  <c r="P188" i="7"/>
  <c r="P194" i="7"/>
  <c r="P189" i="7"/>
  <c r="P181" i="7"/>
  <c r="P187" i="7"/>
  <c r="P196" i="7"/>
  <c r="P180" i="7"/>
  <c r="M100" i="7"/>
  <c r="M99" i="7"/>
  <c r="S100" i="2"/>
  <c r="N101" i="7" s="1"/>
  <c r="S88" i="2"/>
  <c r="S102" i="2" s="1"/>
  <c r="W52" i="2"/>
  <c r="W54" i="2" s="1"/>
  <c r="X51" i="2"/>
  <c r="W62" i="2"/>
  <c r="Z60" i="2"/>
  <c r="Z61" i="2" s="1"/>
  <c r="AA59" i="2"/>
  <c r="U176" i="2"/>
  <c r="U190" i="2" s="1"/>
  <c r="V116" i="2"/>
  <c r="U78" i="2"/>
  <c r="U79" i="2" s="1"/>
  <c r="U80" i="2" s="1"/>
  <c r="U81" i="2"/>
  <c r="U82" i="2" s="1"/>
  <c r="U83" i="2" s="1"/>
  <c r="V77" i="2"/>
  <c r="V85" i="2"/>
  <c r="W76" i="2"/>
  <c r="T84" i="2"/>
  <c r="T86" i="2" s="1"/>
  <c r="T87" i="2" s="1"/>
  <c r="V144" i="2"/>
  <c r="V137" i="2"/>
  <c r="V138" i="2" s="1"/>
  <c r="V140" i="2"/>
  <c r="V141" i="2" s="1"/>
  <c r="V142" i="2" s="1"/>
  <c r="Q148" i="2"/>
  <c r="W144" i="2"/>
  <c r="X134" i="2"/>
  <c r="X135" i="2" s="1"/>
  <c r="X136" i="2" s="1"/>
  <c r="AA127" i="2"/>
  <c r="AA187" i="2"/>
  <c r="AA159" i="2"/>
  <c r="W137" i="2"/>
  <c r="W138" i="2" s="1"/>
  <c r="W140" i="2"/>
  <c r="W141" i="2" s="1"/>
  <c r="W142" i="2" s="1"/>
  <c r="AC15" i="2"/>
  <c r="AB16" i="2"/>
  <c r="AB99" i="2" s="1"/>
  <c r="U72" i="2" l="1"/>
  <c r="V225" i="7"/>
  <c r="V204" i="7" s="1"/>
  <c r="AA189" i="2" s="1"/>
  <c r="V68" i="2"/>
  <c r="P65" i="7"/>
  <c r="P69" i="7"/>
  <c r="P74" i="7"/>
  <c r="P78" i="7"/>
  <c r="P72" i="7"/>
  <c r="P75" i="7"/>
  <c r="P70" i="7"/>
  <c r="P77" i="7"/>
  <c r="P73" i="7"/>
  <c r="P79" i="7"/>
  <c r="P64" i="7"/>
  <c r="P67" i="7"/>
  <c r="P76" i="7"/>
  <c r="P71" i="7"/>
  <c r="P66" i="7"/>
  <c r="P48" i="7"/>
  <c r="U71" i="2" s="1"/>
  <c r="Q26" i="7"/>
  <c r="V69" i="2"/>
  <c r="Q64" i="7" s="1"/>
  <c r="W63" i="2"/>
  <c r="W64" i="2" s="1"/>
  <c r="W65" i="2" s="1"/>
  <c r="V56" i="2"/>
  <c r="V66" i="2"/>
  <c r="P165" i="7"/>
  <c r="U161" i="2" s="1"/>
  <c r="W55" i="2"/>
  <c r="W66" i="2" s="1"/>
  <c r="V57" i="2"/>
  <c r="V70" i="2" s="1"/>
  <c r="M87" i="7"/>
  <c r="R101" i="2" s="1"/>
  <c r="N118" i="7"/>
  <c r="U58" i="2"/>
  <c r="N102" i="7"/>
  <c r="N106" i="7"/>
  <c r="N117" i="7"/>
  <c r="N108" i="7"/>
  <c r="N112" i="7"/>
  <c r="N110" i="7"/>
  <c r="N105" i="7"/>
  <c r="N109" i="7"/>
  <c r="N115" i="7"/>
  <c r="N103" i="7"/>
  <c r="N114" i="7"/>
  <c r="V147" i="7"/>
  <c r="V126" i="7" s="1"/>
  <c r="AA129" i="2" s="1"/>
  <c r="V130" i="2"/>
  <c r="N104" i="7"/>
  <c r="N100" i="7"/>
  <c r="Q162" i="2"/>
  <c r="T100" i="2"/>
  <c r="O104" i="7" s="1"/>
  <c r="N116" i="7"/>
  <c r="N111" i="7"/>
  <c r="N113" i="7"/>
  <c r="N107" i="7"/>
  <c r="W139" i="2"/>
  <c r="W143" i="2" s="1"/>
  <c r="W145" i="2" s="1"/>
  <c r="W147" i="2" s="1"/>
  <c r="W160" i="2" s="1"/>
  <c r="V139" i="2"/>
  <c r="V143" i="2" s="1"/>
  <c r="V145" i="2" s="1"/>
  <c r="V147" i="2" s="1"/>
  <c r="V160" i="2" s="1"/>
  <c r="V176" i="2"/>
  <c r="V190" i="2" s="1"/>
  <c r="T88" i="2"/>
  <c r="T102" i="2" s="1"/>
  <c r="AB59" i="2"/>
  <c r="AA60" i="2"/>
  <c r="AA61" i="2" s="1"/>
  <c r="W57" i="2"/>
  <c r="W70" i="2" s="1"/>
  <c r="X52" i="2"/>
  <c r="X54" i="2" s="1"/>
  <c r="Y51" i="2"/>
  <c r="X62" i="2"/>
  <c r="W116" i="2"/>
  <c r="U84" i="2"/>
  <c r="U86" i="2" s="1"/>
  <c r="U87" i="2" s="1"/>
  <c r="V81" i="2"/>
  <c r="V82" i="2" s="1"/>
  <c r="V83" i="2" s="1"/>
  <c r="V78" i="2"/>
  <c r="V79" i="2" s="1"/>
  <c r="V80" i="2" s="1"/>
  <c r="W77" i="2"/>
  <c r="W85" i="2"/>
  <c r="X76" i="2"/>
  <c r="R148" i="2"/>
  <c r="Y134" i="2"/>
  <c r="Y135" i="2" s="1"/>
  <c r="Y136" i="2" s="1"/>
  <c r="X144" i="2"/>
  <c r="AB127" i="2"/>
  <c r="AB187" i="2"/>
  <c r="AB159" i="2"/>
  <c r="X140" i="2"/>
  <c r="X141" i="2" s="1"/>
  <c r="X142" i="2" s="1"/>
  <c r="X137" i="2"/>
  <c r="X138" i="2" s="1"/>
  <c r="AD15" i="2"/>
  <c r="AC16" i="2"/>
  <c r="AC99" i="2" s="1"/>
  <c r="V72" i="2" l="1"/>
  <c r="W226" i="7"/>
  <c r="W204" i="7" s="1"/>
  <c r="AB189" i="2" s="1"/>
  <c r="W68" i="2"/>
  <c r="W56" i="2"/>
  <c r="R27" i="7"/>
  <c r="W69" i="2"/>
  <c r="R65" i="7" s="1"/>
  <c r="X63" i="2"/>
  <c r="X64" i="2" s="1"/>
  <c r="X65" i="2" s="1"/>
  <c r="Q39" i="7"/>
  <c r="Q41" i="7"/>
  <c r="Q40" i="7"/>
  <c r="Q33" i="7"/>
  <c r="Q32" i="7"/>
  <c r="Q38" i="7"/>
  <c r="Q35" i="7"/>
  <c r="Q30" i="7"/>
  <c r="Q27" i="7"/>
  <c r="Q34" i="7"/>
  <c r="Q31" i="7"/>
  <c r="Q37" i="7"/>
  <c r="Q36" i="7"/>
  <c r="Q29" i="7"/>
  <c r="Q28" i="7"/>
  <c r="Q10" i="7"/>
  <c r="V67" i="2" s="1"/>
  <c r="R77" i="7"/>
  <c r="R72" i="7"/>
  <c r="R69" i="7"/>
  <c r="R79" i="7"/>
  <c r="R78" i="7"/>
  <c r="R71" i="7"/>
  <c r="R70" i="7"/>
  <c r="R76" i="7"/>
  <c r="R73" i="7"/>
  <c r="R68" i="7"/>
  <c r="R75" i="7"/>
  <c r="R67" i="7"/>
  <c r="R66" i="7"/>
  <c r="R74" i="7"/>
  <c r="Q75" i="7"/>
  <c r="Q74" i="7"/>
  <c r="Q77" i="7"/>
  <c r="Q72" i="7"/>
  <c r="Q69" i="7"/>
  <c r="Q79" i="7"/>
  <c r="Q78" i="7"/>
  <c r="Q71" i="7"/>
  <c r="Q70" i="7"/>
  <c r="Q73" i="7"/>
  <c r="Q65" i="7"/>
  <c r="Q68" i="7"/>
  <c r="Q67" i="7"/>
  <c r="Q66" i="7"/>
  <c r="Q76" i="7"/>
  <c r="R41" i="7"/>
  <c r="R40" i="7"/>
  <c r="R39" i="7"/>
  <c r="R38" i="7"/>
  <c r="R35" i="7"/>
  <c r="R30" i="7"/>
  <c r="R37" i="7"/>
  <c r="R36" i="7"/>
  <c r="R29" i="7"/>
  <c r="R28" i="7"/>
  <c r="R34" i="7"/>
  <c r="R31" i="7"/>
  <c r="R33" i="7"/>
  <c r="R32" i="7"/>
  <c r="Q48" i="7"/>
  <c r="V71" i="2" s="1"/>
  <c r="X55" i="2"/>
  <c r="X66" i="2" s="1"/>
  <c r="N87" i="7"/>
  <c r="S101" i="2" s="1"/>
  <c r="O103" i="7"/>
  <c r="V58" i="2"/>
  <c r="O116" i="7"/>
  <c r="O108" i="7"/>
  <c r="W176" i="2"/>
  <c r="W190" i="2" s="1"/>
  <c r="O109" i="7"/>
  <c r="O114" i="7"/>
  <c r="O110" i="7"/>
  <c r="O107" i="7"/>
  <c r="O118" i="7"/>
  <c r="O112" i="7"/>
  <c r="O117" i="7"/>
  <c r="O105" i="7"/>
  <c r="R194" i="7"/>
  <c r="R189" i="7"/>
  <c r="R186" i="7"/>
  <c r="R196" i="7"/>
  <c r="R195" i="7"/>
  <c r="R188" i="7"/>
  <c r="R187" i="7"/>
  <c r="R185" i="7"/>
  <c r="R184" i="7"/>
  <c r="R183" i="7"/>
  <c r="R193" i="7"/>
  <c r="R190" i="7"/>
  <c r="R191" i="7"/>
  <c r="R192" i="7"/>
  <c r="R182" i="7"/>
  <c r="Q192" i="7"/>
  <c r="Q191" i="7"/>
  <c r="Q184" i="7"/>
  <c r="Q183" i="7"/>
  <c r="Q194" i="7"/>
  <c r="Q189" i="7"/>
  <c r="Q186" i="7"/>
  <c r="Q195" i="7"/>
  <c r="Q188" i="7"/>
  <c r="Q185" i="7"/>
  <c r="Q196" i="7"/>
  <c r="Q187" i="7"/>
  <c r="Q190" i="7"/>
  <c r="Q193" i="7"/>
  <c r="Q182" i="7"/>
  <c r="Q181" i="7"/>
  <c r="Q165" i="7" s="1"/>
  <c r="V161" i="2" s="1"/>
  <c r="O102" i="7"/>
  <c r="O101" i="7"/>
  <c r="R162" i="2"/>
  <c r="W130" i="2"/>
  <c r="W148" i="7"/>
  <c r="W126" i="7" s="1"/>
  <c r="AB129" i="2" s="1"/>
  <c r="O115" i="7"/>
  <c r="O113" i="7"/>
  <c r="O106" i="7"/>
  <c r="O111" i="7"/>
  <c r="U100" i="2"/>
  <c r="P115" i="7" s="1"/>
  <c r="X139" i="2"/>
  <c r="X143" i="2" s="1"/>
  <c r="X145" i="2" s="1"/>
  <c r="X147" i="2" s="1"/>
  <c r="X160" i="2" s="1"/>
  <c r="U88" i="2"/>
  <c r="U102" i="2" s="1"/>
  <c r="Y52" i="2"/>
  <c r="Y54" i="2" s="1"/>
  <c r="Z51" i="2"/>
  <c r="Y62" i="2"/>
  <c r="AC59" i="2"/>
  <c r="AB60" i="2"/>
  <c r="AB61" i="2" s="1"/>
  <c r="X116" i="2"/>
  <c r="V84" i="2"/>
  <c r="V86" i="2" s="1"/>
  <c r="V87" i="2" s="1"/>
  <c r="Y76" i="2"/>
  <c r="X77" i="2"/>
  <c r="X85" i="2"/>
  <c r="W81" i="2"/>
  <c r="W82" i="2" s="1"/>
  <c r="W83" i="2" s="1"/>
  <c r="W78" i="2"/>
  <c r="W79" i="2" s="1"/>
  <c r="W80" i="2" s="1"/>
  <c r="S148" i="2"/>
  <c r="Y144" i="2"/>
  <c r="Z134" i="2"/>
  <c r="Z135" i="2" s="1"/>
  <c r="Z144" i="2" s="1"/>
  <c r="AC127" i="2"/>
  <c r="AC187" i="2"/>
  <c r="AC159" i="2"/>
  <c r="Y137" i="2"/>
  <c r="Y138" i="2" s="1"/>
  <c r="Y140" i="2"/>
  <c r="Y141" i="2" s="1"/>
  <c r="Y142" i="2" s="1"/>
  <c r="AE15" i="2"/>
  <c r="AD16" i="2"/>
  <c r="AD99" i="2" s="1"/>
  <c r="W72" i="2" l="1"/>
  <c r="X227" i="7"/>
  <c r="X204" i="7" s="1"/>
  <c r="AC189" i="2" s="1"/>
  <c r="X68" i="2"/>
  <c r="X176" i="2"/>
  <c r="X190" i="2" s="1"/>
  <c r="X56" i="2"/>
  <c r="R10" i="7"/>
  <c r="W67" i="2" s="1"/>
  <c r="R48" i="7"/>
  <c r="W71" i="2" s="1"/>
  <c r="S28" i="7"/>
  <c r="S10" i="7" s="1"/>
  <c r="X67" i="2" s="1"/>
  <c r="X69" i="2"/>
  <c r="S66" i="7" s="1"/>
  <c r="Y63" i="2"/>
  <c r="Y64" i="2" s="1"/>
  <c r="Y65" i="2" s="1"/>
  <c r="X57" i="2"/>
  <c r="X70" i="2" s="1"/>
  <c r="S70" i="7" s="1"/>
  <c r="S37" i="7"/>
  <c r="S36" i="7"/>
  <c r="S29" i="7"/>
  <c r="S41" i="7"/>
  <c r="S34" i="7"/>
  <c r="S31" i="7"/>
  <c r="S39" i="7"/>
  <c r="S38" i="7"/>
  <c r="S35" i="7"/>
  <c r="S40" i="7"/>
  <c r="S33" i="7"/>
  <c r="S32" i="7"/>
  <c r="S30" i="7"/>
  <c r="Y55" i="2"/>
  <c r="Y66" i="2" s="1"/>
  <c r="R165" i="7"/>
  <c r="W161" i="2" s="1"/>
  <c r="O87" i="7"/>
  <c r="T101" i="2" s="1"/>
  <c r="W58" i="2"/>
  <c r="P103" i="7"/>
  <c r="P102" i="7"/>
  <c r="P104" i="7"/>
  <c r="X130" i="2"/>
  <c r="P118" i="7"/>
  <c r="P106" i="7"/>
  <c r="P111" i="7"/>
  <c r="P105" i="7"/>
  <c r="S162" i="2"/>
  <c r="P116" i="7"/>
  <c r="P112" i="7"/>
  <c r="P110" i="7"/>
  <c r="X149" i="7"/>
  <c r="X126" i="7" s="1"/>
  <c r="AC129" i="2" s="1"/>
  <c r="P114" i="7"/>
  <c r="P109" i="7"/>
  <c r="P113" i="7"/>
  <c r="S196" i="7"/>
  <c r="S195" i="7"/>
  <c r="S188" i="7"/>
  <c r="S187" i="7"/>
  <c r="S193" i="7"/>
  <c r="S190" i="7"/>
  <c r="S185" i="7"/>
  <c r="S184" i="7"/>
  <c r="S194" i="7"/>
  <c r="S189" i="7"/>
  <c r="S192" i="7"/>
  <c r="S191" i="7"/>
  <c r="S186" i="7"/>
  <c r="S183" i="7"/>
  <c r="S165" i="7" s="1"/>
  <c r="X161" i="2" s="1"/>
  <c r="P117" i="7"/>
  <c r="P107" i="7"/>
  <c r="P108" i="7"/>
  <c r="V100" i="2"/>
  <c r="Q103" i="7" s="1"/>
  <c r="Y139" i="2"/>
  <c r="Y143" i="2" s="1"/>
  <c r="Y145" i="2" s="1"/>
  <c r="Y147" i="2" s="1"/>
  <c r="Y160" i="2" s="1"/>
  <c r="V88" i="2"/>
  <c r="V102" i="2" s="1"/>
  <c r="Z136" i="2"/>
  <c r="AC60" i="2"/>
  <c r="AC61" i="2" s="1"/>
  <c r="AD59" i="2"/>
  <c r="Z52" i="2"/>
  <c r="Z54" i="2" s="1"/>
  <c r="AA51" i="2"/>
  <c r="Z62" i="2"/>
  <c r="Y116" i="2"/>
  <c r="W84" i="2"/>
  <c r="W86" i="2" s="1"/>
  <c r="W87" i="2" s="1"/>
  <c r="X81" i="2"/>
  <c r="X82" i="2" s="1"/>
  <c r="X83" i="2" s="1"/>
  <c r="X78" i="2"/>
  <c r="X79" i="2" s="1"/>
  <c r="X80" i="2" s="1"/>
  <c r="Y77" i="2"/>
  <c r="Y85" i="2"/>
  <c r="Z76" i="2"/>
  <c r="T148" i="2"/>
  <c r="AA134" i="2"/>
  <c r="AA135" i="2" s="1"/>
  <c r="AA136" i="2" s="1"/>
  <c r="AD127" i="2"/>
  <c r="AD187" i="2"/>
  <c r="AD159" i="2"/>
  <c r="AF15" i="2"/>
  <c r="AF16" i="2" s="1"/>
  <c r="AF99" i="2" s="1"/>
  <c r="AE16" i="2"/>
  <c r="AE99" i="2" s="1"/>
  <c r="X72" i="2" l="1"/>
  <c r="Y228" i="7"/>
  <c r="Y204" i="7" s="1"/>
  <c r="AD189" i="2" s="1"/>
  <c r="Y176" i="2"/>
  <c r="Y190" i="2" s="1"/>
  <c r="Y68" i="2"/>
  <c r="S67" i="7"/>
  <c r="S73" i="7"/>
  <c r="S78" i="7"/>
  <c r="S68" i="7"/>
  <c r="S77" i="7"/>
  <c r="S71" i="7"/>
  <c r="S72" i="7"/>
  <c r="S74" i="7"/>
  <c r="S76" i="7"/>
  <c r="S79" i="7"/>
  <c r="S48" i="7"/>
  <c r="X71" i="2" s="1"/>
  <c r="S69" i="7"/>
  <c r="S75" i="7"/>
  <c r="T29" i="7"/>
  <c r="T10" i="7" s="1"/>
  <c r="Y67" i="2" s="1"/>
  <c r="Y69" i="2"/>
  <c r="T67" i="7" s="1"/>
  <c r="Y57" i="2"/>
  <c r="Y70" i="2" s="1"/>
  <c r="T73" i="7" s="1"/>
  <c r="Z63" i="2"/>
  <c r="Z64" i="2" s="1"/>
  <c r="Z65" i="2" s="1"/>
  <c r="T39" i="7"/>
  <c r="T41" i="7"/>
  <c r="T34" i="7"/>
  <c r="T31" i="7"/>
  <c r="T40" i="7"/>
  <c r="T33" i="7"/>
  <c r="T32" i="7"/>
  <c r="T36" i="7"/>
  <c r="T38" i="7"/>
  <c r="T35" i="7"/>
  <c r="T30" i="7"/>
  <c r="T37" i="7"/>
  <c r="Y56" i="2"/>
  <c r="Z55" i="2"/>
  <c r="Q87" i="7"/>
  <c r="V101" i="2" s="1"/>
  <c r="P87" i="7"/>
  <c r="U101" i="2" s="1"/>
  <c r="X58" i="2"/>
  <c r="Q109" i="7"/>
  <c r="Q106" i="7"/>
  <c r="Q116" i="7"/>
  <c r="Q113" i="7"/>
  <c r="Q117" i="7"/>
  <c r="Q111" i="7"/>
  <c r="Q115" i="7"/>
  <c r="Q105" i="7"/>
  <c r="Y130" i="2"/>
  <c r="Q118" i="7"/>
  <c r="Q112" i="7"/>
  <c r="Q110" i="7"/>
  <c r="Q107" i="7"/>
  <c r="Y150" i="7"/>
  <c r="Y126" i="7" s="1"/>
  <c r="AD129" i="2" s="1"/>
  <c r="T162" i="2"/>
  <c r="Q114" i="7"/>
  <c r="Q104" i="7"/>
  <c r="Q108" i="7"/>
  <c r="T193" i="7"/>
  <c r="T190" i="7"/>
  <c r="T185" i="7"/>
  <c r="T192" i="7"/>
  <c r="T191" i="7"/>
  <c r="T194" i="7"/>
  <c r="T189" i="7"/>
  <c r="T196" i="7"/>
  <c r="T187" i="7"/>
  <c r="T186" i="7"/>
  <c r="T195" i="7"/>
  <c r="T188" i="7"/>
  <c r="T184" i="7"/>
  <c r="T165" i="7" s="1"/>
  <c r="Y161" i="2" s="1"/>
  <c r="W100" i="2"/>
  <c r="R110" i="7" s="1"/>
  <c r="Z137" i="2"/>
  <c r="Z138" i="2" s="1"/>
  <c r="Z140" i="2"/>
  <c r="Z141" i="2" s="1"/>
  <c r="Z142" i="2" s="1"/>
  <c r="W88" i="2"/>
  <c r="W102" i="2" s="1"/>
  <c r="AE59" i="2"/>
  <c r="AD60" i="2"/>
  <c r="AD61" i="2" s="1"/>
  <c r="AB51" i="2"/>
  <c r="AA52" i="2"/>
  <c r="AA54" i="2" s="1"/>
  <c r="AA62" i="2"/>
  <c r="Z57" i="2"/>
  <c r="Z70" i="2" s="1"/>
  <c r="Z116" i="2"/>
  <c r="X84" i="2"/>
  <c r="X86" i="2" s="1"/>
  <c r="X87" i="2" s="1"/>
  <c r="Y78" i="2"/>
  <c r="Y79" i="2" s="1"/>
  <c r="Y80" i="2" s="1"/>
  <c r="Y81" i="2"/>
  <c r="Y82" i="2" s="1"/>
  <c r="Y83" i="2" s="1"/>
  <c r="U148" i="2"/>
  <c r="Z77" i="2"/>
  <c r="Z85" i="2"/>
  <c r="AA76" i="2"/>
  <c r="AA144" i="2"/>
  <c r="AB134" i="2"/>
  <c r="AB135" i="2" s="1"/>
  <c r="AB136" i="2" s="1"/>
  <c r="AF127" i="2"/>
  <c r="AF187" i="2"/>
  <c r="AE127" i="2"/>
  <c r="AE187" i="2"/>
  <c r="AF159" i="2"/>
  <c r="AE159" i="2"/>
  <c r="AA137" i="2"/>
  <c r="AA138" i="2" s="1"/>
  <c r="AA140" i="2"/>
  <c r="AA141" i="2" s="1"/>
  <c r="AA142" i="2" s="1"/>
  <c r="Y72" i="2" l="1"/>
  <c r="Z176" i="2"/>
  <c r="Z190" i="2" s="1"/>
  <c r="AA230" i="7"/>
  <c r="AA204" i="7" s="1"/>
  <c r="AF189" i="2" s="1"/>
  <c r="Z229" i="7"/>
  <c r="Z204" i="7" s="1"/>
  <c r="AE189" i="2" s="1"/>
  <c r="Z68" i="2"/>
  <c r="T69" i="7"/>
  <c r="T68" i="7"/>
  <c r="T71" i="7"/>
  <c r="T72" i="7"/>
  <c r="T76" i="7"/>
  <c r="T48" i="7"/>
  <c r="Y71" i="2" s="1"/>
  <c r="T79" i="7"/>
  <c r="T74" i="7"/>
  <c r="T70" i="7"/>
  <c r="T75" i="7"/>
  <c r="U30" i="7"/>
  <c r="AA63" i="2"/>
  <c r="AA64" i="2" s="1"/>
  <c r="AA65" i="2" s="1"/>
  <c r="Z69" i="2"/>
  <c r="U68" i="7" s="1"/>
  <c r="T78" i="7"/>
  <c r="T77" i="7"/>
  <c r="U75" i="7"/>
  <c r="U74" i="7"/>
  <c r="U77" i="7"/>
  <c r="U72" i="7"/>
  <c r="U69" i="7"/>
  <c r="U79" i="7"/>
  <c r="U78" i="7"/>
  <c r="U71" i="7"/>
  <c r="U70" i="7"/>
  <c r="U73" i="7"/>
  <c r="U76" i="7"/>
  <c r="Z56" i="2"/>
  <c r="Z66" i="2"/>
  <c r="AA55" i="2"/>
  <c r="Y58" i="2"/>
  <c r="R106" i="7"/>
  <c r="R118" i="7"/>
  <c r="R105" i="7"/>
  <c r="R104" i="7"/>
  <c r="R115" i="7"/>
  <c r="R112" i="7"/>
  <c r="R116" i="7"/>
  <c r="R117" i="7"/>
  <c r="R108" i="7"/>
  <c r="R109" i="7"/>
  <c r="Z151" i="7"/>
  <c r="Z126" i="7" s="1"/>
  <c r="AE129" i="2" s="1"/>
  <c r="U162" i="2"/>
  <c r="Z130" i="2"/>
  <c r="R114" i="7"/>
  <c r="R111" i="7"/>
  <c r="R107" i="7"/>
  <c r="AA152" i="7"/>
  <c r="AA126" i="7" s="1"/>
  <c r="AF129" i="2" s="1"/>
  <c r="R113" i="7"/>
  <c r="X100" i="2"/>
  <c r="S111" i="7" s="1"/>
  <c r="AA139" i="2"/>
  <c r="AA143" i="2" s="1"/>
  <c r="AA145" i="2" s="1"/>
  <c r="AA147" i="2" s="1"/>
  <c r="AA160" i="2" s="1"/>
  <c r="Z139" i="2"/>
  <c r="Z143" i="2" s="1"/>
  <c r="Z145" i="2" s="1"/>
  <c r="Z147" i="2" s="1"/>
  <c r="Z160" i="2" s="1"/>
  <c r="V148" i="2"/>
  <c r="V162" i="2" s="1"/>
  <c r="X88" i="2"/>
  <c r="X102" i="2" s="1"/>
  <c r="AB52" i="2"/>
  <c r="AB54" i="2" s="1"/>
  <c r="AC51" i="2"/>
  <c r="AB62" i="2"/>
  <c r="AF59" i="2"/>
  <c r="AE60" i="2"/>
  <c r="AE61" i="2" s="1"/>
  <c r="AA116" i="2"/>
  <c r="AB76" i="2"/>
  <c r="Y84" i="2"/>
  <c r="Y86" i="2" s="1"/>
  <c r="Y87" i="2" s="1"/>
  <c r="Z81" i="2"/>
  <c r="Z82" i="2" s="1"/>
  <c r="Z83" i="2" s="1"/>
  <c r="Z78" i="2"/>
  <c r="Z79" i="2" s="1"/>
  <c r="Z80" i="2" s="1"/>
  <c r="AA77" i="2"/>
  <c r="AA85" i="2"/>
  <c r="AC134" i="2"/>
  <c r="AC135" i="2" s="1"/>
  <c r="AC136" i="2" s="1"/>
  <c r="AB144" i="2"/>
  <c r="AA176" i="2"/>
  <c r="AA190" i="2" s="1"/>
  <c r="AB137" i="2"/>
  <c r="AB138" i="2" s="1"/>
  <c r="AB140" i="2"/>
  <c r="AB141" i="2" s="1"/>
  <c r="AB142" i="2" s="1"/>
  <c r="Z72" i="2" l="1"/>
  <c r="AA68" i="2"/>
  <c r="U48" i="7"/>
  <c r="Z71" i="2" s="1"/>
  <c r="AA56" i="2"/>
  <c r="V31" i="7"/>
  <c r="AA69" i="2"/>
  <c r="V69" i="7" s="1"/>
  <c r="AB63" i="2"/>
  <c r="AB64" i="2" s="1"/>
  <c r="AB65" i="2" s="1"/>
  <c r="AA57" i="2"/>
  <c r="AA70" i="2" s="1"/>
  <c r="AA66" i="2"/>
  <c r="U39" i="7"/>
  <c r="U41" i="7"/>
  <c r="U40" i="7"/>
  <c r="U33" i="7"/>
  <c r="U32" i="7"/>
  <c r="U38" i="7"/>
  <c r="U35" i="7"/>
  <c r="U37" i="7"/>
  <c r="U36" i="7"/>
  <c r="U34" i="7"/>
  <c r="U31" i="7"/>
  <c r="U10" i="7"/>
  <c r="Z67" i="2" s="1"/>
  <c r="AB55" i="2"/>
  <c r="AB66" i="2" s="1"/>
  <c r="R87" i="7"/>
  <c r="W101" i="2" s="1"/>
  <c r="Z58" i="2"/>
  <c r="S114" i="7"/>
  <c r="S112" i="7"/>
  <c r="S116" i="7"/>
  <c r="S109" i="7"/>
  <c r="S118" i="7"/>
  <c r="S107" i="7"/>
  <c r="S115" i="7"/>
  <c r="S113" i="7"/>
  <c r="S110" i="7"/>
  <c r="V194" i="7"/>
  <c r="V189" i="7"/>
  <c r="V196" i="7"/>
  <c r="V195" i="7"/>
  <c r="V188" i="7"/>
  <c r="V187" i="7"/>
  <c r="V193" i="7"/>
  <c r="V190" i="7"/>
  <c r="V192" i="7"/>
  <c r="V191" i="7"/>
  <c r="V186" i="7"/>
  <c r="W148" i="2"/>
  <c r="W162" i="2" s="1"/>
  <c r="S117" i="7"/>
  <c r="S108" i="7"/>
  <c r="S106" i="7"/>
  <c r="S105" i="7"/>
  <c r="AA130" i="2"/>
  <c r="U192" i="7"/>
  <c r="U191" i="7"/>
  <c r="U194" i="7"/>
  <c r="U189" i="7"/>
  <c r="U186" i="7"/>
  <c r="U196" i="7"/>
  <c r="U187" i="7"/>
  <c r="U193" i="7"/>
  <c r="U190" i="7"/>
  <c r="U195" i="7"/>
  <c r="U188" i="7"/>
  <c r="U185" i="7"/>
  <c r="U165" i="7" s="1"/>
  <c r="Z161" i="2" s="1"/>
  <c r="Y100" i="2"/>
  <c r="T109" i="7" s="1"/>
  <c r="AB139" i="2"/>
  <c r="AB143" i="2" s="1"/>
  <c r="AB145" i="2" s="1"/>
  <c r="AB147" i="2" s="1"/>
  <c r="AB160" i="2" s="1"/>
  <c r="Y88" i="2"/>
  <c r="Y102" i="2" s="1"/>
  <c r="AG59" i="2"/>
  <c r="AF60" i="2"/>
  <c r="AF61" i="2" s="1"/>
  <c r="AC52" i="2"/>
  <c r="AC54" i="2" s="1"/>
  <c r="AD51" i="2"/>
  <c r="AC62" i="2"/>
  <c r="AB116" i="2"/>
  <c r="Z84" i="2"/>
  <c r="Z86" i="2" s="1"/>
  <c r="Z87" i="2" s="1"/>
  <c r="AD134" i="2"/>
  <c r="AD135" i="2" s="1"/>
  <c r="AD144" i="2" s="1"/>
  <c r="AA81" i="2"/>
  <c r="AA82" i="2" s="1"/>
  <c r="AA83" i="2" s="1"/>
  <c r="AA78" i="2"/>
  <c r="AA79" i="2" s="1"/>
  <c r="AA80" i="2" s="1"/>
  <c r="AC144" i="2"/>
  <c r="AC76" i="2"/>
  <c r="AB77" i="2"/>
  <c r="AB85" i="2"/>
  <c r="AB176" i="2"/>
  <c r="AB190" i="2" s="1"/>
  <c r="AC140" i="2"/>
  <c r="AC141" i="2" s="1"/>
  <c r="AC142" i="2" s="1"/>
  <c r="AC137" i="2"/>
  <c r="AC138" i="2" s="1"/>
  <c r="AA72" i="2" l="1"/>
  <c r="AB68" i="2"/>
  <c r="X148" i="2"/>
  <c r="X162" i="2" s="1"/>
  <c r="AB56" i="2"/>
  <c r="W32" i="7"/>
  <c r="AB69" i="2"/>
  <c r="W70" i="7" s="1"/>
  <c r="AC63" i="2"/>
  <c r="AC64" i="2" s="1"/>
  <c r="AC65" i="2" s="1"/>
  <c r="V77" i="7"/>
  <c r="V72" i="7"/>
  <c r="V79" i="7"/>
  <c r="V78" i="7"/>
  <c r="V71" i="7"/>
  <c r="V70" i="7"/>
  <c r="V76" i="7"/>
  <c r="V73" i="7"/>
  <c r="V75" i="7"/>
  <c r="V74" i="7"/>
  <c r="AB57" i="2"/>
  <c r="AB70" i="2" s="1"/>
  <c r="W41" i="7"/>
  <c r="W40" i="7"/>
  <c r="W37" i="7"/>
  <c r="W36" i="7"/>
  <c r="W38" i="7"/>
  <c r="W39" i="7"/>
  <c r="W34" i="7"/>
  <c r="W33" i="7"/>
  <c r="W35" i="7"/>
  <c r="V41" i="7"/>
  <c r="V40" i="7"/>
  <c r="V38" i="7"/>
  <c r="V35" i="7"/>
  <c r="V37" i="7"/>
  <c r="V36" i="7"/>
  <c r="V33" i="7"/>
  <c r="V32" i="7"/>
  <c r="V39" i="7"/>
  <c r="V34" i="7"/>
  <c r="V10" i="7"/>
  <c r="AA67" i="2" s="1"/>
  <c r="V48" i="7"/>
  <c r="AA71" i="2" s="1"/>
  <c r="AC55" i="2"/>
  <c r="AC66" i="2" s="1"/>
  <c r="S87" i="7"/>
  <c r="X101" i="2" s="1"/>
  <c r="V165" i="7"/>
  <c r="AA161" i="2" s="1"/>
  <c r="AA58" i="2"/>
  <c r="T110" i="7"/>
  <c r="T107" i="7"/>
  <c r="T106" i="7"/>
  <c r="T116" i="7"/>
  <c r="T108" i="7"/>
  <c r="T118" i="7"/>
  <c r="T113" i="7"/>
  <c r="W196" i="7"/>
  <c r="W195" i="7"/>
  <c r="W188" i="7"/>
  <c r="W193" i="7"/>
  <c r="W190" i="7"/>
  <c r="W192" i="7"/>
  <c r="W191" i="7"/>
  <c r="W189" i="7"/>
  <c r="W194" i="7"/>
  <c r="W187" i="7"/>
  <c r="W165" i="7" s="1"/>
  <c r="AB161" i="2" s="1"/>
  <c r="AB130" i="2"/>
  <c r="T112" i="7"/>
  <c r="T117" i="7"/>
  <c r="T114" i="7"/>
  <c r="T111" i="7"/>
  <c r="Z100" i="2"/>
  <c r="U110" i="7" s="1"/>
  <c r="T115" i="7"/>
  <c r="AC139" i="2"/>
  <c r="AC143" i="2" s="1"/>
  <c r="AC145" i="2" s="1"/>
  <c r="AC147" i="2" s="1"/>
  <c r="AC160" i="2" s="1"/>
  <c r="Z88" i="2"/>
  <c r="Z102" i="2" s="1"/>
  <c r="AC116" i="2"/>
  <c r="AH59" i="2"/>
  <c r="AG60" i="2"/>
  <c r="AG61" i="2" s="1"/>
  <c r="AE51" i="2"/>
  <c r="AD52" i="2"/>
  <c r="AD54" i="2" s="1"/>
  <c r="AD62" i="2"/>
  <c r="AD136" i="2"/>
  <c r="AE134" i="2"/>
  <c r="AE135" i="2" s="1"/>
  <c r="AE144" i="2" s="1"/>
  <c r="AA84" i="2"/>
  <c r="AA86" i="2" s="1"/>
  <c r="AA87" i="2" s="1"/>
  <c r="AD76" i="2"/>
  <c r="AB78" i="2"/>
  <c r="AB79" i="2" s="1"/>
  <c r="AB80" i="2" s="1"/>
  <c r="AB81" i="2"/>
  <c r="AB82" i="2" s="1"/>
  <c r="AB83" i="2" s="1"/>
  <c r="AC85" i="2"/>
  <c r="AC77" i="2"/>
  <c r="AC176" i="2"/>
  <c r="AC190" i="2" s="1"/>
  <c r="AB72" i="2" l="1"/>
  <c r="AC68" i="2"/>
  <c r="Y148" i="2"/>
  <c r="Y162" i="2" s="1"/>
  <c r="W10" i="7"/>
  <c r="AB67" i="2" s="1"/>
  <c r="X33" i="7"/>
  <c r="X10" i="7" s="1"/>
  <c r="AC67" i="2" s="1"/>
  <c r="AC69" i="2"/>
  <c r="X71" i="7" s="1"/>
  <c r="AD63" i="2"/>
  <c r="AD64" i="2" s="1"/>
  <c r="AD65" i="2" s="1"/>
  <c r="AC57" i="2"/>
  <c r="AC70" i="2" s="1"/>
  <c r="X75" i="7" s="1"/>
  <c r="X39" i="7"/>
  <c r="X41" i="7"/>
  <c r="X34" i="7"/>
  <c r="X40" i="7"/>
  <c r="X37" i="7"/>
  <c r="X38" i="7"/>
  <c r="X35" i="7"/>
  <c r="X36" i="7"/>
  <c r="W79" i="7"/>
  <c r="W78" i="7"/>
  <c r="W71" i="7"/>
  <c r="W76" i="7"/>
  <c r="W73" i="7"/>
  <c r="W75" i="7"/>
  <c r="W74" i="7"/>
  <c r="W72" i="7"/>
  <c r="W77" i="7"/>
  <c r="AC56" i="2"/>
  <c r="W48" i="7"/>
  <c r="AB71" i="2" s="1"/>
  <c r="AD55" i="2"/>
  <c r="AD66" i="2" s="1"/>
  <c r="T87" i="7"/>
  <c r="Y101" i="2" s="1"/>
  <c r="AB58" i="2"/>
  <c r="U118" i="7"/>
  <c r="U116" i="7"/>
  <c r="U114" i="7"/>
  <c r="U109" i="7"/>
  <c r="U111" i="7"/>
  <c r="U115" i="7"/>
  <c r="X193" i="7"/>
  <c r="X190" i="7"/>
  <c r="X192" i="7"/>
  <c r="X191" i="7"/>
  <c r="X195" i="7"/>
  <c r="X194" i="7"/>
  <c r="X189" i="7"/>
  <c r="X196" i="7"/>
  <c r="X188" i="7"/>
  <c r="X165" i="7" s="1"/>
  <c r="AC161" i="2" s="1"/>
  <c r="U108" i="7"/>
  <c r="U107" i="7"/>
  <c r="AC130" i="2"/>
  <c r="U117" i="7"/>
  <c r="U112" i="7"/>
  <c r="U113" i="7"/>
  <c r="AA100" i="2"/>
  <c r="V111" i="7" s="1"/>
  <c r="AD116" i="2"/>
  <c r="AD137" i="2"/>
  <c r="AD138" i="2" s="1"/>
  <c r="AE136" i="2"/>
  <c r="AE137" i="2" s="1"/>
  <c r="AE138" i="2" s="1"/>
  <c r="AA88" i="2"/>
  <c r="AA102" i="2" s="1"/>
  <c r="AF134" i="2"/>
  <c r="AG134" i="2" s="1"/>
  <c r="AG135" i="2" s="1"/>
  <c r="AD140" i="2"/>
  <c r="AD141" i="2" s="1"/>
  <c r="AD142" i="2" s="1"/>
  <c r="AH60" i="2"/>
  <c r="AH61" i="2" s="1"/>
  <c r="AI59" i="2"/>
  <c r="AF51" i="2"/>
  <c r="AE52" i="2"/>
  <c r="AE54" i="2" s="1"/>
  <c r="AE62" i="2"/>
  <c r="AB84" i="2"/>
  <c r="AB86" i="2" s="1"/>
  <c r="AB87" i="2" s="1"/>
  <c r="AD77" i="2"/>
  <c r="AD85" i="2"/>
  <c r="AC78" i="2"/>
  <c r="AC79" i="2" s="1"/>
  <c r="AC80" i="2" s="1"/>
  <c r="AC81" i="2"/>
  <c r="AC82" i="2" s="1"/>
  <c r="AC83" i="2" s="1"/>
  <c r="AE76" i="2"/>
  <c r="AD176" i="2"/>
  <c r="AD190" i="2" s="1"/>
  <c r="Z148" i="2" l="1"/>
  <c r="Z162" i="2" s="1"/>
  <c r="AC72" i="2"/>
  <c r="AD68" i="2"/>
  <c r="X72" i="7"/>
  <c r="X73" i="7"/>
  <c r="X48" i="7"/>
  <c r="AC71" i="2" s="1"/>
  <c r="X77" i="7"/>
  <c r="X76" i="7"/>
  <c r="V109" i="7"/>
  <c r="AD56" i="2"/>
  <c r="X79" i="7"/>
  <c r="X74" i="7"/>
  <c r="X78" i="7"/>
  <c r="Y34" i="7"/>
  <c r="Y10" i="7" s="1"/>
  <c r="AD67" i="2" s="1"/>
  <c r="AD69" i="2"/>
  <c r="Y72" i="7" s="1"/>
  <c r="AE63" i="2"/>
  <c r="AE64" i="2" s="1"/>
  <c r="AE65" i="2" s="1"/>
  <c r="Y39" i="7"/>
  <c r="Y41" i="7"/>
  <c r="Y40" i="7"/>
  <c r="Y38" i="7"/>
  <c r="Y35" i="7"/>
  <c r="Y37" i="7"/>
  <c r="Y36" i="7"/>
  <c r="AD57" i="2"/>
  <c r="AD70" i="2" s="1"/>
  <c r="AE55" i="2"/>
  <c r="AE66" i="2" s="1"/>
  <c r="U87" i="7"/>
  <c r="Z101" i="2" s="1"/>
  <c r="AC58" i="2"/>
  <c r="V117" i="7"/>
  <c r="V112" i="7"/>
  <c r="V115" i="7"/>
  <c r="V118" i="7"/>
  <c r="AD130" i="2"/>
  <c r="V113" i="7"/>
  <c r="V108" i="7"/>
  <c r="V116" i="7"/>
  <c r="V110" i="7"/>
  <c r="AE116" i="2"/>
  <c r="AF116" i="2" s="1"/>
  <c r="AF130" i="2" s="1"/>
  <c r="AE140" i="2"/>
  <c r="AE141" i="2" s="1"/>
  <c r="AE142" i="2" s="1"/>
  <c r="V114" i="7"/>
  <c r="AB100" i="2"/>
  <c r="W109" i="7" s="1"/>
  <c r="AE139" i="2"/>
  <c r="AD139" i="2"/>
  <c r="AD143" i="2" s="1"/>
  <c r="AD145" i="2" s="1"/>
  <c r="AD147" i="2" s="1"/>
  <c r="AD160" i="2" s="1"/>
  <c r="AF135" i="2"/>
  <c r="AF144" i="2" s="1"/>
  <c r="AB88" i="2"/>
  <c r="AB102" i="2" s="1"/>
  <c r="AI60" i="2"/>
  <c r="AI61" i="2" s="1"/>
  <c r="AJ59" i="2"/>
  <c r="AF52" i="2"/>
  <c r="AF54" i="2" s="1"/>
  <c r="AG51" i="2"/>
  <c r="AF62" i="2"/>
  <c r="AC84" i="2"/>
  <c r="AC86" i="2" s="1"/>
  <c r="AC87" i="2" s="1"/>
  <c r="AF76" i="2"/>
  <c r="AE77" i="2"/>
  <c r="AE85" i="2"/>
  <c r="AD81" i="2"/>
  <c r="AD82" i="2" s="1"/>
  <c r="AD83" i="2" s="1"/>
  <c r="AD78" i="2"/>
  <c r="AD79" i="2" s="1"/>
  <c r="AD80" i="2" s="1"/>
  <c r="AH134" i="2"/>
  <c r="AH135" i="2" s="1"/>
  <c r="AH136" i="2" s="1"/>
  <c r="AA148" i="2"/>
  <c r="AA162" i="2" s="1"/>
  <c r="AE176" i="2"/>
  <c r="AE190" i="2" s="1"/>
  <c r="AG144" i="2"/>
  <c r="AG136" i="2"/>
  <c r="AD72" i="2" l="1"/>
  <c r="AE68" i="2"/>
  <c r="AE56" i="2"/>
  <c r="Z35" i="7"/>
  <c r="Z10" i="7" s="1"/>
  <c r="AE67" i="2" s="1"/>
  <c r="AE69" i="2"/>
  <c r="Z73" i="7" s="1"/>
  <c r="AF63" i="2"/>
  <c r="AF64" i="2" s="1"/>
  <c r="AF65" i="2" s="1"/>
  <c r="Y75" i="7"/>
  <c r="Y74" i="7"/>
  <c r="Y77" i="7"/>
  <c r="Y79" i="7"/>
  <c r="Y78" i="7"/>
  <c r="Y76" i="7"/>
  <c r="Y73" i="7"/>
  <c r="Z41" i="7"/>
  <c r="Z40" i="7"/>
  <c r="Z38" i="7"/>
  <c r="Z39" i="7"/>
  <c r="Z37" i="7"/>
  <c r="Z36" i="7"/>
  <c r="AE57" i="2"/>
  <c r="AE70" i="2" s="1"/>
  <c r="Y48" i="7"/>
  <c r="AD71" i="2" s="1"/>
  <c r="AF55" i="2"/>
  <c r="AF57" i="2" s="1"/>
  <c r="AF70" i="2" s="1"/>
  <c r="W87" i="7"/>
  <c r="AB101" i="2" s="1"/>
  <c r="V87" i="7"/>
  <c r="AA101" i="2" s="1"/>
  <c r="AD58" i="2"/>
  <c r="W114" i="7"/>
  <c r="W117" i="7"/>
  <c r="W112" i="7"/>
  <c r="W111" i="7"/>
  <c r="AE143" i="2"/>
  <c r="AE145" i="2" s="1"/>
  <c r="AE147" i="2" s="1"/>
  <c r="AE160" i="2" s="1"/>
  <c r="Z196" i="7" s="1"/>
  <c r="AF136" i="2"/>
  <c r="AF140" i="2" s="1"/>
  <c r="AF141" i="2" s="1"/>
  <c r="AF142" i="2" s="1"/>
  <c r="W116" i="7"/>
  <c r="W118" i="7"/>
  <c r="W110" i="7"/>
  <c r="W115" i="7"/>
  <c r="W113" i="7"/>
  <c r="Y192" i="7"/>
  <c r="Y191" i="7"/>
  <c r="Y194" i="7"/>
  <c r="Y195" i="7"/>
  <c r="Y196" i="7"/>
  <c r="Y193" i="7"/>
  <c r="Y190" i="7"/>
  <c r="Y189" i="7"/>
  <c r="Y165" i="7" s="1"/>
  <c r="AD161" i="2" s="1"/>
  <c r="AE130" i="2"/>
  <c r="AC100" i="2"/>
  <c r="X110" i="7" s="1"/>
  <c r="X87" i="7" s="1"/>
  <c r="AC101" i="2" s="1"/>
  <c r="AC88" i="2"/>
  <c r="AC102" i="2" s="1"/>
  <c r="AK59" i="2"/>
  <c r="AK60" i="2" s="1"/>
  <c r="AK61" i="2" s="1"/>
  <c r="AJ60" i="2"/>
  <c r="AJ61" i="2" s="1"/>
  <c r="AH51" i="2"/>
  <c r="AG52" i="2"/>
  <c r="AG54" i="2" s="1"/>
  <c r="AG62" i="2"/>
  <c r="AD84" i="2"/>
  <c r="AD86" i="2" s="1"/>
  <c r="AD87" i="2" s="1"/>
  <c r="AF85" i="2"/>
  <c r="AF77" i="2"/>
  <c r="AE81" i="2"/>
  <c r="AE82" i="2" s="1"/>
  <c r="AE83" i="2" s="1"/>
  <c r="AE78" i="2"/>
  <c r="AE79" i="2" s="1"/>
  <c r="AE80" i="2" s="1"/>
  <c r="AG76" i="2"/>
  <c r="AI134" i="2"/>
  <c r="AI135" i="2" s="1"/>
  <c r="AI136" i="2" s="1"/>
  <c r="AH144" i="2"/>
  <c r="AB148" i="2"/>
  <c r="AB162" i="2" s="1"/>
  <c r="AG137" i="2"/>
  <c r="AG138" i="2" s="1"/>
  <c r="AG140" i="2"/>
  <c r="AG141" i="2" s="1"/>
  <c r="AG142" i="2" s="1"/>
  <c r="AH137" i="2"/>
  <c r="AH138" i="2" s="1"/>
  <c r="AH140" i="2"/>
  <c r="AH141" i="2" s="1"/>
  <c r="AH142" i="2" s="1"/>
  <c r="AG116" i="2"/>
  <c r="AG130" i="2" s="1"/>
  <c r="AF176" i="2"/>
  <c r="AF190" i="2" s="1"/>
  <c r="AE72" i="2" l="1"/>
  <c r="AF68" i="2"/>
  <c r="AF137" i="2"/>
  <c r="AF138" i="2" s="1"/>
  <c r="AF139" i="2" s="1"/>
  <c r="AF143" i="2" s="1"/>
  <c r="AF145" i="2" s="1"/>
  <c r="AF147" i="2" s="1"/>
  <c r="AF160" i="2" s="1"/>
  <c r="AA36" i="7"/>
  <c r="AF69" i="2"/>
  <c r="AA74" i="7" s="1"/>
  <c r="AG63" i="2"/>
  <c r="AG64" i="2" s="1"/>
  <c r="AG65" i="2" s="1"/>
  <c r="Z77" i="7"/>
  <c r="Z79" i="7"/>
  <c r="Z78" i="7"/>
  <c r="Z76" i="7"/>
  <c r="Z74" i="7"/>
  <c r="Z75" i="7"/>
  <c r="AA79" i="7"/>
  <c r="AA78" i="7"/>
  <c r="AA76" i="7"/>
  <c r="AA75" i="7"/>
  <c r="AA77" i="7"/>
  <c r="AF56" i="2"/>
  <c r="AF66" i="2"/>
  <c r="Z48" i="7"/>
  <c r="AE71" i="2" s="1"/>
  <c r="AG55" i="2"/>
  <c r="AE58" i="2"/>
  <c r="X117" i="7"/>
  <c r="Z193" i="7"/>
  <c r="Z191" i="7"/>
  <c r="Z194" i="7"/>
  <c r="X118" i="7"/>
  <c r="Z190" i="7"/>
  <c r="Z165" i="7" s="1"/>
  <c r="AE161" i="2" s="1"/>
  <c r="Z195" i="7"/>
  <c r="X112" i="7"/>
  <c r="Z192" i="7"/>
  <c r="X111" i="7"/>
  <c r="X114" i="7"/>
  <c r="X113" i="7"/>
  <c r="X115" i="7"/>
  <c r="X116" i="7"/>
  <c r="AD100" i="2"/>
  <c r="Y114" i="7" s="1"/>
  <c r="AH139" i="2"/>
  <c r="AH143" i="2" s="1"/>
  <c r="AH145" i="2" s="1"/>
  <c r="AH147" i="2" s="1"/>
  <c r="AH160" i="2" s="1"/>
  <c r="AG139" i="2"/>
  <c r="AG143" i="2" s="1"/>
  <c r="AG145" i="2" s="1"/>
  <c r="AG147" i="2" s="1"/>
  <c r="AG160" i="2" s="1"/>
  <c r="AD88" i="2"/>
  <c r="AD102" i="2" s="1"/>
  <c r="AH52" i="2"/>
  <c r="AH54" i="2" s="1"/>
  <c r="AI51" i="2"/>
  <c r="AH62" i="2"/>
  <c r="AE84" i="2"/>
  <c r="AE86" i="2" s="1"/>
  <c r="AE87" i="2" s="1"/>
  <c r="AF81" i="2"/>
  <c r="AF82" i="2" s="1"/>
  <c r="AF83" i="2" s="1"/>
  <c r="AF78" i="2"/>
  <c r="AF79" i="2" s="1"/>
  <c r="AF80" i="2" s="1"/>
  <c r="AH76" i="2"/>
  <c r="AG85" i="2"/>
  <c r="AG77" i="2"/>
  <c r="AJ134" i="2"/>
  <c r="AJ135" i="2" s="1"/>
  <c r="AJ136" i="2" s="1"/>
  <c r="AI144" i="2"/>
  <c r="AC148" i="2"/>
  <c r="AC162" i="2" s="1"/>
  <c r="AG176" i="2"/>
  <c r="AG190" i="2" s="1"/>
  <c r="AH116" i="2"/>
  <c r="AH130" i="2" s="1"/>
  <c r="AI137" i="2"/>
  <c r="AI138" i="2" s="1"/>
  <c r="AI140" i="2"/>
  <c r="AI141" i="2" s="1"/>
  <c r="AI142" i="2" s="1"/>
  <c r="AF72" i="2" l="1"/>
  <c r="AG68" i="2"/>
  <c r="AA48" i="7"/>
  <c r="AF71" i="2" s="1"/>
  <c r="AB37" i="7"/>
  <c r="AG69" i="2"/>
  <c r="AB75" i="7" s="1"/>
  <c r="AH63" i="2"/>
  <c r="AH64" i="2" s="1"/>
  <c r="AH65" i="2" s="1"/>
  <c r="AG57" i="2"/>
  <c r="AG70" i="2" s="1"/>
  <c r="AG66" i="2"/>
  <c r="AA38" i="7"/>
  <c r="AA37" i="7"/>
  <c r="AA41" i="7"/>
  <c r="AA39" i="7"/>
  <c r="AA40" i="7"/>
  <c r="AA10" i="7"/>
  <c r="AF67" i="2" s="1"/>
  <c r="AG56" i="2"/>
  <c r="AH55" i="2"/>
  <c r="AF58" i="2"/>
  <c r="Y118" i="7"/>
  <c r="Y113" i="7"/>
  <c r="Y116" i="7"/>
  <c r="AB193" i="7"/>
  <c r="AB194" i="7"/>
  <c r="AB196" i="7"/>
  <c r="AB195" i="7"/>
  <c r="AB192" i="7"/>
  <c r="AA196" i="7"/>
  <c r="AA195" i="7"/>
  <c r="AA193" i="7"/>
  <c r="AA194" i="7"/>
  <c r="AA192" i="7"/>
  <c r="AA191" i="7"/>
  <c r="AA165" i="7" s="1"/>
  <c r="AF161" i="2" s="1"/>
  <c r="Y117" i="7"/>
  <c r="AC194" i="7"/>
  <c r="AC196" i="7"/>
  <c r="AC195" i="7"/>
  <c r="AC193" i="7"/>
  <c r="Y115" i="7"/>
  <c r="Y112" i="7"/>
  <c r="Y111" i="7"/>
  <c r="AE100" i="2"/>
  <c r="Z112" i="7" s="1"/>
  <c r="AI139" i="2"/>
  <c r="AI143" i="2" s="1"/>
  <c r="AI145" i="2" s="1"/>
  <c r="AI147" i="2" s="1"/>
  <c r="AI160" i="2" s="1"/>
  <c r="AE88" i="2"/>
  <c r="AE102" i="2" s="1"/>
  <c r="AJ51" i="2"/>
  <c r="AI52" i="2"/>
  <c r="AI54" i="2" s="1"/>
  <c r="AI62" i="2"/>
  <c r="AF84" i="2"/>
  <c r="AF86" i="2" s="1"/>
  <c r="AF87" i="2" s="1"/>
  <c r="AG78" i="2"/>
  <c r="AG79" i="2" s="1"/>
  <c r="AG80" i="2" s="1"/>
  <c r="AG81" i="2"/>
  <c r="AG82" i="2" s="1"/>
  <c r="AG83" i="2" s="1"/>
  <c r="AI76" i="2"/>
  <c r="AH77" i="2"/>
  <c r="AH85" i="2"/>
  <c r="AJ144" i="2"/>
  <c r="AK134" i="2"/>
  <c r="AK135" i="2" s="1"/>
  <c r="AK144" i="2" s="1"/>
  <c r="AD148" i="2"/>
  <c r="AD162" i="2" s="1"/>
  <c r="AI116" i="2"/>
  <c r="AI130" i="2" s="1"/>
  <c r="AJ137" i="2"/>
  <c r="AJ138" i="2" s="1"/>
  <c r="AJ140" i="2"/>
  <c r="AJ141" i="2" s="1"/>
  <c r="AJ142" i="2" s="1"/>
  <c r="AH176" i="2"/>
  <c r="AH190" i="2" s="1"/>
  <c r="AG72" i="2" l="1"/>
  <c r="AH68" i="2"/>
  <c r="AH56" i="2"/>
  <c r="AC38" i="7"/>
  <c r="AH69" i="2"/>
  <c r="AI63" i="2"/>
  <c r="AI64" i="2" s="1"/>
  <c r="AI65" i="2" s="1"/>
  <c r="AB76" i="7"/>
  <c r="AB77" i="7"/>
  <c r="AB79" i="7"/>
  <c r="AB78" i="7"/>
  <c r="AB39" i="7"/>
  <c r="AB41" i="7"/>
  <c r="AB40" i="7"/>
  <c r="AB38" i="7"/>
  <c r="AB10" i="7"/>
  <c r="AG67" i="2" s="1"/>
  <c r="AH57" i="2"/>
  <c r="AH70" i="2" s="1"/>
  <c r="AH66" i="2"/>
  <c r="AB48" i="7"/>
  <c r="AG71" i="2" s="1"/>
  <c r="AI55" i="2"/>
  <c r="Z87" i="7"/>
  <c r="AE101" i="2" s="1"/>
  <c r="AC165" i="7"/>
  <c r="AH161" i="2" s="1"/>
  <c r="AB165" i="7"/>
  <c r="AG161" i="2" s="1"/>
  <c r="Y87" i="7"/>
  <c r="AD101" i="2" s="1"/>
  <c r="AG58" i="2"/>
  <c r="Z118" i="7"/>
  <c r="Z116" i="7"/>
  <c r="Z117" i="7"/>
  <c r="Z115" i="7"/>
  <c r="Z113" i="7"/>
  <c r="Z114" i="7"/>
  <c r="AD196" i="7"/>
  <c r="AD195" i="7"/>
  <c r="AD194" i="7"/>
  <c r="AD165" i="7" s="1"/>
  <c r="AI161" i="2" s="1"/>
  <c r="AF100" i="2"/>
  <c r="AA115" i="7" s="1"/>
  <c r="AJ139" i="2"/>
  <c r="AJ143" i="2" s="1"/>
  <c r="AJ145" i="2" s="1"/>
  <c r="AJ147" i="2" s="1"/>
  <c r="AJ160" i="2" s="1"/>
  <c r="AF88" i="2"/>
  <c r="AF102" i="2" s="1"/>
  <c r="AK51" i="2"/>
  <c r="AJ52" i="2"/>
  <c r="AJ54" i="2" s="1"/>
  <c r="AJ62" i="2"/>
  <c r="AK76" i="2"/>
  <c r="AJ76" i="2"/>
  <c r="AH78" i="2"/>
  <c r="AH79" i="2" s="1"/>
  <c r="AH80" i="2" s="1"/>
  <c r="AH81" i="2"/>
  <c r="AH82" i="2" s="1"/>
  <c r="AH83" i="2" s="1"/>
  <c r="AI85" i="2"/>
  <c r="AI77" i="2"/>
  <c r="AG84" i="2"/>
  <c r="AG86" i="2" s="1"/>
  <c r="AG87" i="2" s="1"/>
  <c r="AK136" i="2"/>
  <c r="AE148" i="2"/>
  <c r="AE162" i="2" s="1"/>
  <c r="AJ116" i="2"/>
  <c r="AJ130" i="2" s="1"/>
  <c r="AI176" i="2"/>
  <c r="AI190" i="2" s="1"/>
  <c r="AH72" i="2" l="1"/>
  <c r="AI68" i="2"/>
  <c r="AD39" i="7"/>
  <c r="AI69" i="2"/>
  <c r="AJ63" i="2"/>
  <c r="AJ64" i="2" s="1"/>
  <c r="AJ65" i="2" s="1"/>
  <c r="AC39" i="7"/>
  <c r="AC41" i="7"/>
  <c r="AC40" i="7"/>
  <c r="AC10" i="7"/>
  <c r="AH67" i="2" s="1"/>
  <c r="AC77" i="7"/>
  <c r="AC79" i="7"/>
  <c r="AC78" i="7"/>
  <c r="AI56" i="2"/>
  <c r="AI66" i="2"/>
  <c r="AC76" i="7"/>
  <c r="AC48" i="7" s="1"/>
  <c r="AH71" i="2" s="1"/>
  <c r="AI57" i="2"/>
  <c r="AI70" i="2" s="1"/>
  <c r="AJ55" i="2"/>
  <c r="AH58" i="2"/>
  <c r="AA116" i="7"/>
  <c r="AE196" i="7"/>
  <c r="AE195" i="7"/>
  <c r="AE165" i="7" s="1"/>
  <c r="AJ161" i="2" s="1"/>
  <c r="AA117" i="7"/>
  <c r="AA114" i="7"/>
  <c r="AA113" i="7"/>
  <c r="AA118" i="7"/>
  <c r="AG100" i="2"/>
  <c r="AB118" i="7" s="1"/>
  <c r="AK137" i="2"/>
  <c r="AK138" i="2" s="1"/>
  <c r="AK139" i="2" s="1"/>
  <c r="AG88" i="2"/>
  <c r="AG102" i="2" s="1"/>
  <c r="AK52" i="2"/>
  <c r="AK54" i="2" s="1"/>
  <c r="AK62" i="2"/>
  <c r="AH84" i="2"/>
  <c r="AH86" i="2" s="1"/>
  <c r="AH87" i="2" s="1"/>
  <c r="AI78" i="2"/>
  <c r="AI79" i="2" s="1"/>
  <c r="AI80" i="2" s="1"/>
  <c r="AI81" i="2"/>
  <c r="AI82" i="2" s="1"/>
  <c r="AI83" i="2" s="1"/>
  <c r="AJ77" i="2"/>
  <c r="AJ85" i="2"/>
  <c r="AK85" i="2"/>
  <c r="AK77" i="2"/>
  <c r="AK140" i="2"/>
  <c r="AK141" i="2" s="1"/>
  <c r="AK142" i="2" s="1"/>
  <c r="AF148" i="2"/>
  <c r="AF162" i="2" s="1"/>
  <c r="AJ176" i="2"/>
  <c r="AJ190" i="2" s="1"/>
  <c r="AK116" i="2"/>
  <c r="AK130" i="2" s="1"/>
  <c r="AI72" i="2" l="1"/>
  <c r="AJ68" i="2"/>
  <c r="AD77" i="7"/>
  <c r="AD48" i="7" s="1"/>
  <c r="AI71" i="2" s="1"/>
  <c r="AJ56" i="2"/>
  <c r="AE40" i="7"/>
  <c r="AJ69" i="2"/>
  <c r="AE78" i="7" s="1"/>
  <c r="AK63" i="2"/>
  <c r="AK64" i="2" s="1"/>
  <c r="AK65" i="2" s="1"/>
  <c r="AD41" i="7"/>
  <c r="AD40" i="7"/>
  <c r="AD10" i="7"/>
  <c r="AI67" i="2" s="1"/>
  <c r="AD79" i="7"/>
  <c r="AD78" i="7"/>
  <c r="AJ57" i="2"/>
  <c r="AJ70" i="2" s="1"/>
  <c r="AE79" i="7" s="1"/>
  <c r="AJ66" i="2"/>
  <c r="AK55" i="2"/>
  <c r="AA87" i="7"/>
  <c r="AF101" i="2" s="1"/>
  <c r="AI58" i="2"/>
  <c r="AB116" i="7"/>
  <c r="AB115" i="7"/>
  <c r="AB114" i="7"/>
  <c r="AB117" i="7"/>
  <c r="AK143" i="2"/>
  <c r="AK145" i="2" s="1"/>
  <c r="AK147" i="2" s="1"/>
  <c r="AK160" i="2" s="1"/>
  <c r="AF196" i="7" s="1"/>
  <c r="AF165" i="7" s="1"/>
  <c r="AK161" i="2" s="1"/>
  <c r="AH100" i="2"/>
  <c r="AC118" i="7" s="1"/>
  <c r="AH88" i="2"/>
  <c r="AH102" i="2" s="1"/>
  <c r="AI84" i="2"/>
  <c r="AI86" i="2" s="1"/>
  <c r="AI87" i="2" s="1"/>
  <c r="AK78" i="2"/>
  <c r="AK79" i="2" s="1"/>
  <c r="AK80" i="2" s="1"/>
  <c r="AK81" i="2"/>
  <c r="AK82" i="2" s="1"/>
  <c r="AK83" i="2" s="1"/>
  <c r="AJ78" i="2"/>
  <c r="AJ79" i="2" s="1"/>
  <c r="AJ80" i="2" s="1"/>
  <c r="AJ81" i="2"/>
  <c r="AJ82" i="2" s="1"/>
  <c r="AJ83" i="2" s="1"/>
  <c r="AG148" i="2"/>
  <c r="AG162" i="2" s="1"/>
  <c r="AK176" i="2"/>
  <c r="AK190" i="2" s="1"/>
  <c r="AJ72" i="2" l="1"/>
  <c r="AK68" i="2"/>
  <c r="AF41" i="7"/>
  <c r="AK69" i="2"/>
  <c r="AF79" i="7" s="1"/>
  <c r="AK56" i="2"/>
  <c r="AK66" i="2"/>
  <c r="AE41" i="7"/>
  <c r="AE10" i="7"/>
  <c r="AJ67" i="2" s="1"/>
  <c r="AE48" i="7"/>
  <c r="AJ71" i="2" s="1"/>
  <c r="AK57" i="2"/>
  <c r="AK70" i="2" s="1"/>
  <c r="AB87" i="7"/>
  <c r="AG101" i="2" s="1"/>
  <c r="AJ58" i="2"/>
  <c r="AC117" i="7"/>
  <c r="AC116" i="7"/>
  <c r="AC115" i="7"/>
  <c r="AI100" i="2"/>
  <c r="AI88" i="2"/>
  <c r="AI102" i="2" s="1"/>
  <c r="AJ84" i="2"/>
  <c r="AJ86" i="2" s="1"/>
  <c r="AJ87" i="2" s="1"/>
  <c r="AK84" i="2"/>
  <c r="AK86" i="2" s="1"/>
  <c r="AK87" i="2" s="1"/>
  <c r="AH148" i="2"/>
  <c r="AH162" i="2" s="1"/>
  <c r="AK72" i="2" l="1"/>
  <c r="AF48" i="7"/>
  <c r="AK71" i="2" s="1"/>
  <c r="AF10" i="7"/>
  <c r="AK67" i="2" s="1"/>
  <c r="AC87" i="7"/>
  <c r="AH101" i="2" s="1"/>
  <c r="AK58" i="2"/>
  <c r="AD118" i="7"/>
  <c r="AD116" i="7"/>
  <c r="AD117" i="7"/>
  <c r="AK100" i="2"/>
  <c r="AF118" i="7" s="1"/>
  <c r="AJ100" i="2"/>
  <c r="AJ88" i="2"/>
  <c r="AJ102" i="2" s="1"/>
  <c r="AI148" i="2"/>
  <c r="AI162" i="2" s="1"/>
  <c r="AD87" i="7" l="1"/>
  <c r="AI101" i="2" s="1"/>
  <c r="AE118" i="7"/>
  <c r="AE117" i="7"/>
  <c r="AK88" i="2"/>
  <c r="AK102" i="2" s="1"/>
  <c r="AJ148" i="2"/>
  <c r="AJ162" i="2" s="1"/>
  <c r="AE87" i="7" l="1"/>
  <c r="AJ101" i="2" s="1"/>
  <c r="AF87" i="7"/>
  <c r="AK101" i="2" s="1"/>
  <c r="AK148" i="2"/>
  <c r="AK162" i="2" s="1"/>
</calcChain>
</file>

<file path=xl/sharedStrings.xml><?xml version="1.0" encoding="utf-8"?>
<sst xmlns="http://schemas.openxmlformats.org/spreadsheetml/2006/main" count="704" uniqueCount="353">
  <si>
    <t>loyer</t>
  </si>
  <si>
    <t>charges</t>
  </si>
  <si>
    <t>ammeublement</t>
  </si>
  <si>
    <t>notaire</t>
  </si>
  <si>
    <t>agence</t>
  </si>
  <si>
    <t>duree</t>
  </si>
  <si>
    <t>apport</t>
  </si>
  <si>
    <t>interet</t>
  </si>
  <si>
    <t>assurance</t>
  </si>
  <si>
    <t>fraisBancaires</t>
  </si>
  <si>
    <t>fraisCourtier</t>
  </si>
  <si>
    <t>chargesLoc</t>
  </si>
  <si>
    <t>occupation</t>
  </si>
  <si>
    <t>fonciere</t>
  </si>
  <si>
    <t>gestion</t>
  </si>
  <si>
    <t>pno</t>
  </si>
  <si>
    <t>revInvest1</t>
  </si>
  <si>
    <t>augInvest1</t>
  </si>
  <si>
    <t>revInvest2</t>
  </si>
  <si>
    <t>augInvest2</t>
  </si>
  <si>
    <t>partFisc</t>
  </si>
  <si>
    <t>emprunt</t>
  </si>
  <si>
    <t>coutProjet</t>
  </si>
  <si>
    <t>mensualite</t>
  </si>
  <si>
    <t>KPI</t>
  </si>
  <si>
    <t>valeur</t>
  </si>
  <si>
    <t>Champs</t>
  </si>
  <si>
    <t>Paramètres</t>
  </si>
  <si>
    <t>Valeur</t>
  </si>
  <si>
    <t>A1*</t>
  </si>
  <si>
    <t>A2*</t>
  </si>
  <si>
    <t>A3*</t>
  </si>
  <si>
    <t>B1*</t>
  </si>
  <si>
    <t>B2*</t>
  </si>
  <si>
    <t>B3*</t>
  </si>
  <si>
    <t>Total des charges financières (intêrets + assurance)</t>
  </si>
  <si>
    <t>Définition</t>
  </si>
  <si>
    <t>unité</t>
  </si>
  <si>
    <t>année</t>
  </si>
  <si>
    <t>mois</t>
  </si>
  <si>
    <t>%</t>
  </si>
  <si>
    <t>Calcul de l'impôt sur le revenu en prenant en compte le plafonnement de la réduction liée aux parts de quotien familial supplémentaires</t>
  </si>
  <si>
    <t>Coût des intérêts d'emprunt</t>
  </si>
  <si>
    <t>Coût de l'assurance crédit</t>
  </si>
  <si>
    <t>Bénéfice avant remboursement de la dette : revenu - charges d'exploitation - charges financières</t>
  </si>
  <si>
    <t>Bénéfice avant impôts : revenu - charges d'exploitation - charges financières - remboursement de la dette</t>
  </si>
  <si>
    <t>Déficit foncier déductible du revenu d'activité pour le régime location nue au réel</t>
  </si>
  <si>
    <t>Cumul du capital remboursé à la fin de l'année depuis le début de l'emprunt</t>
  </si>
  <si>
    <r>
      <t xml:space="preserve">Calcul de l'impôt sur le revenu total à payer </t>
    </r>
    <r>
      <rPr>
        <b/>
        <u/>
        <sz val="11"/>
        <color theme="1"/>
        <rFont val="Calibri"/>
        <family val="2"/>
        <scheme val="minor"/>
      </rPr>
      <t>sans prendre</t>
    </r>
    <r>
      <rPr>
        <u/>
        <sz val="11"/>
        <color theme="1"/>
        <rFont val="Calibri"/>
        <family val="2"/>
        <scheme val="minor"/>
      </rPr>
      <t xml:space="preserve"> </t>
    </r>
    <r>
      <rPr>
        <b/>
        <u/>
        <sz val="11"/>
        <color theme="1"/>
        <rFont val="Calibri"/>
        <family val="2"/>
        <scheme val="minor"/>
      </rPr>
      <t>en</t>
    </r>
    <r>
      <rPr>
        <u/>
        <sz val="11"/>
        <color theme="1"/>
        <rFont val="Calibri"/>
        <family val="2"/>
        <scheme val="minor"/>
      </rPr>
      <t xml:space="preserve"> </t>
    </r>
    <r>
      <rPr>
        <b/>
        <u/>
        <sz val="11"/>
        <color theme="1"/>
        <rFont val="Calibri"/>
        <family val="2"/>
        <scheme val="minor"/>
      </rPr>
      <t>compte</t>
    </r>
    <r>
      <rPr>
        <sz val="11"/>
        <color theme="1"/>
        <rFont val="Calibri"/>
        <family val="2"/>
        <scheme val="minor"/>
      </rPr>
      <t xml:space="preserve"> les parts de quotien familial supplémentaires (parts des enfants)</t>
    </r>
  </si>
  <si>
    <r>
      <t xml:space="preserve">Calcul de l'impôt sur le revenu total à payer </t>
    </r>
    <r>
      <rPr>
        <b/>
        <u/>
        <sz val="11"/>
        <color theme="1"/>
        <rFont val="Calibri"/>
        <family val="2"/>
        <scheme val="minor"/>
      </rPr>
      <t>en prenant</t>
    </r>
    <r>
      <rPr>
        <u/>
        <sz val="11"/>
        <color theme="1"/>
        <rFont val="Calibri"/>
        <family val="2"/>
        <scheme val="minor"/>
      </rPr>
      <t xml:space="preserve"> </t>
    </r>
    <r>
      <rPr>
        <b/>
        <u/>
        <sz val="11"/>
        <color theme="1"/>
        <rFont val="Calibri"/>
        <family val="2"/>
        <scheme val="minor"/>
      </rPr>
      <t>en</t>
    </r>
    <r>
      <rPr>
        <u/>
        <sz val="11"/>
        <color theme="1"/>
        <rFont val="Calibri"/>
        <family val="2"/>
        <scheme val="minor"/>
      </rPr>
      <t xml:space="preserve"> </t>
    </r>
    <r>
      <rPr>
        <b/>
        <u/>
        <sz val="11"/>
        <color theme="1"/>
        <rFont val="Calibri"/>
        <family val="2"/>
        <scheme val="minor"/>
      </rPr>
      <t>compte</t>
    </r>
    <r>
      <rPr>
        <sz val="11"/>
        <color theme="1"/>
        <rFont val="Calibri"/>
        <family val="2"/>
        <scheme val="minor"/>
      </rPr>
      <t xml:space="preserve"> les parts de quotien familial supplémentaires (parts des enfants)</t>
    </r>
  </si>
  <si>
    <t>part</t>
  </si>
  <si>
    <t>euro</t>
  </si>
  <si>
    <t>Total des charges d'exploitation (frais de gestion locative, charges courantes, taxe foncière, pno &amp; gli)</t>
  </si>
  <si>
    <t>Capital remboursé à la fin de l'année</t>
  </si>
  <si>
    <t>Coût de l'assurance propriétaire non-occupant et garantie loyers impayés. Champ est indexé sur l'inflation</t>
  </si>
  <si>
    <t xml:space="preserve">Excédent brut d'exploitation : revenu - charges d'exploitation </t>
  </si>
  <si>
    <t>Dotations aux amortissements de l'ammeublement</t>
  </si>
  <si>
    <t>Total des dotations aux amortissements</t>
  </si>
  <si>
    <t>Loyer Annuel</t>
  </si>
  <si>
    <t>Interêt</t>
  </si>
  <si>
    <t>CUMUL Capital Remboursé</t>
  </si>
  <si>
    <t>Capital Remboursé</t>
  </si>
  <si>
    <t>Assurance</t>
  </si>
  <si>
    <t>Charges locataires</t>
  </si>
  <si>
    <t>Frais de gestion locative</t>
  </si>
  <si>
    <t>Charges courantes</t>
  </si>
  <si>
    <t>Taxe foncière</t>
  </si>
  <si>
    <t>PNO &amp; GLI</t>
  </si>
  <si>
    <t>Charges d'exploitation</t>
  </si>
  <si>
    <t>Excédent brut d'exploitation</t>
  </si>
  <si>
    <t>Bénéfice avant remboursement de la dette</t>
  </si>
  <si>
    <t>Bénéfice avant impôts</t>
  </si>
  <si>
    <t>Total amortissement</t>
  </si>
  <si>
    <t>Revenu  d'activité imposable</t>
  </si>
  <si>
    <t>Impot sur le revenu d'activité</t>
  </si>
  <si>
    <t>Total charges financières</t>
  </si>
  <si>
    <t>Total charges d'exploitation</t>
  </si>
  <si>
    <t>Plafonnement déduction parts fiscales supp</t>
  </si>
  <si>
    <t>A1 (voir glossaire)</t>
  </si>
  <si>
    <t>A2 (voir glossaire)</t>
  </si>
  <si>
    <t>A3 (voir glossaire)</t>
  </si>
  <si>
    <t>B1 (voir glossaire)</t>
  </si>
  <si>
    <t>B2 (voir glossaire)</t>
  </si>
  <si>
    <t>B3 (voir glossaire)</t>
  </si>
  <si>
    <t>Charges déductibles pour le régime location nue au réel. Les travaux sont passés en charges déductible sur ce régime ce qui créé une grosse enveloppe de déficit foncier reportable la première année.</t>
  </si>
  <si>
    <t>Déficit foncier reportable déductible du revenu d'activité pour le régime location nue au réel.  Lorsque les charges déductibles sont supérieures aux loyers encaissées, une enveloppe de déficit foncier reportable sur les autres années est crée.</t>
  </si>
  <si>
    <t>Revenu d'activité imposable (si couple : somme des deux revenus d'activités)</t>
  </si>
  <si>
    <r>
      <t>Calcul du quotien familial</t>
    </r>
    <r>
      <rPr>
        <b/>
        <sz val="11"/>
        <color theme="1"/>
        <rFont val="Calibri"/>
        <family val="2"/>
        <scheme val="minor"/>
      </rPr>
      <t> </t>
    </r>
    <r>
      <rPr>
        <b/>
        <u/>
        <sz val="11"/>
        <color theme="1"/>
        <rFont val="Calibri"/>
        <family val="2"/>
        <scheme val="minor"/>
      </rPr>
      <t>sans prendre</t>
    </r>
    <r>
      <rPr>
        <u/>
        <sz val="11"/>
        <color theme="1"/>
        <rFont val="Calibri"/>
        <family val="2"/>
        <scheme val="minor"/>
      </rPr>
      <t xml:space="preserve"> </t>
    </r>
    <r>
      <rPr>
        <b/>
        <u/>
        <sz val="11"/>
        <color theme="1"/>
        <rFont val="Calibri"/>
        <family val="2"/>
        <scheme val="minor"/>
      </rPr>
      <t>en</t>
    </r>
    <r>
      <rPr>
        <u/>
        <sz val="11"/>
        <color theme="1"/>
        <rFont val="Calibri"/>
        <family val="2"/>
        <scheme val="minor"/>
      </rPr>
      <t xml:space="preserve"> </t>
    </r>
    <r>
      <rPr>
        <b/>
        <u/>
        <sz val="11"/>
        <color theme="1"/>
        <rFont val="Calibri"/>
        <family val="2"/>
        <scheme val="minor"/>
      </rPr>
      <t>compte</t>
    </r>
    <r>
      <rPr>
        <sz val="11"/>
        <color theme="1"/>
        <rFont val="Calibri"/>
        <family val="2"/>
        <scheme val="minor"/>
      </rPr>
      <t xml:space="preserve"> les parts de quotien familial supplémentaires (parts des enfants)</t>
    </r>
  </si>
  <si>
    <t>Plafonnement de la déduction d'impôt liée aux parts de quotien familial supplémentaires (parts des enfants)</t>
  </si>
  <si>
    <r>
      <rPr>
        <u/>
        <sz val="11"/>
        <color theme="1"/>
        <rFont val="Calibri"/>
        <family val="2"/>
        <scheme val="minor"/>
      </rPr>
      <t>CUMUL</t>
    </r>
    <r>
      <rPr>
        <sz val="11"/>
        <color theme="1"/>
        <rFont val="Calibri"/>
        <family val="2"/>
        <scheme val="minor"/>
      </rPr>
      <t xml:space="preserve"> Capital Remboursé</t>
    </r>
  </si>
  <si>
    <r>
      <t xml:space="preserve">Toutes les valeurs font référence à une année en particulier sauf lorsque le libellé du champ comporte la mention </t>
    </r>
    <r>
      <rPr>
        <b/>
        <u/>
        <sz val="11"/>
        <color theme="0"/>
        <rFont val="Calibri"/>
        <family val="2"/>
        <scheme val="minor"/>
      </rPr>
      <t>CUMUL</t>
    </r>
  </si>
  <si>
    <t>Revenu</t>
  </si>
  <si>
    <t>Financement</t>
  </si>
  <si>
    <t>Amortissements</t>
  </si>
  <si>
    <t>Indicateurs de performance</t>
  </si>
  <si>
    <t>prise de valeur</t>
  </si>
  <si>
    <t>inflation</t>
  </si>
  <si>
    <t>Prix de revente</t>
  </si>
  <si>
    <t>CUMUL capital restant dû</t>
  </si>
  <si>
    <t>* FAI = frais d'agence inclus</t>
  </si>
  <si>
    <t>Prix du bien FAI*</t>
  </si>
  <si>
    <t>FINANCEMENT</t>
  </si>
  <si>
    <t>CHARGES 
D'EXPlOITATION</t>
  </si>
  <si>
    <t>AMORTISSEMENTS</t>
  </si>
  <si>
    <t>PERF. AVANT
IMPOTS</t>
  </si>
  <si>
    <t>REVENU D'ACTIVITE</t>
  </si>
  <si>
    <t>Revente</t>
  </si>
  <si>
    <t>Revenu foncier imposable</t>
  </si>
  <si>
    <t>Impôt sur le revenu foncier</t>
  </si>
  <si>
    <t>Plus-value</t>
  </si>
  <si>
    <t>Résultat après remboursement du capital restant dû</t>
  </si>
  <si>
    <t>Revenu total imposable</t>
  </si>
  <si>
    <t>C1 (voir glossaire)</t>
  </si>
  <si>
    <t>C2 (voir glossaire)</t>
  </si>
  <si>
    <t>C3 (voir glossaire)</t>
  </si>
  <si>
    <t>D1 (voir glossaire)</t>
  </si>
  <si>
    <t>D2 (voir glossaire)</t>
  </si>
  <si>
    <t>D3 (voir glossaire)</t>
  </si>
  <si>
    <t>Impôt sur le revenu total</t>
  </si>
  <si>
    <t>Cotisations sociales revenu foncier</t>
  </si>
  <si>
    <t>Cash-flow net d'impôts</t>
  </si>
  <si>
    <t>CUMUL Cash-flow net d'impôts</t>
  </si>
  <si>
    <t>Abatement impôt sur le revenu</t>
  </si>
  <si>
    <t>Base de calcul de l'impôt sur le revenu de la plus-value</t>
  </si>
  <si>
    <t>Impôt sur le revenu de la plus value</t>
  </si>
  <si>
    <t>Abatement cotisations sociales</t>
  </si>
  <si>
    <t>Base de calcul des cotisations sociales sur plus-value</t>
  </si>
  <si>
    <t>Cotisation sociales sur le revenu de la plus value</t>
  </si>
  <si>
    <t>Impôt &amp; cotisation sociales sur plus value</t>
  </si>
  <si>
    <t>Résultat après impôt &amp; cotisation sociales</t>
  </si>
  <si>
    <t xml:space="preserve">Cumul du cash-flow (positif ou négatif) généré depuis le début de l'activité à la fin de l'année de référence </t>
  </si>
  <si>
    <t>Pourcentage de la plus value qui ne sera pas assujetie à l'impôt sur le revenu. Augmente tous les ans à partir de la sixième année. La plus value est libre d'impôts sur le revenu après 22 années de détention.</t>
  </si>
  <si>
    <t>Formule : Base de calcul de l'impôt sur le revenu de la plus-value * 19%. Les plus-values supérieures à 50 000 € sont imposées jusqu'à 25%</t>
  </si>
  <si>
    <t>Formule : Base de calcul des cotisations sociales sur plus-value * 17,2%.</t>
  </si>
  <si>
    <t xml:space="preserve">Formule :  Plus value * (1 - % Abatement cotisations sociales). 
Si plus value = 100 000 € et abatement = 30%, Base de calcul des cotisations sociales sur plus-value = 70 000 € </t>
  </si>
  <si>
    <t xml:space="preserve">Formule :  Plus value * (1 - % abatement impôts sur le revenu). 
Si plus value = 100 000 € et abatement = 40%, Base de calcul de l'impôt sur le revenu sur plus-value = 60 000 € </t>
  </si>
  <si>
    <t>Pourcentage de la plus value qui ne sera pas assujetie aux cotisations sociales. Augmente tous les ans à partir de la sixième année. La plus value est libre de cotisations sociales après 30 années de détention.</t>
  </si>
  <si>
    <t>Formule : Impôt sur le revenu de la plus value + Cotisation sociales sur le revenu de la plus value</t>
  </si>
  <si>
    <t>LMNP au réel -&gt; Formule plus-value : prix de vente - (prix d'achat + frais de notaire + frais d'agence)</t>
  </si>
  <si>
    <t>Formule : plus-value - Impôt &amp; cotisation sociales sur plus value</t>
  </si>
  <si>
    <t>Formule : Résultat après impôt &amp; cotisation sociales - capital restant dû.</t>
  </si>
  <si>
    <t xml:space="preserve">Cumul du cash-flow AVANT flat-taxe (positif ou négatif) généré depuis le début de l'activité à la fin de l'année de référence </t>
  </si>
  <si>
    <t>Cumul du cash-flow APRES  flat-taxe (positif ou négatif) généré depuis le début de l'activité à la fin de l'année de référence</t>
  </si>
  <si>
    <t>Cumul des dotations aux amortissements de l'immeuble. Permet de calculer valeur nette comptable</t>
  </si>
  <si>
    <t>Formule : prix de revente - valeur nette comptable</t>
  </si>
  <si>
    <t>Impôt sur le revenu foncier (barème de l'impôt sur les sociétés : si revenu &lt; 38 200  -&gt;  15% ; si revevenu compris entre 38200 et 500 000 -&gt; 28% ; si revenu &gt; 500 000 -&gt; 33,33%)</t>
  </si>
  <si>
    <t xml:space="preserve">Formule : Bénéfice avant impôts + plus value liée à la revente. </t>
  </si>
  <si>
    <t>La plus value vient s'ajouter au cash-flow de l'exercice pour composer la base de revenu imposable à l'impôt sur les sociétés. Ce montant est imposé selon le barème de l'impôt sur les sociétés (si revenu &lt; 38 200  -&gt;  15% ; si revevenu compris entre 38200 et 500 000 -&gt; 28% ; si revenu &gt; 500 000 -&gt; 33,33%)</t>
  </si>
  <si>
    <t>Montant restant dans la SCI après la revente. Ce modèle considère que les cash-flows des années précédentes ont été distribués sous forme de dividendes.
Formule : Prix de revente + bénéfice avant impôt - Impôt sur les sociétés année de la revente</t>
  </si>
  <si>
    <t>Formule : Résultat net d'impôt sur les sociétés année de la revente - capital restant dû. Si la revente intervient avant la fin de l'emprunt, il faudra rembourser la banque avec le produit de la revente du bien.</t>
  </si>
  <si>
    <t>Formule : CUMUL Cash flow après flat taxe + Résultat année revente après flat-taxe. C'est le montant net qui revient à l'investisseur.</t>
  </si>
  <si>
    <t>Section</t>
  </si>
  <si>
    <t>Contribution à verser si immeuble à plus de 15 ans. Représente 2,5% des loyers bruts encaissés durant l'exercice</t>
  </si>
  <si>
    <t>Reduction impôt revenu d'activité</t>
  </si>
  <si>
    <t>Amortissement frais d'acquisition (notaire)</t>
  </si>
  <si>
    <t>Déduction impôts revenu activité (Nue au Réel)</t>
  </si>
  <si>
    <t>Amortissement du bien</t>
  </si>
  <si>
    <t>Amortissement de l'ammeublement</t>
  </si>
  <si>
    <t xml:space="preserve">Si la revente intervient avant la fin de l'emprunt, il faudra rembourser la banque avec le fruit de la revente du bien. 
Formule : Résultat après impôt &amp; cotisation sociales - capital restant dû. </t>
  </si>
  <si>
    <t>Rendement annuel net du projet durant toute la durée de détention. Ce rendement varie selon la durée de détention, le cash-flow annuel et le prix de revente bu bien
Formule : (Résultat net de l'opération / nombre d'année de détention) / coût du projet</t>
  </si>
  <si>
    <t>Dotations aux amortissements des frais d'acquisition (notaire)</t>
  </si>
  <si>
    <t>Impôt sur les bénéfices</t>
  </si>
  <si>
    <t>Bénéfices imposables</t>
  </si>
  <si>
    <t>Année de revente : bénéfices imposables</t>
  </si>
  <si>
    <t>renta brute</t>
  </si>
  <si>
    <t>Plus-value LMNP au réel</t>
  </si>
  <si>
    <t>Comparaison travaux construction vs. forfait 15%</t>
  </si>
  <si>
    <t>Plus-Value Location Nue au Micro Foncier</t>
  </si>
  <si>
    <t>Plus-Value Location Nue au Réel</t>
  </si>
  <si>
    <t>travaux entretien</t>
  </si>
  <si>
    <t>travaux construction</t>
  </si>
  <si>
    <t>Total charges deductibles + amortissements - SCI IS</t>
  </si>
  <si>
    <t>Déficit foncier SCI IS</t>
  </si>
  <si>
    <r>
      <rPr>
        <b/>
        <sz val="20"/>
        <color theme="1"/>
        <rFont val="Calibri"/>
        <family val="2"/>
        <scheme val="minor"/>
      </rPr>
      <t>Location meublée non-professionnelle au régime réel</t>
    </r>
    <r>
      <rPr>
        <b/>
        <sz val="12"/>
        <color theme="1"/>
        <rFont val="Calibri"/>
        <family val="2"/>
        <scheme val="minor"/>
      </rPr>
      <t xml:space="preserve">
</t>
    </r>
    <r>
      <rPr>
        <sz val="12"/>
        <color theme="1"/>
        <rFont val="Calibri"/>
        <family val="2"/>
        <scheme val="minor"/>
      </rPr>
      <t>Régime de plus value des particuliers</t>
    </r>
  </si>
  <si>
    <r>
      <rPr>
        <b/>
        <sz val="20"/>
        <color theme="1"/>
        <rFont val="Calibri"/>
        <family val="2"/>
        <scheme val="minor"/>
      </rPr>
      <t>Société civile immobilière à l'impôt sur les sociétés</t>
    </r>
    <r>
      <rPr>
        <b/>
        <sz val="12"/>
        <color theme="1"/>
        <rFont val="Calibri"/>
        <family val="2"/>
        <scheme val="minor"/>
      </rPr>
      <t xml:space="preserve">
</t>
    </r>
    <r>
      <rPr>
        <sz val="12"/>
        <color theme="1"/>
        <rFont val="Calibri"/>
        <family val="2"/>
        <scheme val="minor"/>
      </rPr>
      <t>* flat-taxe ou prélèvement forfaitaire unique est l'imposition des 
dividendes versés aux associés d'une SCI à l'IS</t>
    </r>
  </si>
  <si>
    <r>
      <rPr>
        <b/>
        <sz val="20"/>
        <rFont val="Calibri"/>
        <family val="2"/>
        <scheme val="minor"/>
      </rPr>
      <t>Location meublée non-professionnelle au micro-bic</t>
    </r>
    <r>
      <rPr>
        <sz val="12"/>
        <rFont val="Calibri"/>
        <family val="2"/>
        <scheme val="minor"/>
      </rPr>
      <t xml:space="preserve">
Régime de plus value des particuliers</t>
    </r>
  </si>
  <si>
    <r>
      <rPr>
        <b/>
        <sz val="20"/>
        <rFont val="Calibri"/>
        <family val="2"/>
        <scheme val="minor"/>
      </rPr>
      <t>Location nue au régime réel</t>
    </r>
    <r>
      <rPr>
        <b/>
        <sz val="12"/>
        <rFont val="Calibri"/>
        <family val="2"/>
        <scheme val="minor"/>
      </rPr>
      <t xml:space="preserve">
</t>
    </r>
    <r>
      <rPr>
        <sz val="12"/>
        <rFont val="Calibri"/>
        <family val="2"/>
        <scheme val="minor"/>
      </rPr>
      <t>Régime de plus value des particuliers</t>
    </r>
  </si>
  <si>
    <r>
      <rPr>
        <b/>
        <sz val="20"/>
        <rFont val="Calibri"/>
        <family val="2"/>
        <scheme val="minor"/>
      </rPr>
      <t>Location nue au micro-foncier</t>
    </r>
    <r>
      <rPr>
        <b/>
        <sz val="12"/>
        <rFont val="Calibri"/>
        <family val="2"/>
        <scheme val="minor"/>
      </rPr>
      <t xml:space="preserve">
</t>
    </r>
    <r>
      <rPr>
        <sz val="12"/>
        <rFont val="Calibri"/>
        <family val="2"/>
        <scheme val="minor"/>
      </rPr>
      <t>Régime de plus value des particuliers</t>
    </r>
  </si>
  <si>
    <t>Total charges deductibles + amortissements - LMNP au réel</t>
  </si>
  <si>
    <t>Déficit foncier - LMNP au réel</t>
  </si>
  <si>
    <t>Total charges deductibles - Nue au Réel</t>
  </si>
  <si>
    <t>Déduction impôts revenu activité - Nue au Réel</t>
  </si>
  <si>
    <t>Deficit foncier - Nue au Réel</t>
  </si>
  <si>
    <t>Nue Réel</t>
  </si>
  <si>
    <t>Charges financières</t>
  </si>
  <si>
    <t>-</t>
  </si>
  <si>
    <t>Frais bancaires</t>
  </si>
  <si>
    <t>Frais de courtage</t>
  </si>
  <si>
    <t>Immeuble</t>
  </si>
  <si>
    <t>PV</t>
  </si>
  <si>
    <t>AMOR</t>
  </si>
  <si>
    <t>CHAR</t>
  </si>
  <si>
    <t>Charges</t>
  </si>
  <si>
    <r>
      <t xml:space="preserve">AMOR </t>
    </r>
    <r>
      <rPr>
        <b/>
        <sz val="11"/>
        <color theme="1"/>
        <rFont val="Calibri"/>
        <family val="2"/>
        <scheme val="minor"/>
      </rPr>
      <t>et</t>
    </r>
    <r>
      <rPr>
        <sz val="11"/>
        <color theme="1"/>
        <rFont val="Calibri"/>
        <family val="2"/>
        <scheme val="minor"/>
      </rPr>
      <t xml:space="preserve"> PV</t>
    </r>
  </si>
  <si>
    <r>
      <t xml:space="preserve">AMOR </t>
    </r>
    <r>
      <rPr>
        <b/>
        <sz val="11"/>
        <color theme="1"/>
        <rFont val="Calibri"/>
        <family val="2"/>
        <scheme val="minor"/>
      </rPr>
      <t>ou</t>
    </r>
    <r>
      <rPr>
        <sz val="11"/>
        <color theme="1"/>
        <rFont val="Calibri"/>
        <family val="2"/>
        <scheme val="minor"/>
      </rPr>
      <t xml:space="preserve"> CHAR</t>
    </r>
  </si>
  <si>
    <r>
      <t xml:space="preserve">AMOR </t>
    </r>
    <r>
      <rPr>
        <b/>
        <sz val="11"/>
        <color theme="1"/>
        <rFont val="Calibri"/>
        <family val="2"/>
        <scheme val="minor"/>
      </rPr>
      <t>ou</t>
    </r>
    <r>
      <rPr>
        <sz val="11"/>
        <color theme="1"/>
        <rFont val="Calibri"/>
        <family val="2"/>
        <scheme val="minor"/>
      </rPr>
      <t xml:space="preserve"> CHAR </t>
    </r>
    <r>
      <rPr>
        <b/>
        <sz val="11"/>
        <color theme="1"/>
        <rFont val="Calibri"/>
        <family val="2"/>
        <scheme val="minor"/>
      </rPr>
      <t xml:space="preserve">et </t>
    </r>
    <r>
      <rPr>
        <sz val="11"/>
        <color theme="1"/>
        <rFont val="Calibri"/>
        <family val="2"/>
        <scheme val="minor"/>
      </rPr>
      <t>PV</t>
    </r>
  </si>
  <si>
    <t>Ammeublement</t>
  </si>
  <si>
    <t>Nue Micro-foncier</t>
  </si>
  <si>
    <t>LMNP Micro-bic</t>
  </si>
  <si>
    <t>SCI à l'IS (1)</t>
  </si>
  <si>
    <t>LMNP Réel (2)</t>
  </si>
  <si>
    <t>Travaux de construction**</t>
  </si>
  <si>
    <t>Notaire ***</t>
  </si>
  <si>
    <t>Agence ***</t>
  </si>
  <si>
    <r>
      <t xml:space="preserve">AMOR </t>
    </r>
    <r>
      <rPr>
        <b/>
        <sz val="11"/>
        <color theme="1"/>
        <rFont val="Calibri"/>
        <family val="2"/>
        <scheme val="minor"/>
      </rPr>
      <t>ou</t>
    </r>
    <r>
      <rPr>
        <sz val="11"/>
        <color theme="1"/>
        <rFont val="Calibri"/>
        <family val="2"/>
        <scheme val="minor"/>
      </rPr>
      <t xml:space="preserve"> CHAR </t>
    </r>
    <r>
      <rPr>
        <b/>
        <sz val="11"/>
        <color theme="1"/>
        <rFont val="Calibri"/>
        <family val="2"/>
        <scheme val="minor"/>
      </rPr>
      <t>et</t>
    </r>
    <r>
      <rPr>
        <sz val="11"/>
        <color theme="1"/>
        <rFont val="Calibri"/>
        <family val="2"/>
        <scheme val="minor"/>
      </rPr>
      <t xml:space="preserve"> PV</t>
    </r>
  </si>
  <si>
    <t>Travaux entretien/rénovation*</t>
  </si>
  <si>
    <t>==&gt; Charges et amortissements permettent de crée du déficit foncier reportable</t>
  </si>
  <si>
    <t>Définitions</t>
  </si>
  <si>
    <t>CUMUL Amortissements</t>
  </si>
  <si>
    <t>Plus-Value Location Nue au Micro-Bic</t>
  </si>
  <si>
    <r>
      <rPr>
        <b/>
        <sz val="20"/>
        <color theme="1"/>
        <rFont val="Calibri"/>
        <family val="2"/>
        <scheme val="minor"/>
      </rPr>
      <t>Revenu d'activité</t>
    </r>
    <r>
      <rPr>
        <b/>
        <sz val="14"/>
        <color theme="1"/>
        <rFont val="Calibri"/>
        <family val="2"/>
        <scheme val="minor"/>
      </rPr>
      <t xml:space="preserve">
Imposition sans investissement</t>
    </r>
  </si>
  <si>
    <t>Total charges deductibles (Nue au Réel)</t>
  </si>
  <si>
    <t>Deficit foncier (Nue au Réel)</t>
  </si>
  <si>
    <t>C1</t>
  </si>
  <si>
    <t>C3</t>
  </si>
  <si>
    <t>C2</t>
  </si>
  <si>
    <t>D1</t>
  </si>
  <si>
    <t>D2</t>
  </si>
  <si>
    <t>D3</t>
  </si>
  <si>
    <t>Revenu foncier imposable (loyer - Nue au Réel Total charges deductibles)</t>
  </si>
  <si>
    <t>Revenu total imposable (revenu d'activité + revenu foncier imposable)</t>
  </si>
  <si>
    <t>Calcul du quotien familial basé sur le revenus d'activité imposable + le revenu foncier imposable en Location Nue au Réel, sans prendre en compte des parts de quotien familial supplémentaires (parts des enfants)</t>
  </si>
  <si>
    <t>Calcul de l'impôt pour chaque part fiscal sur le revenu d'activité imposable + le revenu foncier en Location Nue au Réel, sans prendre en compte les parts de quotien familial supplémentaires (parts des enfants)</t>
  </si>
  <si>
    <t>Calcul de l'impôt à payer sur le revenu d'activité imposable + le revenu foncier imposable en Location Nue au Réel, sans prendre en compte les parts de quotien familial supplémentaires (parts des enfants)</t>
  </si>
  <si>
    <t>Calcul du quotien familial basé sur le revenu activité imposable + le revenu foncier imposable en Location Nue au Réel,  en prenant en compte les parts de quotien familial supplémentaire (parts des enfants)</t>
  </si>
  <si>
    <t>Calcul de l'impôt pour chaque part fiscal sur le revenu d'activité + le revenu foncier en Location Nue au Réel, en prenant en compte les parts de quotien familial supplémentaires (parts des enfants)</t>
  </si>
  <si>
    <t>Calcul de l'impôt à payer sur le revenu d'activité imposable + le revenu foncier imposable en Location Nue au Réel, en prenant en compte les parts de quotien familial supplémentaires (parts des enfants)</t>
  </si>
  <si>
    <t>Impôt sur le revenu total (revenu d'activité imposable + revenu foncier imposable)</t>
  </si>
  <si>
    <t>Cotisations sociales représentant 17,2% du revenu foncier imposable</t>
  </si>
  <si>
    <t>Impôt sur le revenu foncier (l'impôt sur le revenu total - impôt sur le revenu d'activité)</t>
  </si>
  <si>
    <t>Cash flow net impôt sur les revenu. (bénfices avant impôts + Nue Réel Reduction impôt revenu d'activité - impots sur le revenu foncier - cotisation sociales sur le revenu foncier)</t>
  </si>
  <si>
    <t>Seulement en location nue au réel, les 10 700 premiers euros de déficit foncier liés à des travaux doivent être déduits du revenu d'activité de l'investisseur. Au dela, le déficit foncier est déduit sur le revenu foncier. Il est inclut dans le calcul du cash-flow car c'est un gain lié à l'investissement</t>
  </si>
  <si>
    <r>
      <rPr>
        <b/>
        <sz val="18"/>
        <color theme="1"/>
        <rFont val="Calibri"/>
        <family val="2"/>
        <scheme val="minor"/>
      </rPr>
      <t>Société civile immobilière à l'impôt sur les sociétés</t>
    </r>
    <r>
      <rPr>
        <b/>
        <sz val="12"/>
        <color theme="1"/>
        <rFont val="Calibri"/>
        <family val="2"/>
        <scheme val="minor"/>
      </rPr>
      <t xml:space="preserve">
* flat-taxe ou prélèvement forfaitaire unique est l'imposition des 
dividendes versés aux associés d'une SCI à l'IS</t>
    </r>
  </si>
  <si>
    <t>Total charges deductibles + amortissements - LMNP Réel</t>
  </si>
  <si>
    <t>Déficit foncier LMNP Réel</t>
  </si>
  <si>
    <t>Cash flow net impôt sur les revenu. (bénfices avant impôts - impots sur le revenu foncier - cotisation sociales sur le revenu foncier)</t>
  </si>
  <si>
    <t>Revenu foncier imposable (loyer - SCI IS et LMNP Réel Total charges deduc)</t>
  </si>
  <si>
    <t>Calcul du quotien familial basé sur le revenus d'activité imposable + le revenu foncier imposable en LMNP au réel, sans prendre en compte des parts de quotien familial supplémentaires (parts des enfants)</t>
  </si>
  <si>
    <t>Calcul de l'impôt pour chaque part fiscal sur le revenu d'activité imposable + le revenu foncier en LMNP au réel, sans prendre en compte les parts de quotien familial supplémentaires (parts des enfants)</t>
  </si>
  <si>
    <t>Calcul de l'impôt à payer sur le revenu d'activité imposable + le revenu foncier imposable en LMNP au réel, sans prendre en compte les parts de quotien familial supplémentaires (parts des enfants)</t>
  </si>
  <si>
    <t>Calcul du quotien familial basé sur le revenu activité imposable + le revenu foncier imposable en LMNP au réel,  en prenant en compte les parts de quotien familial supplémentaire (parts des enfants)</t>
  </si>
  <si>
    <t>Calcul de l'impôt pour chaque part fiscal sur le revenu d'activité + le revenu foncier en LMNP au réel, en prenant en compte les parts de quotien familial supplémentaires (parts des enfants)</t>
  </si>
  <si>
    <t>Calcul de l'impôt à payer sur le revenu d'activité imposable + le revenu foncier imposable en LMNP au réel, en prenant en compte les parts de quotien familial supplémentaires (parts des enfants)</t>
  </si>
  <si>
    <t>Impôt sur le revenu total (revenu d'activité imposable + revenu foncier imposable)  selon le barème de m'impôt sur le revenu</t>
  </si>
  <si>
    <t>Revenu foncier. Sous ce régime, il représente 50% des loyers perçus durant l'année. Ce régime ne permet de déduire aucune charge du revenu imposable</t>
  </si>
  <si>
    <t>Calcul du quotien familial basé sur le revenus d'activité imposable + le revenu foncier imposable en LMNP Micro, sans prendre en compte des parts de quotien familial supplémentaires (parts des enfants)</t>
  </si>
  <si>
    <t>Calcul de l'impôt pour chaque part fiscal sur le revenu d'activité imposable + le revenu foncier en LMNP Micro, sans prendre en compte les parts de quotien familial supplémentaires (parts des enfants)</t>
  </si>
  <si>
    <t>Calcul de l'impôt à payer sur le revenu d'activité imposable + le revenu foncier imposable en LMNP Micro, sans prendre en compte les parts de quotien familial supplémentaires (parts des enfants)</t>
  </si>
  <si>
    <t>Calcul du quotien familial basé sur le revenu activité imposable + le revenu foncier imposable en LMNP Micro,  en prenant en compte les parts de quotien familial supplémentaire (parts des enfants)</t>
  </si>
  <si>
    <t>Calcul de l'impôt pour chaque part fiscal sur le revenu d'activité + le revenu foncier en LMNP Micro, en prenant en compte les parts de quotien familial supplémentaires (parts des enfants)</t>
  </si>
  <si>
    <t>Calcul de l'impôt à payer sur le revenu d'activité imposable + le revenu foncier imposable en LMNP Micro, en prenant en compte les parts de quotien familial supplémentaires (parts des enfants)</t>
  </si>
  <si>
    <t>Impôt sur le revenu total (revenu d'activité imposable + revenu foncier imposable) selon le barème de m'impôt sur le revenu</t>
  </si>
  <si>
    <t>Revenu foncier imposable. Sous ce régime, il représente 70% des loyers perçus durant l'année. Ce régime ne permet de déduire aucune charge du revenu imposable</t>
  </si>
  <si>
    <t>Calcul du quotien familial basé sur le revenus d'activité imposable + le revenu foncier imposable en Nue Micro, sans prendre en compte des parts de quotien familial supplémentaires (parts des enfants)</t>
  </si>
  <si>
    <t>Calcul de l'impôt pour chaque part fiscal sur le revenu d'activité imposable + le revenu foncier en Nue Micro, sans prendre en compte les parts de quotien familial supplémentaires (parts des enfants)</t>
  </si>
  <si>
    <t>Calcul de l'impôt à payer sur le revenu d'activité imposable + le revenu foncier imposable en Nue Micro, sans prendre en compte les parts de quotien familial supplémentaires (parts des enfants)</t>
  </si>
  <si>
    <t>Calcul du quotien familial basé sur le revenu activité imposable + le revenu foncier imposable en Nue Micro,  en prenant en compte les parts de quotien familial supplémentaire (parts des enfants)</t>
  </si>
  <si>
    <t>Calcul de l'impôt pour chaque part fiscal sur le revenu d'activité + le revenu foncier en Nue Micro, en prenant en compte les parts de quotien familial supplémentaires (parts des enfants)</t>
  </si>
  <si>
    <t>Calcul de l'impôt à payer sur le revenu d'activité imposable + le revenu foncier imposable en Nue Micro, en prenant en compte les parts de quotien familial supplémentaires (parts des enfants)</t>
  </si>
  <si>
    <t>Le régime des plus-values des particuliers permet, après 5 ans de détention du bien, de majorer forfaitairement son prix d’acquisition au taux de 15 % correspondant à des travaux de contruction. Pas besoin de justificatifs, ni même d’avoir réalisé en pratique ces travaux. En LMNP au réel, si des travaux de construction ont été effectué et donc amortis, le forfait ne sera pas applicable. En revanche, si aucun travaux de construction n'ont été effectué, le forfait s'appliquera pour diminuer la plus-value.</t>
  </si>
  <si>
    <t>Le régime des plus-values des particuliers permet, après 5 ans de détention du bien, de majorer forfaitairement son prix d’acquisition au taux de 15 % correspondant à des travaux de contruction. Pas besoin de justificatifs, ni même d’avoir réalisé en pratique ces travaux. Dès la 5ième année de détention, le simulateur assignera la plus grande valeur entre le coût des travaux de construction ou le forfait à 15% pour calculer la plus value. Si aucun travaux de construction, le forfait s'applique par défaut.</t>
  </si>
  <si>
    <r>
      <rPr>
        <b/>
        <sz val="18"/>
        <rFont val="Calibri"/>
        <family val="2"/>
        <scheme val="minor"/>
      </rPr>
      <t xml:space="preserve">LOCATION MEUBLEE NON-PROFESSIONNELLE (LMNP) </t>
    </r>
    <r>
      <rPr>
        <b/>
        <sz val="12"/>
        <rFont val="Calibri"/>
        <family val="2"/>
        <scheme val="minor"/>
      </rPr>
      <t xml:space="preserve">
AU MICRO-BIC</t>
    </r>
    <r>
      <rPr>
        <sz val="12"/>
        <rFont val="Calibri"/>
        <family val="2"/>
        <scheme val="minor"/>
      </rPr>
      <t xml:space="preserve">
Régime de plus value des particuliers</t>
    </r>
  </si>
  <si>
    <r>
      <rPr>
        <b/>
        <sz val="18"/>
        <color theme="1"/>
        <rFont val="Calibri"/>
        <family val="2"/>
        <scheme val="minor"/>
      </rPr>
      <t>LOCATIONMEUBLEE NON-PROFESSIONNELLE (LMNP) 
AU REGIME REEL</t>
    </r>
    <r>
      <rPr>
        <b/>
        <sz val="12"/>
        <color theme="1"/>
        <rFont val="Calibri"/>
        <family val="2"/>
        <scheme val="minor"/>
      </rPr>
      <t xml:space="preserve">
</t>
    </r>
    <r>
      <rPr>
        <sz val="12"/>
        <color theme="1"/>
        <rFont val="Calibri"/>
        <family val="2"/>
        <scheme val="minor"/>
      </rPr>
      <t>Régime de plus value des particuliers</t>
    </r>
  </si>
  <si>
    <r>
      <rPr>
        <b/>
        <sz val="18"/>
        <rFont val="Calibri"/>
        <family val="2"/>
        <scheme val="minor"/>
      </rPr>
      <t>LOCATION NUE AU REGIME REEL</t>
    </r>
    <r>
      <rPr>
        <b/>
        <sz val="12"/>
        <rFont val="Calibri"/>
        <family val="2"/>
        <scheme val="minor"/>
      </rPr>
      <t xml:space="preserve">
</t>
    </r>
    <r>
      <rPr>
        <sz val="12"/>
        <rFont val="Calibri"/>
        <family val="2"/>
        <scheme val="minor"/>
      </rPr>
      <t>Régime de plus value des particuliers</t>
    </r>
  </si>
  <si>
    <r>
      <rPr>
        <b/>
        <sz val="18"/>
        <rFont val="Calibri"/>
        <family val="2"/>
        <scheme val="minor"/>
      </rPr>
      <t>LOCATION NUE AU MICRO-FONCIER</t>
    </r>
    <r>
      <rPr>
        <b/>
        <sz val="12"/>
        <rFont val="Calibri"/>
        <family val="2"/>
        <scheme val="minor"/>
      </rPr>
      <t xml:space="preserve">
</t>
    </r>
    <r>
      <rPr>
        <sz val="12"/>
        <rFont val="Calibri"/>
        <family val="2"/>
        <scheme val="minor"/>
      </rPr>
      <t>Régime de plus value des particuliers</t>
    </r>
  </si>
  <si>
    <t>Loyers encaissés (loyer mensuel * taux d'occupation). Ce paramètre est indexé sur l'inflation</t>
  </si>
  <si>
    <t>Frais de gestion locative. Ce paramètre est indexé sur l'inflation</t>
  </si>
  <si>
    <t>Charges courantes, inclure les charges locataires. Ce paramètre est indexé sur l'inflation</t>
  </si>
  <si>
    <t>Taxe foncière. Ce paramètre est indexé sur l'inflation</t>
  </si>
  <si>
    <t>Charges locataires (non-compris dans les charges d'exploitation, à inclure dans les charges courantes). Ce paramètre est indexé sur l'inflation</t>
  </si>
  <si>
    <t>Dotations aux amortissements du bien. 90% du bien est amortissable. Les 10% restant correspondant au terrain qui n'est pas amortissable</t>
  </si>
  <si>
    <r>
      <t xml:space="preserve">Calcul de l'impôt sur le revenu pour chaque part fiscale </t>
    </r>
    <r>
      <rPr>
        <b/>
        <u/>
        <sz val="11"/>
        <color theme="1"/>
        <rFont val="Calibri"/>
        <family val="2"/>
        <scheme val="minor"/>
      </rPr>
      <t>sans prendre en compte</t>
    </r>
    <r>
      <rPr>
        <sz val="11"/>
        <color theme="1"/>
        <rFont val="Calibri"/>
        <family val="2"/>
        <scheme val="minor"/>
      </rPr>
      <t xml:space="preserve"> les parts de quotien familial supplémentaires (parts des enfants)</t>
    </r>
  </si>
  <si>
    <r>
      <t>Calcul du quotien familial </t>
    </r>
    <r>
      <rPr>
        <b/>
        <u/>
        <sz val="11"/>
        <color theme="1"/>
        <rFont val="Calibri"/>
        <family val="2"/>
        <scheme val="minor"/>
      </rPr>
      <t>en prenant en compte</t>
    </r>
    <r>
      <rPr>
        <sz val="11"/>
        <color theme="1"/>
        <rFont val="Calibri"/>
        <family val="2"/>
        <scheme val="minor"/>
      </rPr>
      <t xml:space="preserve"> les parts de quotien familial supplémentaire (parts des enfants)</t>
    </r>
  </si>
  <si>
    <r>
      <t>Calcul de l'impôt sur le revenu pour chaque part fiscale</t>
    </r>
    <r>
      <rPr>
        <b/>
        <sz val="11"/>
        <color theme="1"/>
        <rFont val="Calibri"/>
        <family val="2"/>
        <scheme val="minor"/>
      </rPr>
      <t xml:space="preserve"> </t>
    </r>
    <r>
      <rPr>
        <b/>
        <u/>
        <sz val="11"/>
        <color theme="1"/>
        <rFont val="Calibri"/>
        <family val="2"/>
        <scheme val="minor"/>
      </rPr>
      <t>en prenant en compte</t>
    </r>
    <r>
      <rPr>
        <sz val="11"/>
        <color theme="1"/>
        <rFont val="Calibri"/>
        <family val="2"/>
        <scheme val="minor"/>
      </rPr>
      <t xml:space="preserve"> les parts de quotien familial supplémentaires (parts des enfants)</t>
    </r>
  </si>
  <si>
    <t>Lorsque les charges déductibles sont supérieures aux loyers encaissées, une enveloppe de déficit foncier reportable sur les autres années est crée et est consommée pour réduire le revenu imposable jusqu'à son épuisement.</t>
  </si>
  <si>
    <t>Cash-flow avant flat taxe. Ce cash est bloqué dans la SCI, pour en bénéficier, l'investisseur devra se verser des dividendes et payer la flax-taxe de 30% dès le 1er euro de dividendes versé.</t>
  </si>
  <si>
    <t>Cash flow après flat taxe (somme récupérée par l'investisseur s'il se verse la totalité du cash-flow annuel sous forme de dividendes. Les dividendes sont soumis au prélèvement forfaite unique (flat-taxe), soit 30% du montant que l'investisseur se versera.</t>
  </si>
  <si>
    <t>Valeur de l'actif l'année de la revente. Le prix de revente sera soustrait à la valeur nette comptable pour calculer la plus-value. La fiscalité à la revente en SCI à l'IS très élevé à terme car plus le temps passe plus la valeur nette comptable diminue. Formule : prix d'acquisition du bien - CUMUL Amortissements immeuble.</t>
  </si>
  <si>
    <t>(2) En LMNP au régime réel, la plus value est égale au prix de revente - prix d'acquisition majoré des frais de notaire et travaux de construction. L'amortissement de ces éléments ne viendra donc pas augmenter la plus value. Voir BOFIP - DBOI-RFPI-PVI-20-10-20-20-20131220 article 265-260</t>
  </si>
  <si>
    <t>Amortissement frais d'acquisition (notaire &amp; agence)</t>
  </si>
  <si>
    <t>Amortissement du bien (sans frais d'agence)</t>
  </si>
  <si>
    <t>Amortissement des travaux de construction</t>
  </si>
  <si>
    <t>Dotations aux amortissements des travaux de contruction. Les travaux d'entretien et de réparation sont passés en charges</t>
  </si>
  <si>
    <t>Revenu foncier imposable (loyer annuel - charges déductibles). S'il existe une enveloppe de déficit foncier, on piochera dans cette dernière pour abaisser le revenu imposable à zéro.</t>
  </si>
  <si>
    <t xml:space="preserve">Lorsque les charges déductibles sont supérieures aux loyers encaissées, une enveloppe de déficit foncier reportable sur les autres années est crée et est consommée pour réduire le revenu imposable jusqu'à son épuisement. </t>
  </si>
  <si>
    <t>Somme des charges et amortissement qui diminueront le revenu imposable. Les travaux de réparations sont des charges et non des amortissements. 
Formule : total charges financière + total charges d'exploitation + amortissements du bien / travaux de construction / meubles / frais d'acquisition</t>
  </si>
  <si>
    <t>Somme des charges et amortissements qui diminueront le revenu imposable. En LMNP au réel, les frais de notaire et frais dragence peuvent être passés en charges la première année. Formule : total charges financière + total charges d'exploitation + total amortissement (sauf frais de notaire et agence) + frais de notaire + agence  (la 1ère année)</t>
  </si>
  <si>
    <t>*** Au LMNP au régime réel, les frais de notaire et d'agence peuvent être passés en charges l'année de l'acquisition plutôt qu'en amortissement. Ceci à pour effet de générer une enveloppe de déficit en début d'activité qui viendra gommer le revenu imposable durant les premières années de l'activité.</t>
  </si>
  <si>
    <t>Amortissments</t>
  </si>
  <si>
    <t>Mode de déductibilité des différentes dépenses liées à l'investissement</t>
  </si>
  <si>
    <t>Dépenses permettant de diminuer la plus-value à la revente en s'ajoutant au prix d'acquisition</t>
  </si>
  <si>
    <r>
      <t xml:space="preserve">* En LMNP au réel et SCI à l'IS les travaux peuvent être passés en charges. En location nue au régime réel, les travaux de rénovation peuvent être également passés en charges et il est obligatoire d'imputer les premiers 10 700 € de déficit foncier au revenu global de l'investisseur.
Définition des dépenses de travaux : </t>
    </r>
    <r>
      <rPr>
        <b/>
        <sz val="11"/>
        <color rgb="FF0070C0"/>
        <rFont val="Calibri"/>
        <family val="2"/>
        <scheme val="minor"/>
      </rPr>
      <t>https://bofip.impots.gouv.fr/bofip/3943-PGP.html/identifiant%3DBOI-RFPI-BASE-20-30-10-20140203</t>
    </r>
  </si>
  <si>
    <r>
      <t xml:space="preserve">** Au LMNP au réel, les travaux de construction peuvent être à la fois amortis et permettre de diminuer la plus value en majorant le prix d'acquisition du bien. 
Définition plus-value des particuliers : </t>
    </r>
    <r>
      <rPr>
        <b/>
        <sz val="11"/>
        <color rgb="FF0070C0"/>
        <rFont val="Calibri"/>
        <family val="2"/>
        <scheme val="minor"/>
      </rPr>
      <t>https://bofip.impots.gouv.fr/bofip/265-PGP.html/identifiant%3DBOI-RFPI-PVI-20-10-20-20-20131220</t>
    </r>
    <r>
      <rPr>
        <sz val="11"/>
        <color theme="1"/>
        <rFont val="Calibri"/>
        <family val="2"/>
        <scheme val="minor"/>
      </rPr>
      <t xml:space="preserve">
Définition des dépenses de travaux : </t>
    </r>
    <r>
      <rPr>
        <b/>
        <sz val="11"/>
        <color rgb="FF0070C0"/>
        <rFont val="Calibri"/>
        <family val="2"/>
        <scheme val="minor"/>
      </rPr>
      <t>https://bofip.impots.gouv.fr/bofip/3943-PGP.html/identifiant%3DBOI-RFPI-BASE-20-30-10-20140203</t>
    </r>
  </si>
  <si>
    <r>
      <rPr>
        <sz val="11"/>
        <color theme="1"/>
        <rFont val="Calibri"/>
        <family val="2"/>
        <scheme val="minor"/>
      </rPr>
      <t xml:space="preserve">Catégorisation des dépenses entre charges et immobilisation (amortissements) : </t>
    </r>
    <r>
      <rPr>
        <b/>
        <sz val="11"/>
        <color rgb="FF0070C0"/>
        <rFont val="Calibri"/>
        <family val="2"/>
        <scheme val="minor"/>
      </rPr>
      <t>https://www.compta-facile.com/charge-ou-immobilisation/</t>
    </r>
  </si>
  <si>
    <t>Lmnp au réel</t>
  </si>
  <si>
    <t>Location nue au réel</t>
  </si>
  <si>
    <t>Location nue au micro-foncier</t>
  </si>
  <si>
    <t>C1  (voir glossaire)</t>
  </si>
  <si>
    <t>Taux de rendement interne (TRI)</t>
  </si>
  <si>
    <t>Flux de trésorerie annuel (base de calcul du TRI)</t>
  </si>
  <si>
    <t>TRI</t>
  </si>
  <si>
    <t>Année</t>
  </si>
  <si>
    <t>Lmnp au micro-bic</t>
  </si>
  <si>
    <t>Taux de rendement interne</t>
  </si>
  <si>
    <t>(Prix d'acquisition FAI + travaux de construction - frais d'gence) * pourcentage annuel d'augmentation de la valeur du bien défini par l'investisseur</t>
  </si>
  <si>
    <t>Résultat net de l'opération 
(cumul cash-flows nets + revente nette - apport)</t>
  </si>
  <si>
    <t>SCI à l'IS après flat-taxe</t>
  </si>
  <si>
    <t>Année de revente : Impôt sur les bénéfices + CRL</t>
  </si>
  <si>
    <t>Contribution sur les revenus locatifs (CRL)</t>
  </si>
  <si>
    <t>Année de revente : Résultat net d'impôt sur les sociétés</t>
  </si>
  <si>
    <t>SCI à l'IS avant flat-taxe</t>
  </si>
  <si>
    <r>
      <rPr>
        <u/>
        <sz val="11"/>
        <color theme="1"/>
        <rFont val="Calibri"/>
        <family val="2"/>
        <scheme val="minor"/>
      </rPr>
      <t>Année de revente</t>
    </r>
    <r>
      <rPr>
        <sz val="11"/>
        <color theme="1"/>
        <rFont val="Calibri"/>
        <family val="2"/>
        <scheme val="minor"/>
      </rPr>
      <t xml:space="preserve"> : bénéfices imposables</t>
    </r>
  </si>
  <si>
    <r>
      <rPr>
        <u/>
        <sz val="11"/>
        <color theme="1"/>
        <rFont val="Calibri"/>
        <family val="2"/>
        <scheme val="minor"/>
      </rPr>
      <t>Année de revente</t>
    </r>
    <r>
      <rPr>
        <sz val="11"/>
        <color theme="1"/>
        <rFont val="Calibri"/>
        <family val="2"/>
        <scheme val="minor"/>
      </rPr>
      <t xml:space="preserve"> : Impôt sur les bénéfices + CRL</t>
    </r>
  </si>
  <si>
    <r>
      <rPr>
        <u/>
        <sz val="11"/>
        <color theme="1"/>
        <rFont val="Calibri"/>
        <family val="2"/>
        <scheme val="minor"/>
      </rPr>
      <t>Année de revente</t>
    </r>
    <r>
      <rPr>
        <sz val="11"/>
        <color theme="1"/>
        <rFont val="Calibri"/>
        <family val="2"/>
        <scheme val="minor"/>
      </rPr>
      <t xml:space="preserve"> : Résultat net d'impôt sur les sociétés</t>
    </r>
  </si>
  <si>
    <r>
      <rPr>
        <u/>
        <sz val="11"/>
        <color theme="1"/>
        <rFont val="Calibri"/>
        <family val="2"/>
        <scheme val="minor"/>
      </rPr>
      <t>Année de revente</t>
    </r>
    <r>
      <rPr>
        <sz val="11"/>
        <color theme="1"/>
        <rFont val="Calibri"/>
        <family val="2"/>
        <scheme val="minor"/>
      </rPr>
      <t xml:space="preserve"> : flux de trésorerie net PFU 
(base de calcul du TRI)</t>
    </r>
  </si>
  <si>
    <r>
      <rPr>
        <u/>
        <sz val="11"/>
        <color theme="1"/>
        <rFont val="Calibri"/>
        <family val="2"/>
        <scheme val="minor"/>
      </rPr>
      <t>Année de revente</t>
    </r>
    <r>
      <rPr>
        <sz val="11"/>
        <color theme="1"/>
        <rFont val="Calibri"/>
        <family val="2"/>
        <scheme val="minor"/>
      </rPr>
      <t xml:space="preserve"> :  Taux de rendement interne (TRI) </t>
    </r>
    <r>
      <rPr>
        <b/>
        <sz val="11"/>
        <color theme="1"/>
        <rFont val="Calibri"/>
        <family val="2"/>
        <scheme val="minor"/>
      </rPr>
      <t>net IS</t>
    </r>
  </si>
  <si>
    <r>
      <rPr>
        <u/>
        <sz val="11"/>
        <color theme="1"/>
        <rFont val="Calibri"/>
        <family val="2"/>
        <scheme val="minor"/>
      </rPr>
      <t>Année de revente</t>
    </r>
    <r>
      <rPr>
        <sz val="11"/>
        <color theme="1"/>
        <rFont val="Calibri"/>
        <family val="2"/>
        <scheme val="minor"/>
      </rPr>
      <t xml:space="preserve"> : Taux de rendement interne (TRI) </t>
    </r>
    <r>
      <rPr>
        <b/>
        <sz val="11"/>
        <color theme="1"/>
        <rFont val="Calibri"/>
        <family val="2"/>
        <scheme val="minor"/>
      </rPr>
      <t>net PFU</t>
    </r>
  </si>
  <si>
    <r>
      <rPr>
        <u/>
        <sz val="11"/>
        <color theme="1"/>
        <rFont val="Calibri"/>
        <family val="2"/>
        <scheme val="minor"/>
      </rPr>
      <t>Année de revente</t>
    </r>
    <r>
      <rPr>
        <sz val="11"/>
        <color theme="1"/>
        <rFont val="Calibri"/>
        <family val="2"/>
        <scheme val="minor"/>
      </rPr>
      <t xml:space="preserve"> : Plus-value</t>
    </r>
  </si>
  <si>
    <r>
      <rPr>
        <u/>
        <sz val="11"/>
        <color theme="1"/>
        <rFont val="Calibri"/>
        <family val="2"/>
        <scheme val="minor"/>
      </rPr>
      <t>Année de revente</t>
    </r>
    <r>
      <rPr>
        <sz val="11"/>
        <color theme="1"/>
        <rFont val="Calibri"/>
        <family val="2"/>
        <scheme val="minor"/>
      </rPr>
      <t xml:space="preserve"> : Valeur nette comptable</t>
    </r>
  </si>
  <si>
    <r>
      <t xml:space="preserve">Flux de trésorerie annuel - </t>
    </r>
    <r>
      <rPr>
        <b/>
        <sz val="11"/>
        <color theme="1"/>
        <rFont val="Calibri"/>
        <family val="2"/>
        <scheme val="minor"/>
      </rPr>
      <t>net PFU</t>
    </r>
    <r>
      <rPr>
        <sz val="11"/>
        <color theme="1"/>
        <rFont val="Calibri"/>
        <family val="2"/>
        <scheme val="minor"/>
      </rPr>
      <t xml:space="preserve"> (base de calcul du TRI)</t>
    </r>
  </si>
  <si>
    <r>
      <t>- Ce simulateur est une reproduction des règles de calcul utilisées pour obtenir le cash-flow après impôt sur l'application web simulimo.com
- Il inclut toutes les étapes de calcul intermédiaire pour vous permettre de mieux c</t>
    </r>
    <r>
      <rPr>
        <b/>
        <sz val="12"/>
        <color theme="1"/>
        <rFont val="Calibri"/>
        <family val="2"/>
        <scheme val="minor"/>
      </rPr>
      <t xml:space="preserve">omprendre les paramètres influençant le cash-flow net d'impôt </t>
    </r>
    <r>
      <rPr>
        <sz val="12"/>
        <color theme="1"/>
        <rFont val="Calibri"/>
        <family val="2"/>
        <scheme val="minor"/>
      </rPr>
      <t xml:space="preserve">de votre projet.
- En remplissant le formulaire avec les paramètres de votre projet, vous constaterez que le cash-flow net d'impôt de chaque régime fiscal sera le même que sur l'application web </t>
    </r>
    <r>
      <rPr>
        <b/>
        <sz val="12"/>
        <color rgb="FF0070C0"/>
        <rFont val="Calibri"/>
        <family val="2"/>
        <scheme val="minor"/>
      </rPr>
      <t>https://www.simulimo.com</t>
    </r>
  </si>
  <si>
    <r>
      <t xml:space="preserve">Flux de trésorerie net annuel - </t>
    </r>
    <r>
      <rPr>
        <b/>
        <sz val="11"/>
        <color theme="1"/>
        <rFont val="Calibri"/>
        <family val="2"/>
        <scheme val="minor"/>
      </rPr>
      <t>net IS</t>
    </r>
    <r>
      <rPr>
        <sz val="11"/>
        <color theme="1"/>
        <rFont val="Calibri"/>
        <family val="2"/>
        <scheme val="minor"/>
      </rPr>
      <t xml:space="preserve"> (base de calcul du TRI)</t>
    </r>
  </si>
  <si>
    <r>
      <rPr>
        <u/>
        <sz val="11"/>
        <color theme="1"/>
        <rFont val="Calibri"/>
        <family val="2"/>
        <scheme val="minor"/>
      </rPr>
      <t>Année de revente</t>
    </r>
    <r>
      <rPr>
        <sz val="11"/>
        <color theme="1"/>
        <rFont val="Calibri"/>
        <family val="2"/>
        <scheme val="minor"/>
      </rPr>
      <t xml:space="preserve"> :  Flux de trésorerie net - après remboursement du capital restant dû (base de calcul du TRI)</t>
    </r>
  </si>
  <si>
    <t>Cash-flow net d'impôt sur les sociétés (IS)</t>
  </si>
  <si>
    <t>CUMUL Cash-flow net d'impôt sur les sociétés (IS)</t>
  </si>
  <si>
    <t>Cash flow net prélèvement forfaitaire unique (PFU)</t>
  </si>
  <si>
    <t>CUMUL Cash flow net prélèvement forfaitaire unique (PFU)</t>
  </si>
  <si>
    <t>De part leur caractère instantanné, les charges vont s'imputer directement au résultat de l'activité</t>
  </si>
  <si>
    <t>La charge d’amortissement va s’imputer sur le résultat chaque année jusqu’à la dépréciation totale de l'actif immobiliser</t>
  </si>
  <si>
    <t>Poste de dépense</t>
  </si>
  <si>
    <r>
      <t xml:space="preserve">(1) Dans le cas d'une SCI à l'IS, tous les éléments (immeuble, travaux de construction, meubles, frais d'acquisition) insrits à l'actif du bilan de la société seront amortis année après année permettant de diminuer le revenu imposable par la génération de "charges fictives" correspondant à la perte de valeur de ces éléments. Notez que chaque élément est amortis sur une durée différente. Ce mécanisme à également pour effet de faire diminuer chaque année la valeur nette comptable des actifs de la société. Lors de la revente, la plus value sera calculée en faisant la différence entre le prix de cession et leur valeur nette comptable. En SCI à l'IS, le temps qui passe fait donc augmenter la plus-value par le mécanisme des amortissements indépendemment de la revalorisation du bien sur le marché.
Les amortissements des meubles ne sont pas intégrés à la plus-value car le scénario de revente le plus probable est une vente du bien sans les meubles.
Plus d'information sur la SCI à l'IS et la valeur nette comptable : </t>
    </r>
    <r>
      <rPr>
        <b/>
        <sz val="11"/>
        <color rgb="FF0070C0"/>
        <rFont val="Calibri"/>
        <family val="2"/>
        <scheme val="minor"/>
      </rPr>
      <t>https://www.legifiscal.fr/placements/immobilier/amortissement-sci-impot-societes-is.html</t>
    </r>
  </si>
  <si>
    <t>Flux de trésorerie annuels net : revenu - charges (charges financière, charges d'exploitation, impôts, remboursement de la dette). C'est sur la base de ces flux que le TRI est calculé.</t>
  </si>
  <si>
    <t>Rendement annuel net du projet durant toute la durée de détention. Ce rendement varie selon la durée de détention, le cash-flow annuel et le prix de revente bu bien.</t>
  </si>
  <si>
    <t>Champs visualisés dans l'application</t>
  </si>
  <si>
    <t>Année de revente : Valeur nette comptable</t>
  </si>
  <si>
    <t>Année de revente : Plus-value</t>
  </si>
  <si>
    <t>Flux de trésorerie net annuel - net IS (base de calcul du TRI)</t>
  </si>
  <si>
    <t>Année de revente :  Taux de rendement interne (TRI) net IS</t>
  </si>
  <si>
    <t>Année de revente : flux de trésorerie net PFU 
(base de calcul du TRI)</t>
  </si>
  <si>
    <t>Flux de trésorerie annuel - net PFU (base de calcul du TRI)</t>
  </si>
  <si>
    <t>Année de revente : Taux de rendement interne (TRI) net PFU</t>
  </si>
  <si>
    <t>Année de revente :  Flux de trésorerie net - après remboursement du 
capital restant dû (base de calcul du TRI)</t>
  </si>
  <si>
    <t>Rendement annuel net du projet durant toute la durée de détention. Ce rendement varie selon la durée de détention, le cash-flow annuel et le prix de revente bu bien</t>
  </si>
  <si>
    <t>Résultat net de l'opération
(cumul cash-flows nets + revente nette - apport)</t>
  </si>
  <si>
    <t>L'année 1, le flux de trésorerie est égal à l'apport +/- le cash-flow net d'impôt les sociétés  de l'année. Les autres années, le flux de trésorerie est égal au cash-flow net d'impôt les société. L'année de revente, il on rajoute au cash-flow de l'année le résultat net de la revente. Voir onglet TRI</t>
  </si>
  <si>
    <t>L'année 1, le flux de trésorerie est égal à l'apport +/- le cash-flow net de prélèvement forfaitaire unique  de l'année. Les autres années, le flux de trésorerie est égal au cash-flow netde prélèvement forfaitaire unique. L'année de revente, il on rajoute au cash-flow de l'année le résultat net de la revente. Voir onglet TRI</t>
  </si>
  <si>
    <t>Année de revente : résultat de l'opération net IS 
(cumul cash-flows + revente - apport)</t>
  </si>
  <si>
    <t>Année de revente : résultat de l'opération net PFU
(cumul cash-flows + revente - apport)</t>
  </si>
  <si>
    <r>
      <rPr>
        <u/>
        <sz val="11"/>
        <color theme="1"/>
        <rFont val="Calibri"/>
        <family val="2"/>
        <scheme val="minor"/>
      </rPr>
      <t>Année de revente</t>
    </r>
    <r>
      <rPr>
        <sz val="11"/>
        <color theme="1"/>
        <rFont val="Calibri"/>
        <family val="2"/>
        <scheme val="minor"/>
      </rPr>
      <t xml:space="preserve"> : </t>
    </r>
    <r>
      <rPr>
        <b/>
        <sz val="11"/>
        <color theme="1"/>
        <rFont val="Calibri"/>
        <family val="2"/>
        <scheme val="minor"/>
      </rPr>
      <t xml:space="preserve">résultat de l'opération </t>
    </r>
    <r>
      <rPr>
        <b/>
        <u/>
        <sz val="11"/>
        <color theme="1"/>
        <rFont val="Calibri"/>
        <family val="2"/>
        <scheme val="minor"/>
      </rPr>
      <t>net PFU</t>
    </r>
    <r>
      <rPr>
        <sz val="11"/>
        <color theme="1"/>
        <rFont val="Calibri"/>
        <family val="2"/>
        <scheme val="minor"/>
      </rPr>
      <t xml:space="preserve">
(cumul cash-flows + revente - apport)</t>
    </r>
  </si>
  <si>
    <r>
      <rPr>
        <u/>
        <sz val="11"/>
        <color theme="1"/>
        <rFont val="Calibri"/>
        <family val="2"/>
        <scheme val="minor"/>
      </rPr>
      <t>Année de revente</t>
    </r>
    <r>
      <rPr>
        <b/>
        <sz val="11"/>
        <color theme="1"/>
        <rFont val="Calibri"/>
        <family val="2"/>
        <scheme val="minor"/>
      </rPr>
      <t xml:space="preserve"> : résultat de l'opération net IS </t>
    </r>
    <r>
      <rPr>
        <b/>
        <u/>
        <sz val="11"/>
        <color theme="1"/>
        <rFont val="Calibri"/>
        <family val="2"/>
        <scheme val="minor"/>
      </rPr>
      <t xml:space="preserve">
</t>
    </r>
    <r>
      <rPr>
        <sz val="11"/>
        <color theme="1"/>
        <rFont val="Calibri"/>
        <family val="2"/>
        <scheme val="minor"/>
      </rPr>
      <t>(cumul cash-flows + revente - apport)</t>
    </r>
  </si>
  <si>
    <t>C'est le cash-flow total généré par l'opération net de prélèvement forfaitaire unique. Il prend en compte le cumul des cash-flow annuels et le cash généré par la revente. C'est la mesure de l'enrichissement en valeur absolue de l'investisseur via la réalisation de l'opération.</t>
  </si>
  <si>
    <t>C'est le cash-flow total généré par l'opération net de prélèvement forfaitaire unique. Il prend en compte le cumul des cash-flow annuels et le cash généré par la revente. C'est le total du cash-flow net généré par la société durée toutes les années de détention, après revente du bien et remboursement de la banque si nécessaire.</t>
  </si>
  <si>
    <t>Résultat après remboursement du capital restant dû
(capital récupérer après revente)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</si>
</sst>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u/>
      <sz val="11"/>
      <color theme="0"/>
      <name val="Calibri"/>
      <family val="2"/>
      <scheme val="minor"/>
    </font>
    <font>
      <sz val="11"/>
      <color theme="0"/>
      <name val="Calibri"/>
      <family val="2"/>
      <scheme val="minor"/>
    </font>
    <font>
      <b/>
      <sz val="12"/>
      <name val="Calibri"/>
      <family val="2"/>
      <scheme val="minor"/>
    </font>
    <font>
      <sz val="12"/>
      <name val="Calibri"/>
      <family val="2"/>
      <scheme val="minor"/>
    </font>
    <font>
      <b/>
      <sz val="11"/>
      <color rgb="FF007BE8"/>
      <name val="Calibri"/>
      <family val="2"/>
      <scheme val="minor"/>
    </font>
    <font>
      <b/>
      <sz val="20"/>
      <color theme="1"/>
      <name val="Calibri"/>
      <family val="2"/>
      <scheme val="minor"/>
    </font>
    <font>
      <b/>
      <sz val="20"/>
      <name val="Calibri"/>
      <family val="2"/>
      <scheme val="minor"/>
    </font>
    <font>
      <b/>
      <sz val="18"/>
      <color theme="1"/>
      <name val="Calibri"/>
      <family val="2"/>
      <scheme val="minor"/>
    </font>
    <font>
      <b/>
      <sz val="18"/>
      <name val="Calibri"/>
      <family val="2"/>
      <scheme val="minor"/>
    </font>
    <font>
      <u/>
      <sz val="11"/>
      <color theme="10"/>
      <name val="Calibri"/>
      <family val="2"/>
      <scheme val="minor"/>
    </font>
    <font>
      <b/>
      <sz val="11"/>
      <color rgb="FF0070C0"/>
      <name val="Calibri"/>
      <family val="2"/>
      <scheme val="minor"/>
    </font>
    <font>
      <sz val="11"/>
      <color theme="10"/>
      <name val="Calibri"/>
      <family val="2"/>
      <scheme val="minor"/>
    </font>
    <font>
      <b/>
      <sz val="16"/>
      <color theme="0"/>
      <name val="Calibri"/>
      <family val="2"/>
      <scheme val="minor"/>
    </font>
    <font>
      <sz val="10"/>
      <color rgb="FF333333"/>
      <name val="Consolas"/>
      <family val="3"/>
    </font>
    <font>
      <b/>
      <sz val="12"/>
      <color rgb="FF0070C0"/>
      <name val="Calibri"/>
      <family val="2"/>
      <scheme val="minor"/>
    </font>
    <font>
      <b/>
      <sz val="12"/>
      <color theme="0"/>
      <name val="Calibri"/>
      <family val="2"/>
      <scheme val="minor"/>
    </font>
  </fonts>
  <fills count="11">
    <fill>
      <patternFill patternType="none"/>
    </fill>
    <fill>
      <patternFill patternType="gray125"/>
    </fill>
    <fill>
      <patternFill patternType="solid">
        <fgColor rgb="FF0070C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2"/>
        <bgColor indexed="64"/>
      </patternFill>
    </fill>
    <fill>
      <patternFill patternType="solid">
        <fgColor rgb="FF007BE8"/>
        <bgColor indexed="64"/>
      </patternFill>
    </fill>
    <fill>
      <patternFill patternType="solid">
        <fgColor theme="8" tint="0.79998168889431442"/>
        <bgColor indexed="64"/>
      </patternFill>
    </fill>
    <fill>
      <patternFill patternType="solid">
        <fgColor theme="0" tint="-0.34998626667073579"/>
        <bgColor indexed="64"/>
      </patternFill>
    </fill>
  </fills>
  <borders count="16">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18" fillId="0" borderId="0" applyNumberFormat="0" applyFill="0" applyBorder="0" applyAlignment="0" applyProtection="0"/>
  </cellStyleXfs>
  <cellXfs count="230">
    <xf numFmtId="0" fontId="0" fillId="0" borderId="0" xfId="0"/>
    <xf numFmtId="3" fontId="0" fillId="0" borderId="0" xfId="0" applyNumberFormat="1" applyAlignment="1">
      <alignment horizontal="center"/>
    </xf>
    <xf numFmtId="3" fontId="0" fillId="0" borderId="0" xfId="0" applyNumberFormat="1" applyBorder="1" applyAlignment="1">
      <alignment horizontal="center"/>
    </xf>
    <xf numFmtId="3" fontId="0" fillId="0" borderId="0" xfId="0" applyNumberFormat="1" applyFill="1" applyBorder="1" applyAlignment="1">
      <alignment horizontal="center"/>
    </xf>
    <xf numFmtId="0" fontId="0" fillId="0" borderId="0" xfId="0" applyAlignment="1">
      <alignment horizontal="center"/>
    </xf>
    <xf numFmtId="0" fontId="0" fillId="0" borderId="0" xfId="0" applyAlignment="1">
      <alignment vertical="center"/>
    </xf>
    <xf numFmtId="3" fontId="0" fillId="0" borderId="0" xfId="0" applyNumberFormat="1" applyAlignment="1">
      <alignment horizontal="center" vertical="center"/>
    </xf>
    <xf numFmtId="0" fontId="0" fillId="0" borderId="0" xfId="0" applyBorder="1" applyAlignment="1">
      <alignment vertical="center"/>
    </xf>
    <xf numFmtId="0" fontId="0" fillId="0" borderId="0" xfId="0" applyAlignment="1">
      <alignment wrapText="1"/>
    </xf>
    <xf numFmtId="0" fontId="0" fillId="0" borderId="3" xfId="0" applyBorder="1" applyAlignment="1">
      <alignment horizontal="left" vertical="center" wrapText="1" indent="1"/>
    </xf>
    <xf numFmtId="0" fontId="0" fillId="0" borderId="0" xfId="0" applyAlignment="1">
      <alignment horizontal="left" wrapText="1" indent="1"/>
    </xf>
    <xf numFmtId="0" fontId="0" fillId="0" borderId="3" xfId="0" applyFont="1" applyFill="1" applyBorder="1" applyAlignment="1">
      <alignment horizontal="left" vertical="center" indent="1"/>
    </xf>
    <xf numFmtId="0" fontId="0" fillId="0" borderId="3" xfId="0" applyFill="1" applyBorder="1" applyAlignment="1">
      <alignment horizontal="left" vertical="center" indent="1"/>
    </xf>
    <xf numFmtId="0" fontId="0" fillId="0" borderId="0" xfId="0" applyFill="1" applyAlignment="1">
      <alignment horizontal="left" indent="2"/>
    </xf>
    <xf numFmtId="0" fontId="0" fillId="0" borderId="3" xfId="0" applyFont="1" applyFill="1" applyBorder="1" applyAlignment="1">
      <alignment horizontal="left" vertical="center" wrapText="1" indent="1"/>
    </xf>
    <xf numFmtId="3" fontId="0" fillId="0" borderId="0" xfId="0" applyNumberFormat="1" applyBorder="1" applyAlignment="1">
      <alignment horizontal="center" vertical="center"/>
    </xf>
    <xf numFmtId="3" fontId="0" fillId="0" borderId="12" xfId="0" applyNumberFormat="1" applyBorder="1" applyAlignment="1">
      <alignment horizontal="center" vertical="center"/>
    </xf>
    <xf numFmtId="3" fontId="0" fillId="0" borderId="2" xfId="0" applyNumberFormat="1" applyFont="1" applyBorder="1" applyAlignment="1">
      <alignment horizontal="center" vertical="center"/>
    </xf>
    <xf numFmtId="3" fontId="0" fillId="0" borderId="10" xfId="0" applyNumberFormat="1" applyFont="1" applyBorder="1" applyAlignment="1">
      <alignment horizontal="center" vertical="center"/>
    </xf>
    <xf numFmtId="3" fontId="0" fillId="0" borderId="0" xfId="0" applyNumberFormat="1" applyFont="1" applyBorder="1" applyAlignment="1">
      <alignment horizontal="center" vertical="center"/>
    </xf>
    <xf numFmtId="0" fontId="0" fillId="0" borderId="0" xfId="0" applyFont="1" applyBorder="1" applyAlignment="1">
      <alignment horizontal="center" vertical="center"/>
    </xf>
    <xf numFmtId="0" fontId="0" fillId="0" borderId="12" xfId="0" applyFont="1" applyBorder="1" applyAlignment="1">
      <alignment horizontal="center" vertical="center"/>
    </xf>
    <xf numFmtId="164" fontId="0" fillId="0" borderId="0" xfId="1" applyNumberFormat="1" applyFont="1" applyBorder="1" applyAlignment="1">
      <alignment horizontal="center" vertical="center"/>
    </xf>
    <xf numFmtId="9" fontId="0" fillId="0" borderId="12" xfId="1" applyNumberFormat="1" applyFont="1"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3" fontId="0" fillId="0" borderId="0" xfId="0" applyNumberFormat="1" applyFill="1" applyBorder="1" applyAlignment="1">
      <alignment horizontal="center" vertical="center"/>
    </xf>
    <xf numFmtId="3" fontId="0" fillId="0" borderId="12" xfId="0" applyNumberFormat="1" applyFont="1" applyBorder="1" applyAlignment="1">
      <alignment horizontal="center" vertical="center"/>
    </xf>
    <xf numFmtId="10" fontId="0" fillId="0" borderId="0" xfId="0" applyNumberFormat="1" applyFill="1" applyBorder="1" applyAlignment="1">
      <alignment horizontal="center" vertical="center"/>
    </xf>
    <xf numFmtId="3" fontId="0" fillId="0" borderId="1" xfId="0" applyNumberFormat="1" applyFont="1" applyBorder="1" applyAlignment="1">
      <alignment horizontal="center" vertical="center"/>
    </xf>
    <xf numFmtId="3" fontId="0" fillId="0" borderId="8" xfId="0" applyNumberFormat="1" applyFont="1" applyBorder="1" applyAlignment="1">
      <alignment horizontal="center" vertical="center"/>
    </xf>
    <xf numFmtId="9" fontId="0" fillId="0" borderId="0" xfId="1" applyNumberFormat="1" applyFont="1" applyBorder="1" applyAlignment="1">
      <alignment horizontal="center" vertical="center"/>
    </xf>
    <xf numFmtId="9" fontId="1" fillId="0" borderId="0" xfId="1" applyFont="1" applyBorder="1" applyAlignment="1">
      <alignment horizontal="center" vertical="center"/>
    </xf>
    <xf numFmtId="164" fontId="0" fillId="0" borderId="10" xfId="1" applyNumberFormat="1" applyFont="1" applyBorder="1" applyAlignment="1">
      <alignment horizontal="center" vertical="center"/>
    </xf>
    <xf numFmtId="0" fontId="2" fillId="2" borderId="1" xfId="0" applyFont="1" applyFill="1" applyBorder="1" applyAlignment="1">
      <alignment horizontal="center" vertical="center"/>
    </xf>
    <xf numFmtId="0" fontId="2" fillId="2" borderId="8" xfId="0" applyFont="1" applyFill="1" applyBorder="1" applyAlignment="1">
      <alignment horizontal="center" vertical="center"/>
    </xf>
    <xf numFmtId="0" fontId="0" fillId="0" borderId="0" xfId="0" applyFill="1" applyAlignment="1">
      <alignment vertical="center"/>
    </xf>
    <xf numFmtId="0" fontId="0" fillId="0" borderId="0" xfId="0" applyFill="1" applyAlignment="1">
      <alignment horizontal="center" vertical="center"/>
    </xf>
    <xf numFmtId="3" fontId="0" fillId="0" borderId="0" xfId="0" applyNumberFormat="1" applyFont="1" applyFill="1" applyBorder="1" applyAlignment="1">
      <alignment horizontal="center" vertical="center"/>
    </xf>
    <xf numFmtId="3" fontId="0" fillId="0" borderId="12" xfId="0" applyNumberFormat="1" applyFont="1" applyFill="1" applyBorder="1" applyAlignment="1">
      <alignment horizontal="center" vertical="center"/>
    </xf>
    <xf numFmtId="0" fontId="0" fillId="0" borderId="0" xfId="0" applyFill="1" applyBorder="1" applyAlignment="1">
      <alignment horizontal="left" vertical="center" indent="1"/>
    </xf>
    <xf numFmtId="0" fontId="0" fillId="0" borderId="4" xfId="0" applyFont="1" applyFill="1" applyBorder="1" applyAlignment="1">
      <alignment horizontal="left" vertical="center" indent="1"/>
    </xf>
    <xf numFmtId="0" fontId="0" fillId="0" borderId="4" xfId="0" applyFill="1" applyBorder="1" applyAlignment="1">
      <alignment horizontal="left" vertical="center" indent="1"/>
    </xf>
    <xf numFmtId="0" fontId="0" fillId="0" borderId="5" xfId="0" applyFont="1" applyFill="1" applyBorder="1" applyAlignment="1">
      <alignment horizontal="left" vertical="center" indent="1"/>
    </xf>
    <xf numFmtId="0" fontId="0" fillId="0" borderId="6" xfId="0" applyFont="1" applyFill="1" applyBorder="1" applyAlignment="1">
      <alignment horizontal="left" vertical="center" indent="1"/>
    </xf>
    <xf numFmtId="0" fontId="0" fillId="0" borderId="0" xfId="0" applyAlignment="1">
      <alignment horizontal="left" indent="1"/>
    </xf>
    <xf numFmtId="0" fontId="0" fillId="0" borderId="11" xfId="0" applyBorder="1" applyAlignment="1">
      <alignment horizontal="left" vertical="center" indent="1"/>
    </xf>
    <xf numFmtId="0" fontId="0" fillId="0" borderId="9" xfId="0" applyBorder="1" applyAlignment="1">
      <alignment horizontal="left" vertical="center" indent="1"/>
    </xf>
    <xf numFmtId="0" fontId="0" fillId="0" borderId="0" xfId="0" applyAlignment="1">
      <alignment horizontal="left" vertical="center" indent="1"/>
    </xf>
    <xf numFmtId="0" fontId="2" fillId="2" borderId="7" xfId="0" applyFont="1" applyFill="1" applyBorder="1" applyAlignment="1">
      <alignment horizontal="left" vertical="center" indent="1"/>
    </xf>
    <xf numFmtId="0" fontId="0" fillId="0" borderId="0" xfId="0" applyFill="1" applyAlignment="1">
      <alignment horizontal="left" vertical="center" indent="1"/>
    </xf>
    <xf numFmtId="0" fontId="0" fillId="0" borderId="4" xfId="0" applyFont="1" applyFill="1" applyBorder="1" applyAlignment="1">
      <alignment horizontal="left" vertical="center" wrapText="1" indent="1"/>
    </xf>
    <xf numFmtId="0" fontId="0" fillId="0" borderId="0" xfId="0" applyAlignment="1">
      <alignment vertical="center" wrapText="1"/>
    </xf>
    <xf numFmtId="0" fontId="0" fillId="0" borderId="0" xfId="0" applyAlignment="1">
      <alignment horizontal="center" vertical="center"/>
    </xf>
    <xf numFmtId="0" fontId="0" fillId="0" borderId="0" xfId="0" applyFont="1" applyFill="1" applyBorder="1" applyAlignment="1">
      <alignment horizontal="left" vertical="center" indent="1"/>
    </xf>
    <xf numFmtId="0" fontId="0" fillId="0" borderId="0" xfId="0" applyBorder="1" applyAlignment="1">
      <alignment horizontal="left" vertical="center" indent="1"/>
    </xf>
    <xf numFmtId="164" fontId="0" fillId="0" borderId="12" xfId="1" applyNumberFormat="1" applyFont="1" applyBorder="1" applyAlignment="1">
      <alignment horizontal="center" vertical="center"/>
    </xf>
    <xf numFmtId="3" fontId="0" fillId="0" borderId="7" xfId="0" applyNumberFormat="1" applyFont="1" applyBorder="1" applyAlignment="1">
      <alignment horizontal="center" vertical="center"/>
    </xf>
    <xf numFmtId="0" fontId="0" fillId="0" borderId="1" xfId="0" applyFont="1" applyBorder="1" applyAlignment="1">
      <alignment horizontal="center" vertical="center"/>
    </xf>
    <xf numFmtId="0" fontId="0" fillId="0" borderId="8" xfId="0" applyFont="1" applyBorder="1" applyAlignment="1">
      <alignment horizontal="center" vertical="center"/>
    </xf>
    <xf numFmtId="3" fontId="0" fillId="0" borderId="11" xfId="0" applyNumberFormat="1" applyFont="1" applyBorder="1" applyAlignment="1">
      <alignment horizontal="center" vertical="center"/>
    </xf>
    <xf numFmtId="0" fontId="0" fillId="0" borderId="0" xfId="0" applyBorder="1" applyAlignment="1">
      <alignment horizontal="center"/>
    </xf>
    <xf numFmtId="3" fontId="0" fillId="0" borderId="15" xfId="0" applyNumberFormat="1" applyFont="1" applyFill="1" applyBorder="1" applyAlignment="1">
      <alignment horizontal="center" vertical="center"/>
    </xf>
    <xf numFmtId="3" fontId="0" fillId="0" borderId="14" xfId="0" applyNumberFormat="1" applyFont="1" applyFill="1" applyBorder="1" applyAlignment="1">
      <alignment horizontal="center" vertical="center"/>
    </xf>
    <xf numFmtId="9" fontId="0" fillId="0" borderId="0" xfId="1" applyFont="1" applyBorder="1" applyAlignment="1">
      <alignment horizontal="center" vertical="center"/>
    </xf>
    <xf numFmtId="3" fontId="0" fillId="0" borderId="1" xfId="0" applyNumberFormat="1" applyBorder="1" applyAlignment="1">
      <alignment horizontal="center" vertical="center"/>
    </xf>
    <xf numFmtId="3" fontId="0" fillId="0" borderId="8" xfId="0" applyNumberFormat="1" applyBorder="1" applyAlignment="1">
      <alignment horizontal="center" vertical="center"/>
    </xf>
    <xf numFmtId="9" fontId="0" fillId="0" borderId="12" xfId="1" applyFont="1" applyBorder="1" applyAlignment="1">
      <alignment horizontal="center" vertical="center"/>
    </xf>
    <xf numFmtId="0" fontId="0" fillId="0" borderId="7" xfId="0" applyFont="1" applyFill="1" applyBorder="1" applyAlignment="1">
      <alignment horizontal="left" vertical="center" indent="1"/>
    </xf>
    <xf numFmtId="0" fontId="0" fillId="0" borderId="11" xfId="0" applyFont="1" applyFill="1" applyBorder="1" applyAlignment="1">
      <alignment horizontal="left" vertical="center" indent="1"/>
    </xf>
    <xf numFmtId="0" fontId="0" fillId="0" borderId="11" xfId="0" applyFont="1" applyFill="1" applyBorder="1" applyAlignment="1">
      <alignment horizontal="left" vertical="center" wrapText="1" indent="1"/>
    </xf>
    <xf numFmtId="0" fontId="0" fillId="0" borderId="0" xfId="0" applyFill="1" applyAlignment="1">
      <alignment horizontal="center"/>
    </xf>
    <xf numFmtId="0" fontId="2" fillId="0" borderId="0" xfId="0" applyFont="1" applyFill="1" applyBorder="1" applyAlignment="1">
      <alignment horizontal="center" vertical="center"/>
    </xf>
    <xf numFmtId="9" fontId="0" fillId="0" borderId="0" xfId="1" applyNumberFormat="1" applyFont="1" applyFill="1" applyBorder="1" applyAlignment="1">
      <alignment horizontal="center" vertical="center"/>
    </xf>
    <xf numFmtId="0" fontId="0" fillId="0" borderId="0" xfId="0" applyFill="1" applyBorder="1" applyAlignment="1">
      <alignment horizontal="center" vertical="center"/>
    </xf>
    <xf numFmtId="164" fontId="0" fillId="0" borderId="0" xfId="1"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pplyAlignment="1">
      <alignment horizontal="left" vertical="center" wrapText="1" indent="1"/>
    </xf>
    <xf numFmtId="0" fontId="0" fillId="0" borderId="6" xfId="0" applyBorder="1" applyAlignment="1">
      <alignment horizontal="left" vertical="center" wrapText="1" indent="1"/>
    </xf>
    <xf numFmtId="0" fontId="0" fillId="0" borderId="3" xfId="0" quotePrefix="1" applyBorder="1" applyAlignment="1">
      <alignment horizontal="left" vertical="center" wrapText="1" indent="1"/>
    </xf>
    <xf numFmtId="0" fontId="0" fillId="0" borderId="5" xfId="0" applyBorder="1" applyAlignment="1">
      <alignment horizontal="left" vertical="center" wrapText="1" indent="1"/>
    </xf>
    <xf numFmtId="0" fontId="7" fillId="0" borderId="0" xfId="0" applyFont="1" applyFill="1" applyBorder="1" applyAlignment="1">
      <alignment horizontal="center" vertical="center" textRotation="90" wrapText="1"/>
    </xf>
    <xf numFmtId="0" fontId="0" fillId="0" borderId="0" xfId="0" applyFill="1" applyBorder="1" applyAlignment="1">
      <alignment horizontal="left" vertical="center" wrapText="1" indent="1"/>
    </xf>
    <xf numFmtId="0" fontId="0" fillId="0" borderId="0" xfId="0" applyFill="1" applyBorder="1"/>
    <xf numFmtId="0" fontId="0" fillId="0" borderId="3" xfId="0" applyFill="1" applyBorder="1" applyAlignment="1">
      <alignment horizontal="left" vertical="center" wrapText="1" indent="1"/>
    </xf>
    <xf numFmtId="0" fontId="8" fillId="0" borderId="0" xfId="0" applyFont="1" applyFill="1" applyBorder="1" applyAlignment="1">
      <alignment horizontal="center" vertical="center" textRotation="90" wrapText="1"/>
    </xf>
    <xf numFmtId="0" fontId="11" fillId="0" borderId="0" xfId="0" applyFont="1" applyFill="1" applyBorder="1" applyAlignment="1">
      <alignment horizontal="center" vertical="center" textRotation="90"/>
    </xf>
    <xf numFmtId="0" fontId="11" fillId="0" borderId="0" xfId="0" applyFont="1" applyFill="1" applyBorder="1" applyAlignment="1">
      <alignment horizontal="center" vertical="center"/>
    </xf>
    <xf numFmtId="3" fontId="2" fillId="0" borderId="0" xfId="0" applyNumberFormat="1" applyFont="1" applyFill="1" applyBorder="1" applyAlignment="1">
      <alignment horizontal="left" vertical="center" indent="1"/>
    </xf>
    <xf numFmtId="3" fontId="2" fillId="0" borderId="0" xfId="0" applyNumberFormat="1" applyFont="1" applyFill="1" applyBorder="1" applyAlignment="1">
      <alignment horizontal="center" vertical="center"/>
    </xf>
    <xf numFmtId="0" fontId="0" fillId="0" borderId="11" xfId="0" applyFill="1" applyBorder="1" applyAlignment="1">
      <alignment horizontal="left" vertical="center" indent="1"/>
    </xf>
    <xf numFmtId="3" fontId="0" fillId="0" borderId="15" xfId="0" applyNumberFormat="1" applyFont="1" applyBorder="1" applyAlignment="1">
      <alignment horizontal="center" vertical="center"/>
    </xf>
    <xf numFmtId="3" fontId="0" fillId="0" borderId="14" xfId="0" applyNumberFormat="1" applyFont="1" applyBorder="1" applyAlignment="1">
      <alignment horizontal="center" vertical="center"/>
    </xf>
    <xf numFmtId="0" fontId="10" fillId="0" borderId="0" xfId="0" applyFont="1" applyFill="1" applyBorder="1" applyAlignment="1">
      <alignment horizontal="center" vertical="center"/>
    </xf>
    <xf numFmtId="0" fontId="8" fillId="0" borderId="0" xfId="0" applyFont="1" applyFill="1" applyBorder="1" applyAlignment="1">
      <alignment horizontal="center" vertical="center" wrapText="1"/>
    </xf>
    <xf numFmtId="0" fontId="8" fillId="6" borderId="3" xfId="0" applyFont="1" applyFill="1" applyBorder="1" applyAlignment="1">
      <alignment horizontal="center" vertical="center" wrapText="1"/>
    </xf>
    <xf numFmtId="10" fontId="0" fillId="0" borderId="0" xfId="1" applyNumberFormat="1" applyFont="1" applyBorder="1" applyAlignment="1">
      <alignment horizontal="center" vertical="center"/>
    </xf>
    <xf numFmtId="9" fontId="0" fillId="0" borderId="2" xfId="1" applyNumberFormat="1" applyFont="1" applyBorder="1" applyAlignment="1">
      <alignment horizontal="center" vertical="center"/>
    </xf>
    <xf numFmtId="0" fontId="10" fillId="0" borderId="0" xfId="0" applyFont="1" applyAlignment="1">
      <alignment horizontal="center"/>
    </xf>
    <xf numFmtId="0" fontId="2" fillId="8" borderId="7" xfId="0" applyFont="1" applyFill="1" applyBorder="1" applyAlignment="1">
      <alignment horizontal="left" vertical="center" indent="1"/>
    </xf>
    <xf numFmtId="0" fontId="2" fillId="8" borderId="1" xfId="0" applyFont="1" applyFill="1" applyBorder="1" applyAlignment="1">
      <alignment horizontal="center" vertical="center"/>
    </xf>
    <xf numFmtId="0" fontId="2" fillId="8" borderId="8" xfId="0" applyFont="1" applyFill="1" applyBorder="1" applyAlignment="1">
      <alignment horizontal="center" vertical="center"/>
    </xf>
    <xf numFmtId="3" fontId="2" fillId="8" borderId="13" xfId="0" applyNumberFormat="1" applyFont="1" applyFill="1" applyBorder="1" applyAlignment="1">
      <alignment horizontal="center" vertical="center"/>
    </xf>
    <xf numFmtId="3" fontId="2" fillId="8" borderId="14" xfId="0" applyNumberFormat="1" applyFont="1" applyFill="1" applyBorder="1" applyAlignment="1">
      <alignment horizontal="left" vertical="center" indent="1"/>
    </xf>
    <xf numFmtId="3" fontId="2" fillId="8" borderId="1" xfId="0" applyNumberFormat="1" applyFont="1" applyFill="1" applyBorder="1" applyAlignment="1">
      <alignment horizontal="center" vertical="center"/>
    </xf>
    <xf numFmtId="3" fontId="2" fillId="8" borderId="8" xfId="0" applyNumberFormat="1" applyFont="1" applyFill="1" applyBorder="1" applyAlignment="1">
      <alignment horizontal="center" vertical="center"/>
    </xf>
    <xf numFmtId="0" fontId="13" fillId="0" borderId="0" xfId="0" applyFont="1" applyAlignment="1">
      <alignment horizontal="left" vertical="center" indent="1"/>
    </xf>
    <xf numFmtId="3" fontId="2" fillId="8" borderId="3" xfId="0" applyNumberFormat="1" applyFont="1" applyFill="1" applyBorder="1" applyAlignment="1">
      <alignment horizontal="left" vertical="center" indent="1"/>
    </xf>
    <xf numFmtId="3" fontId="2" fillId="8" borderId="3" xfId="0" applyNumberFormat="1" applyFont="1" applyFill="1" applyBorder="1" applyAlignment="1">
      <alignment horizontal="left" vertical="center" wrapText="1" indent="1"/>
    </xf>
    <xf numFmtId="1" fontId="0" fillId="0" borderId="0" xfId="0" applyNumberFormat="1" applyAlignment="1">
      <alignment horizontal="center" vertical="center"/>
    </xf>
    <xf numFmtId="0" fontId="0" fillId="0" borderId="7" xfId="0" applyBorder="1" applyAlignment="1">
      <alignment horizontal="left" vertical="center" indent="1"/>
    </xf>
    <xf numFmtId="0" fontId="0" fillId="0" borderId="10" xfId="0" applyBorder="1" applyAlignment="1">
      <alignment horizontal="center" vertical="center"/>
    </xf>
    <xf numFmtId="0" fontId="0" fillId="0" borderId="12" xfId="0" applyFill="1" applyBorder="1" applyAlignment="1">
      <alignment horizontal="center" vertical="center"/>
    </xf>
    <xf numFmtId="165" fontId="0" fillId="0" borderId="0" xfId="0" applyNumberFormat="1" applyAlignment="1">
      <alignment horizontal="center"/>
    </xf>
    <xf numFmtId="9" fontId="0" fillId="0" borderId="11" xfId="1" applyFont="1" applyBorder="1" applyAlignment="1">
      <alignment horizontal="center" vertical="center"/>
    </xf>
    <xf numFmtId="0" fontId="8" fillId="0" borderId="0" xfId="0" applyFont="1" applyBorder="1" applyAlignment="1">
      <alignment vertical="center" textRotation="90"/>
    </xf>
    <xf numFmtId="0" fontId="0" fillId="0" borderId="4" xfId="0" applyBorder="1" applyAlignment="1">
      <alignment horizontal="center"/>
    </xf>
    <xf numFmtId="0" fontId="0" fillId="0" borderId="5" xfId="0" applyBorder="1" applyAlignment="1">
      <alignment horizontal="center"/>
    </xf>
    <xf numFmtId="0" fontId="0" fillId="0" borderId="4" xfId="0" applyBorder="1" applyAlignment="1">
      <alignment horizontal="left" indent="1"/>
    </xf>
    <xf numFmtId="0" fontId="0" fillId="0" borderId="5" xfId="0" applyBorder="1" applyAlignment="1">
      <alignment horizontal="left" indent="1"/>
    </xf>
    <xf numFmtId="0" fontId="2" fillId="10" borderId="3" xfId="0" applyFont="1" applyFill="1" applyBorder="1" applyAlignment="1">
      <alignment horizontal="left" indent="1"/>
    </xf>
    <xf numFmtId="0" fontId="2" fillId="10" borderId="3" xfId="0" applyFont="1" applyFill="1" applyBorder="1" applyAlignment="1">
      <alignment horizontal="center"/>
    </xf>
    <xf numFmtId="0" fontId="0" fillId="0" borderId="12" xfId="0" applyBorder="1" applyAlignment="1">
      <alignment horizontal="left" vertical="center" indent="1"/>
    </xf>
    <xf numFmtId="0" fontId="3" fillId="0" borderId="11" xfId="0" applyFont="1" applyBorder="1" applyAlignment="1">
      <alignment horizontal="left" vertical="center" indent="1"/>
    </xf>
    <xf numFmtId="0" fontId="3" fillId="0" borderId="11" xfId="0" quotePrefix="1" applyFont="1" applyBorder="1" applyAlignment="1">
      <alignment horizontal="left" vertical="center" indent="1"/>
    </xf>
    <xf numFmtId="0" fontId="3" fillId="0" borderId="9" xfId="0" applyFont="1" applyBorder="1" applyAlignment="1">
      <alignment horizontal="left" vertical="center" indent="1"/>
    </xf>
    <xf numFmtId="0" fontId="0" fillId="0" borderId="2" xfId="0" applyBorder="1" applyAlignment="1">
      <alignment horizontal="left" vertical="center" indent="1"/>
    </xf>
    <xf numFmtId="0" fontId="0" fillId="0" borderId="10" xfId="0" applyBorder="1" applyAlignment="1">
      <alignment horizontal="left" vertical="center" indent="1"/>
    </xf>
    <xf numFmtId="10" fontId="0" fillId="0" borderId="2" xfId="1" applyNumberFormat="1" applyFont="1" applyBorder="1" applyAlignment="1">
      <alignment horizontal="center" vertical="center"/>
    </xf>
    <xf numFmtId="0" fontId="0" fillId="0" borderId="0" xfId="0" applyFont="1" applyBorder="1" applyAlignment="1">
      <alignment horizontal="left" vertical="center" indent="1"/>
    </xf>
    <xf numFmtId="0" fontId="0" fillId="0" borderId="2" xfId="0" applyFont="1" applyBorder="1" applyAlignment="1">
      <alignment horizontal="left" vertical="center" indent="1"/>
    </xf>
    <xf numFmtId="0" fontId="20" fillId="0" borderId="11" xfId="2" applyFont="1" applyBorder="1" applyAlignment="1">
      <alignment horizontal="left" vertical="center" indent="1"/>
    </xf>
    <xf numFmtId="164" fontId="0" fillId="0" borderId="0" xfId="0" applyNumberFormat="1"/>
    <xf numFmtId="0" fontId="3" fillId="0" borderId="0" xfId="0" applyFont="1" applyAlignment="1">
      <alignment horizontal="center"/>
    </xf>
    <xf numFmtId="0" fontId="3" fillId="0" borderId="0" xfId="0" applyFont="1"/>
    <xf numFmtId="164" fontId="0" fillId="0" borderId="0" xfId="1" applyNumberFormat="1" applyFont="1" applyAlignment="1">
      <alignment horizontal="center"/>
    </xf>
    <xf numFmtId="164" fontId="3" fillId="0" borderId="0" xfId="0" applyNumberFormat="1" applyFont="1" applyAlignment="1">
      <alignment horizontal="center"/>
    </xf>
    <xf numFmtId="0" fontId="3" fillId="0" borderId="2" xfId="0" applyFont="1" applyBorder="1"/>
    <xf numFmtId="0" fontId="0" fillId="0" borderId="2" xfId="0" applyBorder="1" applyAlignment="1">
      <alignment horizontal="center"/>
    </xf>
    <xf numFmtId="9" fontId="0" fillId="0" borderId="0" xfId="1" applyFont="1" applyAlignment="1">
      <alignment horizontal="center"/>
    </xf>
    <xf numFmtId="10" fontId="0" fillId="0" borderId="0" xfId="1" applyNumberFormat="1" applyFont="1" applyAlignment="1">
      <alignment horizontal="center"/>
    </xf>
    <xf numFmtId="1" fontId="0" fillId="0" borderId="0" xfId="0" applyNumberFormat="1" applyBorder="1" applyAlignment="1">
      <alignment horizontal="center" vertical="center"/>
    </xf>
    <xf numFmtId="0" fontId="0" fillId="0" borderId="4" xfId="0" applyNumberFormat="1" applyFont="1" applyFill="1" applyBorder="1" applyAlignment="1">
      <alignment horizontal="left" vertical="center" indent="1"/>
    </xf>
    <xf numFmtId="3" fontId="0" fillId="3" borderId="0" xfId="0" applyNumberFormat="1" applyFill="1" applyAlignment="1">
      <alignment horizontal="center"/>
    </xf>
    <xf numFmtId="3" fontId="0" fillId="0" borderId="0" xfId="0" applyNumberFormat="1" applyFill="1" applyAlignment="1">
      <alignment horizontal="center"/>
    </xf>
    <xf numFmtId="0" fontId="7" fillId="0" borderId="0" xfId="0" applyFont="1"/>
    <xf numFmtId="0" fontId="22" fillId="0" borderId="0" xfId="0" applyFont="1" applyAlignment="1">
      <alignment horizontal="left" vertical="center" indent="1"/>
    </xf>
    <xf numFmtId="0" fontId="0" fillId="7" borderId="5" xfId="0" applyFont="1" applyFill="1" applyBorder="1" applyAlignment="1">
      <alignment horizontal="left" vertical="center" wrapText="1" indent="1"/>
    </xf>
    <xf numFmtId="3" fontId="0" fillId="7" borderId="2" xfId="0" applyNumberFormat="1" applyFill="1" applyBorder="1" applyAlignment="1">
      <alignment horizontal="center" vertical="center"/>
    </xf>
    <xf numFmtId="3" fontId="0" fillId="7" borderId="10" xfId="0" applyNumberFormat="1" applyFill="1" applyBorder="1" applyAlignment="1">
      <alignment horizontal="center" vertical="center"/>
    </xf>
    <xf numFmtId="3" fontId="0" fillId="7" borderId="2" xfId="0" applyNumberFormat="1" applyFont="1" applyFill="1" applyBorder="1" applyAlignment="1">
      <alignment horizontal="center" vertical="center"/>
    </xf>
    <xf numFmtId="3" fontId="0" fillId="7" borderId="10" xfId="0" applyNumberFormat="1" applyFont="1" applyFill="1" applyBorder="1" applyAlignment="1">
      <alignment horizontal="center" vertical="center"/>
    </xf>
    <xf numFmtId="0" fontId="6" fillId="0" borderId="0" xfId="0" quotePrefix="1" applyFont="1" applyBorder="1" applyAlignment="1">
      <alignment horizontal="left" vertical="center" wrapText="1" indent="1"/>
    </xf>
    <xf numFmtId="0" fontId="6" fillId="0" borderId="10" xfId="0" quotePrefix="1" applyFont="1" applyBorder="1" applyAlignment="1">
      <alignment horizontal="left" vertical="center" wrapText="1" indent="1"/>
    </xf>
    <xf numFmtId="0" fontId="0" fillId="0" borderId="14" xfId="0" applyFill="1" applyBorder="1" applyAlignment="1">
      <alignment horizontal="left" vertical="center" indent="1"/>
    </xf>
    <xf numFmtId="0" fontId="24" fillId="10" borderId="3" xfId="0" applyFont="1" applyFill="1" applyBorder="1" applyAlignment="1">
      <alignment horizontal="center" vertical="center"/>
    </xf>
    <xf numFmtId="0" fontId="24" fillId="10" borderId="13" xfId="0" applyFont="1" applyFill="1" applyBorder="1" applyAlignment="1">
      <alignment horizontal="center" vertical="center"/>
    </xf>
    <xf numFmtId="0" fontId="0" fillId="7" borderId="3" xfId="0" applyFill="1" applyBorder="1" applyAlignment="1">
      <alignment horizontal="center" vertical="center"/>
    </xf>
    <xf numFmtId="0" fontId="0" fillId="7" borderId="9" xfId="0" applyFont="1" applyFill="1" applyBorder="1" applyAlignment="1">
      <alignment horizontal="left" vertical="center" wrapText="1" indent="1"/>
    </xf>
    <xf numFmtId="3" fontId="0" fillId="7" borderId="9" xfId="0" applyNumberFormat="1" applyFont="1" applyFill="1" applyBorder="1" applyAlignment="1">
      <alignment horizontal="center" vertical="center"/>
    </xf>
    <xf numFmtId="0" fontId="0" fillId="7" borderId="3" xfId="0" applyFont="1" applyFill="1" applyBorder="1" applyAlignment="1">
      <alignment horizontal="left" vertical="center" indent="1"/>
    </xf>
    <xf numFmtId="3" fontId="0" fillId="7" borderId="13" xfId="0" applyNumberFormat="1" applyFont="1" applyFill="1" applyBorder="1" applyAlignment="1">
      <alignment horizontal="center" vertical="center"/>
    </xf>
    <xf numFmtId="3" fontId="0" fillId="7" borderId="15" xfId="0" applyNumberFormat="1" applyFont="1" applyFill="1" applyBorder="1" applyAlignment="1">
      <alignment horizontal="center" vertical="center"/>
    </xf>
    <xf numFmtId="3" fontId="0" fillId="7" borderId="14" xfId="0" applyNumberFormat="1" applyFont="1" applyFill="1" applyBorder="1" applyAlignment="1">
      <alignment horizontal="center" vertical="center"/>
    </xf>
    <xf numFmtId="164" fontId="0" fillId="7" borderId="13" xfId="1" applyNumberFormat="1" applyFont="1" applyFill="1" applyBorder="1" applyAlignment="1">
      <alignment horizontal="center" vertical="center"/>
    </xf>
    <xf numFmtId="164" fontId="0" fillId="7" borderId="15" xfId="1" applyNumberFormat="1" applyFont="1" applyFill="1" applyBorder="1" applyAlignment="1">
      <alignment horizontal="center" vertical="center"/>
    </xf>
    <xf numFmtId="164" fontId="0" fillId="7" borderId="14" xfId="1" applyNumberFormat="1" applyFont="1" applyFill="1" applyBorder="1" applyAlignment="1">
      <alignment horizontal="center" vertical="center"/>
    </xf>
    <xf numFmtId="0" fontId="0" fillId="7" borderId="13" xfId="0" applyFont="1" applyFill="1" applyBorder="1" applyAlignment="1">
      <alignment horizontal="left" vertical="center" indent="1"/>
    </xf>
    <xf numFmtId="164" fontId="0" fillId="7" borderId="15" xfId="0" applyNumberFormat="1" applyFont="1" applyFill="1" applyBorder="1" applyAlignment="1">
      <alignment horizontal="center" vertical="center"/>
    </xf>
    <xf numFmtId="0" fontId="0" fillId="7" borderId="3" xfId="0" applyFont="1" applyFill="1" applyBorder="1" applyAlignment="1">
      <alignment horizontal="left" vertical="center" wrapText="1" indent="1"/>
    </xf>
    <xf numFmtId="0" fontId="0" fillId="7" borderId="3" xfId="0" applyNumberFormat="1" applyFont="1" applyFill="1" applyBorder="1" applyAlignment="1">
      <alignment horizontal="left" vertical="center" indent="1"/>
    </xf>
    <xf numFmtId="0" fontId="0" fillId="7" borderId="3" xfId="0" applyFill="1" applyBorder="1" applyAlignment="1">
      <alignment horizontal="left" vertical="center" wrapText="1" indent="1"/>
    </xf>
    <xf numFmtId="10" fontId="0" fillId="0" borderId="0" xfId="0" applyNumberFormat="1" applyAlignment="1">
      <alignment horizontal="center"/>
    </xf>
    <xf numFmtId="10" fontId="3" fillId="0" borderId="0" xfId="0" applyNumberFormat="1" applyFont="1" applyAlignment="1">
      <alignment horizontal="center"/>
    </xf>
    <xf numFmtId="10" fontId="0" fillId="0" borderId="0" xfId="0" applyNumberFormat="1"/>
    <xf numFmtId="0" fontId="21" fillId="10" borderId="13" xfId="0" applyFont="1" applyFill="1" applyBorder="1"/>
    <xf numFmtId="0" fontId="10" fillId="10" borderId="15" xfId="0" applyFont="1" applyFill="1" applyBorder="1" applyAlignment="1">
      <alignment horizontal="center"/>
    </xf>
    <xf numFmtId="0" fontId="10" fillId="10" borderId="14" xfId="0" applyFont="1" applyFill="1" applyBorder="1" applyAlignment="1">
      <alignment horizontal="center"/>
    </xf>
    <xf numFmtId="0" fontId="21" fillId="0" borderId="0" xfId="0" applyFont="1" applyFill="1" applyBorder="1"/>
    <xf numFmtId="0" fontId="10" fillId="0" borderId="0" xfId="0" applyFont="1" applyFill="1" applyBorder="1" applyAlignment="1">
      <alignment horizontal="center"/>
    </xf>
    <xf numFmtId="0" fontId="0" fillId="0" borderId="0" xfId="0" applyFill="1"/>
    <xf numFmtId="0" fontId="11" fillId="7" borderId="7" xfId="0" applyFont="1" applyFill="1" applyBorder="1" applyAlignment="1">
      <alignment horizontal="center" vertical="center" textRotation="90" wrapText="1"/>
    </xf>
    <xf numFmtId="0" fontId="11" fillId="7" borderId="11" xfId="0" applyFont="1" applyFill="1" applyBorder="1" applyAlignment="1">
      <alignment horizontal="center" vertical="center" textRotation="90" wrapText="1"/>
    </xf>
    <xf numFmtId="0" fontId="11" fillId="7" borderId="9" xfId="0" applyFont="1" applyFill="1" applyBorder="1" applyAlignment="1">
      <alignment horizontal="center" vertical="center" textRotation="90" wrapText="1"/>
    </xf>
    <xf numFmtId="0" fontId="6" fillId="0" borderId="7" xfId="0" quotePrefix="1" applyFont="1" applyBorder="1" applyAlignment="1">
      <alignment horizontal="left" vertical="center" wrapText="1" indent="1"/>
    </xf>
    <xf numFmtId="0" fontId="6" fillId="0" borderId="1" xfId="0" quotePrefix="1" applyFont="1" applyBorder="1" applyAlignment="1">
      <alignment horizontal="left" vertical="center" wrapText="1" indent="1"/>
    </xf>
    <xf numFmtId="0" fontId="6" fillId="0" borderId="8" xfId="0" quotePrefix="1" applyFont="1" applyBorder="1" applyAlignment="1">
      <alignment horizontal="left" vertical="center" wrapText="1" indent="1"/>
    </xf>
    <xf numFmtId="0" fontId="6" fillId="0" borderId="11" xfId="0" quotePrefix="1" applyFont="1" applyBorder="1" applyAlignment="1">
      <alignment horizontal="left" vertical="center" wrapText="1" indent="1"/>
    </xf>
    <xf numFmtId="0" fontId="6" fillId="0" borderId="0" xfId="0" quotePrefix="1" applyFont="1" applyBorder="1" applyAlignment="1">
      <alignment horizontal="left" vertical="center" wrapText="1" indent="1"/>
    </xf>
    <xf numFmtId="0" fontId="6" fillId="0" borderId="12" xfId="0" quotePrefix="1" applyFont="1" applyBorder="1" applyAlignment="1">
      <alignment horizontal="left" vertical="center" wrapText="1" indent="1"/>
    </xf>
    <xf numFmtId="0" fontId="6" fillId="0" borderId="9" xfId="0" quotePrefix="1" applyFont="1" applyBorder="1" applyAlignment="1">
      <alignment horizontal="left" vertical="center" wrapText="1" indent="1"/>
    </xf>
    <xf numFmtId="0" fontId="6" fillId="0" borderId="2" xfId="0" quotePrefix="1" applyFont="1" applyBorder="1" applyAlignment="1">
      <alignment horizontal="left" vertical="center" wrapText="1" indent="1"/>
    </xf>
    <xf numFmtId="0" fontId="6" fillId="0" borderId="10" xfId="0" quotePrefix="1" applyFont="1" applyBorder="1" applyAlignment="1">
      <alignment horizontal="left" vertical="center" wrapText="1" indent="1"/>
    </xf>
    <xf numFmtId="0" fontId="24" fillId="10" borderId="6" xfId="0" applyFont="1" applyFill="1" applyBorder="1" applyAlignment="1">
      <alignment horizontal="center" vertical="center" textRotation="90"/>
    </xf>
    <xf numFmtId="0" fontId="24" fillId="10" borderId="4" xfId="0" applyFont="1" applyFill="1" applyBorder="1" applyAlignment="1">
      <alignment horizontal="center" vertical="center" textRotation="90"/>
    </xf>
    <xf numFmtId="0" fontId="24" fillId="10" borderId="5" xfId="0" applyFont="1" applyFill="1" applyBorder="1" applyAlignment="1">
      <alignment horizontal="center" vertical="center" textRotation="90"/>
    </xf>
    <xf numFmtId="0" fontId="24" fillId="10" borderId="6" xfId="0" applyFont="1" applyFill="1" applyBorder="1" applyAlignment="1">
      <alignment horizontal="center" vertical="center" textRotation="90" wrapText="1"/>
    </xf>
    <xf numFmtId="0" fontId="7" fillId="3" borderId="7" xfId="0" applyFont="1" applyFill="1" applyBorder="1" applyAlignment="1">
      <alignment horizontal="center" vertical="center" textRotation="90" wrapText="1"/>
    </xf>
    <xf numFmtId="0" fontId="7" fillId="3" borderId="11" xfId="0" applyFont="1" applyFill="1" applyBorder="1" applyAlignment="1">
      <alignment horizontal="center" vertical="center" textRotation="90" wrapText="1"/>
    </xf>
    <xf numFmtId="0" fontId="7" fillId="3" borderId="9" xfId="0" applyFont="1" applyFill="1" applyBorder="1" applyAlignment="1">
      <alignment horizontal="center" vertical="center" textRotation="90" wrapText="1"/>
    </xf>
    <xf numFmtId="0" fontId="7" fillId="4" borderId="6" xfId="0" applyFont="1" applyFill="1" applyBorder="1" applyAlignment="1">
      <alignment horizontal="center" vertical="center" textRotation="90" wrapText="1"/>
    </xf>
    <xf numFmtId="0" fontId="7" fillId="4" borderId="4" xfId="0" applyFont="1" applyFill="1" applyBorder="1" applyAlignment="1">
      <alignment horizontal="center" vertical="center" textRotation="90" wrapText="1"/>
    </xf>
    <xf numFmtId="0" fontId="7" fillId="4" borderId="5" xfId="0" applyFont="1" applyFill="1" applyBorder="1" applyAlignment="1">
      <alignment horizontal="center" vertical="center" textRotation="90" wrapText="1"/>
    </xf>
    <xf numFmtId="0" fontId="12" fillId="5" borderId="6" xfId="0" applyFont="1" applyFill="1" applyBorder="1" applyAlignment="1">
      <alignment horizontal="center" vertical="center" textRotation="90" wrapText="1"/>
    </xf>
    <xf numFmtId="0" fontId="12" fillId="5" borderId="4" xfId="0" applyFont="1" applyFill="1" applyBorder="1" applyAlignment="1">
      <alignment horizontal="center" vertical="center" textRotation="90" wrapText="1"/>
    </xf>
    <xf numFmtId="0" fontId="12" fillId="5" borderId="5" xfId="0" applyFont="1" applyFill="1" applyBorder="1" applyAlignment="1">
      <alignment horizontal="center" vertical="center" textRotation="90" wrapText="1"/>
    </xf>
    <xf numFmtId="0" fontId="11" fillId="9" borderId="6" xfId="0" applyFont="1" applyFill="1" applyBorder="1" applyAlignment="1">
      <alignment horizontal="center" vertical="center" textRotation="90" wrapText="1"/>
    </xf>
    <xf numFmtId="0" fontId="11" fillId="9" borderId="4" xfId="0" applyFont="1" applyFill="1" applyBorder="1" applyAlignment="1">
      <alignment horizontal="center" vertical="center" textRotation="90" wrapText="1"/>
    </xf>
    <xf numFmtId="0" fontId="11" fillId="9" borderId="5" xfId="0" applyFont="1" applyFill="1" applyBorder="1" applyAlignment="1">
      <alignment horizontal="center" vertical="center" textRotation="90" wrapText="1"/>
    </xf>
    <xf numFmtId="3" fontId="2" fillId="10" borderId="13" xfId="0" applyNumberFormat="1" applyFont="1" applyFill="1" applyBorder="1" applyAlignment="1">
      <alignment horizontal="left" vertical="center" indent="1"/>
    </xf>
    <xf numFmtId="3" fontId="2" fillId="10" borderId="14" xfId="0" applyNumberFormat="1" applyFont="1" applyFill="1" applyBorder="1" applyAlignment="1">
      <alignment horizontal="left" vertical="center" indent="1"/>
    </xf>
    <xf numFmtId="0" fontId="8" fillId="6" borderId="6" xfId="0" applyFont="1" applyFill="1" applyBorder="1" applyAlignment="1">
      <alignment horizontal="center" vertical="center" textRotation="90" wrapText="1"/>
    </xf>
    <xf numFmtId="0" fontId="8" fillId="6" borderId="4" xfId="0" applyFont="1" applyFill="1" applyBorder="1" applyAlignment="1">
      <alignment horizontal="center" vertical="center" textRotation="90" wrapText="1"/>
    </xf>
    <xf numFmtId="0" fontId="8" fillId="6" borderId="5" xfId="0" applyFont="1" applyFill="1" applyBorder="1" applyAlignment="1">
      <alignment horizontal="center" vertical="center" textRotation="90" wrapText="1"/>
    </xf>
    <xf numFmtId="0" fontId="11" fillId="9" borderId="3" xfId="0" applyFont="1" applyFill="1" applyBorder="1" applyAlignment="1">
      <alignment horizontal="center" vertical="center" textRotation="90" wrapText="1"/>
    </xf>
    <xf numFmtId="0" fontId="7" fillId="4" borderId="3" xfId="0" applyFont="1" applyFill="1" applyBorder="1" applyAlignment="1">
      <alignment horizontal="center" vertical="center" textRotation="90" wrapText="1"/>
    </xf>
    <xf numFmtId="0" fontId="7" fillId="3" borderId="3" xfId="0" applyFont="1" applyFill="1" applyBorder="1" applyAlignment="1">
      <alignment horizontal="center" vertical="center" textRotation="90" wrapText="1"/>
    </xf>
    <xf numFmtId="0" fontId="11" fillId="7" borderId="6" xfId="0" applyFont="1" applyFill="1" applyBorder="1" applyAlignment="1">
      <alignment horizontal="center" vertical="center" textRotation="90" wrapText="1"/>
    </xf>
    <xf numFmtId="0" fontId="11" fillId="7" borderId="4" xfId="0" applyFont="1" applyFill="1" applyBorder="1" applyAlignment="1">
      <alignment horizontal="center" vertical="center" textRotation="90" wrapText="1"/>
    </xf>
    <xf numFmtId="0" fontId="11" fillId="7" borderId="5" xfId="0" applyFont="1" applyFill="1" applyBorder="1" applyAlignment="1">
      <alignment horizontal="center" vertical="center" textRotation="90" wrapText="1"/>
    </xf>
    <xf numFmtId="0" fontId="0" fillId="0" borderId="13" xfId="0" applyBorder="1" applyAlignment="1">
      <alignment horizontal="left" vertical="center" wrapText="1" indent="1"/>
    </xf>
    <xf numFmtId="0" fontId="0" fillId="0" borderId="15" xfId="0" applyBorder="1" applyAlignment="1">
      <alignment horizontal="left" vertical="center" wrapText="1" indent="1"/>
    </xf>
    <xf numFmtId="0" fontId="0" fillId="0" borderId="14" xfId="0" applyBorder="1" applyAlignment="1">
      <alignment horizontal="left" vertical="center" wrapText="1" indent="1"/>
    </xf>
    <xf numFmtId="0" fontId="2" fillId="10" borderId="13" xfId="0" applyFont="1" applyFill="1" applyBorder="1" applyAlignment="1">
      <alignment horizontal="left" vertical="center" indent="1"/>
    </xf>
    <xf numFmtId="0" fontId="2" fillId="10" borderId="15" xfId="0" applyFont="1" applyFill="1" applyBorder="1" applyAlignment="1">
      <alignment horizontal="left" vertical="center" indent="1"/>
    </xf>
    <xf numFmtId="0" fontId="2" fillId="10" borderId="14" xfId="0" applyFont="1" applyFill="1" applyBorder="1" applyAlignment="1">
      <alignment horizontal="left" vertical="center" indent="1"/>
    </xf>
    <xf numFmtId="0" fontId="0" fillId="0" borderId="13" xfId="0" applyFont="1" applyBorder="1" applyAlignment="1">
      <alignment horizontal="left" vertical="center" wrapText="1" indent="1"/>
    </xf>
    <xf numFmtId="0" fontId="0" fillId="0" borderId="15" xfId="0" applyFont="1" applyBorder="1" applyAlignment="1">
      <alignment horizontal="left" vertical="center" wrapText="1" indent="1"/>
    </xf>
    <xf numFmtId="0" fontId="0" fillId="0" borderId="14" xfId="0" applyFont="1" applyBorder="1" applyAlignment="1">
      <alignment horizontal="left" vertical="center" wrapText="1" indent="1"/>
    </xf>
    <xf numFmtId="0" fontId="0" fillId="7" borderId="3" xfId="0" applyNumberFormat="1" applyFont="1" applyFill="1" applyBorder="1" applyAlignment="1">
      <alignment horizontal="left" vertical="center" wrapText="1" indent="1"/>
    </xf>
  </cellXfs>
  <cellStyles count="3">
    <cellStyle name="Lien hypertexte" xfId="2" builtinId="8"/>
    <cellStyle name="Normal" xfId="0" builtinId="0"/>
    <cellStyle name="Pourcentage" xfId="1" builtinId="5"/>
  </cellStyles>
  <dxfs count="0"/>
  <tableStyles count="0" defaultTableStyle="TableStyleMedium2" defaultPivotStyle="PivotStyleLight16"/>
  <colors>
    <mruColors>
      <color rgb="FF007B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compta-facile.com/charge-ou-immobilis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A700F-1115-4004-A89E-8350BF132DDA}">
  <dimension ref="A1:AK196"/>
  <sheetViews>
    <sheetView showGridLines="0" tabSelected="1" zoomScale="55" zoomScaleNormal="55" zoomScalePageLayoutView="55" workbookViewId="0">
      <pane xSplit="7" ySplit="10" topLeftCell="H92" activePane="bottomRight" state="frozen"/>
      <selection activeCell="B2" sqref="B2:D91"/>
      <selection pane="topRight" activeCell="B2" sqref="B2:D91"/>
      <selection pane="bottomLeft" activeCell="B2" sqref="B2:D91"/>
      <selection pane="bottomRight" activeCell="N5" sqref="N5"/>
    </sheetView>
  </sheetViews>
  <sheetFormatPr baseColWidth="10" defaultRowHeight="15" x14ac:dyDescent="0.25"/>
  <cols>
    <col min="1" max="1" width="6.140625" customWidth="1"/>
    <col min="2" max="2" width="22.42578125" style="45" customWidth="1"/>
    <col min="3" max="4" width="14" style="4" customWidth="1"/>
    <col min="5" max="5" width="5.85546875" style="71" customWidth="1"/>
    <col min="6" max="6" width="13.85546875" style="98" customWidth="1"/>
    <col min="7" max="7" width="62.42578125" style="13" customWidth="1"/>
    <col min="8" max="8" width="13.42578125" style="1" customWidth="1"/>
    <col min="9" max="17" width="12.140625" style="1" customWidth="1"/>
    <col min="18" max="18" width="12.140625" style="61" customWidth="1"/>
    <col min="19" max="37" width="12.140625" style="4" customWidth="1"/>
    <col min="38" max="16384" width="11.42578125" style="4"/>
  </cols>
  <sheetData>
    <row r="1" spans="1:37" ht="15" hidden="1" customHeight="1" x14ac:dyDescent="0.25">
      <c r="F1" s="4"/>
      <c r="H1" s="1">
        <v>1</v>
      </c>
      <c r="I1" s="1">
        <v>13</v>
      </c>
      <c r="J1" s="1">
        <v>25</v>
      </c>
      <c r="K1" s="1">
        <v>37</v>
      </c>
      <c r="L1" s="1">
        <v>49</v>
      </c>
      <c r="M1" s="1">
        <v>61</v>
      </c>
      <c r="N1" s="1">
        <v>73</v>
      </c>
      <c r="O1" s="1">
        <v>85</v>
      </c>
      <c r="P1" s="1">
        <v>97</v>
      </c>
      <c r="Q1" s="1">
        <v>109</v>
      </c>
      <c r="R1" s="2">
        <v>121</v>
      </c>
      <c r="S1" s="3">
        <v>133</v>
      </c>
      <c r="T1" s="3">
        <v>145</v>
      </c>
      <c r="U1" s="3">
        <v>157</v>
      </c>
      <c r="V1" s="3">
        <f>U1+12</f>
        <v>169</v>
      </c>
      <c r="W1" s="3">
        <f t="shared" ref="W1:AK1" si="0">V1+12</f>
        <v>181</v>
      </c>
      <c r="X1" s="3">
        <f t="shared" si="0"/>
        <v>193</v>
      </c>
      <c r="Y1" s="3">
        <f t="shared" si="0"/>
        <v>205</v>
      </c>
      <c r="Z1" s="3">
        <f t="shared" si="0"/>
        <v>217</v>
      </c>
      <c r="AA1" s="3">
        <f t="shared" si="0"/>
        <v>229</v>
      </c>
      <c r="AB1" s="3">
        <f t="shared" si="0"/>
        <v>241</v>
      </c>
      <c r="AC1" s="3">
        <f t="shared" si="0"/>
        <v>253</v>
      </c>
      <c r="AD1" s="3">
        <f t="shared" si="0"/>
        <v>265</v>
      </c>
      <c r="AE1" s="3">
        <f t="shared" si="0"/>
        <v>277</v>
      </c>
      <c r="AF1" s="3">
        <f t="shared" si="0"/>
        <v>289</v>
      </c>
      <c r="AG1" s="3">
        <f t="shared" si="0"/>
        <v>301</v>
      </c>
      <c r="AH1" s="3">
        <f t="shared" si="0"/>
        <v>313</v>
      </c>
      <c r="AI1" s="3">
        <f t="shared" si="0"/>
        <v>325</v>
      </c>
      <c r="AJ1" s="3">
        <f t="shared" si="0"/>
        <v>337</v>
      </c>
      <c r="AK1" s="3">
        <f t="shared" si="0"/>
        <v>349</v>
      </c>
    </row>
    <row r="2" spans="1:37" ht="15" hidden="1" customHeight="1" x14ac:dyDescent="0.25">
      <c r="F2" s="4"/>
      <c r="H2" s="1">
        <v>12</v>
      </c>
      <c r="I2" s="1">
        <v>24</v>
      </c>
      <c r="J2" s="1">
        <v>36</v>
      </c>
      <c r="K2" s="1">
        <v>48</v>
      </c>
      <c r="L2" s="1">
        <v>60</v>
      </c>
      <c r="M2" s="1">
        <v>72</v>
      </c>
      <c r="N2" s="1">
        <v>84</v>
      </c>
      <c r="O2" s="1">
        <v>96</v>
      </c>
      <c r="P2" s="1">
        <v>108</v>
      </c>
      <c r="Q2" s="1">
        <v>120</v>
      </c>
      <c r="R2" s="2">
        <f>Q2+12</f>
        <v>132</v>
      </c>
      <c r="S2" s="2">
        <f>R2+12</f>
        <v>144</v>
      </c>
      <c r="T2" s="2">
        <f>S2+12</f>
        <v>156</v>
      </c>
      <c r="U2" s="2">
        <f>T2+12</f>
        <v>168</v>
      </c>
      <c r="V2" s="3">
        <f>U2+12</f>
        <v>180</v>
      </c>
      <c r="W2" s="3">
        <f t="shared" ref="W2:AK2" si="1">V2+12</f>
        <v>192</v>
      </c>
      <c r="X2" s="3">
        <f t="shared" si="1"/>
        <v>204</v>
      </c>
      <c r="Y2" s="3">
        <f t="shared" si="1"/>
        <v>216</v>
      </c>
      <c r="Z2" s="3">
        <f t="shared" si="1"/>
        <v>228</v>
      </c>
      <c r="AA2" s="3">
        <f t="shared" si="1"/>
        <v>240</v>
      </c>
      <c r="AB2" s="3">
        <f t="shared" si="1"/>
        <v>252</v>
      </c>
      <c r="AC2" s="3">
        <f t="shared" si="1"/>
        <v>264</v>
      </c>
      <c r="AD2" s="3">
        <f t="shared" si="1"/>
        <v>276</v>
      </c>
      <c r="AE2" s="3">
        <f t="shared" si="1"/>
        <v>288</v>
      </c>
      <c r="AF2" s="3">
        <f t="shared" si="1"/>
        <v>300</v>
      </c>
      <c r="AG2" s="3">
        <f t="shared" si="1"/>
        <v>312</v>
      </c>
      <c r="AH2" s="3">
        <f t="shared" si="1"/>
        <v>324</v>
      </c>
      <c r="AI2" s="3">
        <f t="shared" si="1"/>
        <v>336</v>
      </c>
      <c r="AJ2" s="3">
        <f t="shared" si="1"/>
        <v>348</v>
      </c>
      <c r="AK2" s="3">
        <f t="shared" si="1"/>
        <v>360</v>
      </c>
    </row>
    <row r="3" spans="1:37" ht="12" customHeight="1" x14ac:dyDescent="0.25">
      <c r="F3" s="4"/>
      <c r="R3" s="2"/>
      <c r="S3" s="2"/>
      <c r="T3" s="2"/>
      <c r="U3" s="2"/>
      <c r="V3" s="3"/>
      <c r="W3" s="3"/>
      <c r="X3" s="3"/>
      <c r="Y3" s="3"/>
      <c r="Z3" s="3"/>
      <c r="AA3" s="3"/>
      <c r="AB3" s="3"/>
      <c r="AC3" s="3"/>
      <c r="AD3" s="3"/>
      <c r="AE3" s="3"/>
      <c r="AF3" s="3"/>
      <c r="AG3" s="3"/>
      <c r="AH3" s="3"/>
      <c r="AI3" s="3"/>
      <c r="AJ3" s="3"/>
      <c r="AK3" s="3"/>
    </row>
    <row r="4" spans="1:37" ht="37.5" customHeight="1" x14ac:dyDescent="0.25">
      <c r="B4" s="184" t="s">
        <v>320</v>
      </c>
      <c r="C4" s="185"/>
      <c r="D4" s="185"/>
      <c r="E4" s="185"/>
      <c r="F4" s="185"/>
      <c r="G4" s="186"/>
      <c r="R4" s="2"/>
      <c r="S4" s="2"/>
      <c r="T4" s="2"/>
      <c r="U4" s="2"/>
      <c r="V4" s="3"/>
      <c r="W4" s="3"/>
      <c r="X4" s="3"/>
      <c r="Y4" s="3"/>
      <c r="Z4" s="3"/>
      <c r="AA4" s="3"/>
      <c r="AB4" s="3"/>
      <c r="AC4" s="3"/>
      <c r="AD4" s="3"/>
      <c r="AE4" s="3"/>
      <c r="AF4" s="3"/>
      <c r="AG4" s="3"/>
      <c r="AH4" s="3"/>
      <c r="AI4" s="3"/>
      <c r="AJ4" s="3"/>
      <c r="AK4" s="3"/>
    </row>
    <row r="5" spans="1:37" ht="37.5" customHeight="1" x14ac:dyDescent="0.25">
      <c r="B5" s="187"/>
      <c r="C5" s="188"/>
      <c r="D5" s="188"/>
      <c r="E5" s="188"/>
      <c r="F5" s="188"/>
      <c r="G5" s="189"/>
      <c r="J5" s="113"/>
      <c r="R5" s="1"/>
      <c r="S5" s="1"/>
      <c r="T5" s="1"/>
      <c r="U5" s="1"/>
      <c r="V5" s="1"/>
      <c r="W5" s="1"/>
      <c r="X5" s="1"/>
      <c r="Y5" s="1"/>
      <c r="Z5" s="1"/>
      <c r="AA5" s="1"/>
      <c r="AB5" s="1"/>
      <c r="AC5" s="1"/>
      <c r="AD5" s="1"/>
      <c r="AE5" s="3"/>
      <c r="AF5" s="3"/>
      <c r="AG5" s="3"/>
      <c r="AH5" s="3"/>
      <c r="AI5" s="3"/>
      <c r="AJ5" s="3"/>
      <c r="AK5" s="3"/>
    </row>
    <row r="6" spans="1:37" ht="37.5" customHeight="1" x14ac:dyDescent="0.25">
      <c r="B6" s="190"/>
      <c r="C6" s="191"/>
      <c r="D6" s="191"/>
      <c r="E6" s="191"/>
      <c r="F6" s="191"/>
      <c r="G6" s="192"/>
      <c r="R6" s="2"/>
      <c r="S6" s="2"/>
      <c r="T6" s="2"/>
      <c r="U6" s="2"/>
      <c r="V6" s="3"/>
      <c r="W6" s="3"/>
      <c r="X6" s="3"/>
      <c r="Y6" s="3"/>
      <c r="Z6" s="3"/>
      <c r="AA6" s="3"/>
      <c r="AB6" s="3"/>
      <c r="AC6" s="3"/>
      <c r="AD6" s="3"/>
      <c r="AE6" s="3"/>
      <c r="AF6" s="3"/>
      <c r="AG6" s="3"/>
      <c r="AH6" s="3"/>
      <c r="AI6" s="3"/>
      <c r="AJ6" s="3"/>
      <c r="AK6" s="3"/>
    </row>
    <row r="7" spans="1:37" ht="4.5" customHeight="1" x14ac:dyDescent="0.25">
      <c r="B7" s="152"/>
      <c r="C7" s="152"/>
      <c r="D7" s="152"/>
      <c r="E7" s="152"/>
      <c r="F7" s="152"/>
      <c r="G7" s="153"/>
      <c r="R7" s="2"/>
      <c r="S7" s="2"/>
      <c r="T7" s="2"/>
      <c r="U7" s="2"/>
      <c r="V7" s="3"/>
      <c r="W7" s="3"/>
      <c r="X7" s="3"/>
      <c r="Y7" s="3"/>
      <c r="Z7" s="3"/>
      <c r="AA7" s="3"/>
      <c r="AB7" s="3"/>
      <c r="AC7" s="3"/>
      <c r="AD7" s="3"/>
      <c r="AE7" s="3"/>
      <c r="AF7" s="3"/>
      <c r="AG7" s="3"/>
      <c r="AH7" s="3"/>
      <c r="AI7" s="3"/>
      <c r="AJ7" s="3"/>
      <c r="AK7" s="3"/>
    </row>
    <row r="8" spans="1:37" s="53" customFormat="1" ht="30.75" customHeight="1" x14ac:dyDescent="0.25">
      <c r="A8" s="5"/>
      <c r="B8" s="106" t="s">
        <v>99</v>
      </c>
      <c r="E8" s="37"/>
      <c r="G8" s="157" t="s">
        <v>333</v>
      </c>
      <c r="H8" s="6"/>
      <c r="I8" s="6"/>
      <c r="J8" s="6"/>
      <c r="K8" s="6"/>
      <c r="L8" s="6"/>
      <c r="M8" s="6"/>
      <c r="N8" s="6"/>
      <c r="O8" s="6"/>
      <c r="P8" s="6"/>
      <c r="Q8" s="6"/>
      <c r="R8" s="24"/>
    </row>
    <row r="9" spans="1:37" s="53" customFormat="1" ht="4.5" customHeight="1" x14ac:dyDescent="0.25">
      <c r="A9" s="5"/>
      <c r="B9" s="106"/>
      <c r="E9" s="37"/>
      <c r="G9" s="154"/>
      <c r="H9" s="6"/>
      <c r="I9" s="6"/>
      <c r="J9" s="6"/>
      <c r="K9" s="6"/>
      <c r="L9" s="6"/>
      <c r="M9" s="6"/>
      <c r="N9" s="6"/>
      <c r="O9" s="6"/>
      <c r="P9" s="6"/>
      <c r="Q9" s="6"/>
      <c r="R9" s="24"/>
    </row>
    <row r="10" spans="1:37" s="53" customFormat="1" ht="27" customHeight="1" x14ac:dyDescent="0.25">
      <c r="A10" s="5"/>
      <c r="B10" s="99" t="s">
        <v>27</v>
      </c>
      <c r="C10" s="100" t="s">
        <v>28</v>
      </c>
      <c r="D10" s="101" t="s">
        <v>37</v>
      </c>
      <c r="E10" s="72"/>
      <c r="F10" s="102" t="s">
        <v>151</v>
      </c>
      <c r="G10" s="103" t="s">
        <v>26</v>
      </c>
      <c r="H10" s="104">
        <v>1</v>
      </c>
      <c r="I10" s="104">
        <v>2</v>
      </c>
      <c r="J10" s="104">
        <v>3</v>
      </c>
      <c r="K10" s="104">
        <v>4</v>
      </c>
      <c r="L10" s="104">
        <v>5</v>
      </c>
      <c r="M10" s="104">
        <v>6</v>
      </c>
      <c r="N10" s="104">
        <v>7</v>
      </c>
      <c r="O10" s="104">
        <v>8</v>
      </c>
      <c r="P10" s="104">
        <v>9</v>
      </c>
      <c r="Q10" s="104">
        <v>10</v>
      </c>
      <c r="R10" s="104">
        <v>11</v>
      </c>
      <c r="S10" s="104">
        <v>12</v>
      </c>
      <c r="T10" s="104">
        <v>13</v>
      </c>
      <c r="U10" s="104">
        <v>14</v>
      </c>
      <c r="V10" s="104">
        <v>15</v>
      </c>
      <c r="W10" s="104">
        <v>16</v>
      </c>
      <c r="X10" s="104">
        <v>17</v>
      </c>
      <c r="Y10" s="104">
        <v>18</v>
      </c>
      <c r="Z10" s="104">
        <v>19</v>
      </c>
      <c r="AA10" s="104">
        <v>20</v>
      </c>
      <c r="AB10" s="104">
        <v>21</v>
      </c>
      <c r="AC10" s="104">
        <v>22</v>
      </c>
      <c r="AD10" s="104">
        <v>23</v>
      </c>
      <c r="AE10" s="104">
        <v>24</v>
      </c>
      <c r="AF10" s="104">
        <v>25</v>
      </c>
      <c r="AG10" s="104">
        <v>26</v>
      </c>
      <c r="AH10" s="104">
        <v>27</v>
      </c>
      <c r="AI10" s="104">
        <v>28</v>
      </c>
      <c r="AJ10" s="104">
        <v>29</v>
      </c>
      <c r="AK10" s="105">
        <v>30</v>
      </c>
    </row>
    <row r="11" spans="1:37" s="74" customFormat="1" ht="38.25" customHeight="1" x14ac:dyDescent="0.25">
      <c r="A11" s="76"/>
      <c r="B11" s="46" t="s">
        <v>100</v>
      </c>
      <c r="C11" s="15">
        <v>220000</v>
      </c>
      <c r="D11" s="16" t="s">
        <v>51</v>
      </c>
      <c r="E11" s="72"/>
      <c r="G11" s="88"/>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row>
    <row r="12" spans="1:37" s="53" customFormat="1" ht="38.25" customHeight="1" x14ac:dyDescent="0.25">
      <c r="A12" s="5"/>
      <c r="B12" s="46" t="s">
        <v>169</v>
      </c>
      <c r="C12" s="15">
        <v>10000</v>
      </c>
      <c r="D12" s="16" t="s">
        <v>51</v>
      </c>
      <c r="E12" s="26"/>
      <c r="F12" s="155" t="s">
        <v>91</v>
      </c>
      <c r="G12" s="11" t="s">
        <v>58</v>
      </c>
      <c r="H12" s="91">
        <f t="shared" ref="H12:AK12" si="2">$C$23*$C$25*((1+$C$35)^(H$10-1))+H21</f>
        <v>18000</v>
      </c>
      <c r="I12" s="91">
        <f t="shared" si="2"/>
        <v>18180</v>
      </c>
      <c r="J12" s="91">
        <f t="shared" si="2"/>
        <v>18361.800000000003</v>
      </c>
      <c r="K12" s="91">
        <f t="shared" si="2"/>
        <v>18545.417999999998</v>
      </c>
      <c r="L12" s="91">
        <f t="shared" si="2"/>
        <v>18730.872180000002</v>
      </c>
      <c r="M12" s="91">
        <f t="shared" si="2"/>
        <v>18918.180901799999</v>
      </c>
      <c r="N12" s="91">
        <f t="shared" si="2"/>
        <v>19107.362710818004</v>
      </c>
      <c r="O12" s="91">
        <f t="shared" si="2"/>
        <v>19298.436337926178</v>
      </c>
      <c r="P12" s="91">
        <f t="shared" si="2"/>
        <v>19491.420701305444</v>
      </c>
      <c r="Q12" s="91">
        <f t="shared" si="2"/>
        <v>19686.334908318502</v>
      </c>
      <c r="R12" s="91">
        <f t="shared" si="2"/>
        <v>19883.198257401684</v>
      </c>
      <c r="S12" s="91">
        <f t="shared" si="2"/>
        <v>20082.030239975698</v>
      </c>
      <c r="T12" s="91">
        <f t="shared" si="2"/>
        <v>20282.850542375454</v>
      </c>
      <c r="U12" s="91">
        <f t="shared" si="2"/>
        <v>20485.679047799211</v>
      </c>
      <c r="V12" s="91">
        <f t="shared" si="2"/>
        <v>20690.535838277206</v>
      </c>
      <c r="W12" s="91">
        <f t="shared" si="2"/>
        <v>20897.441196659973</v>
      </c>
      <c r="X12" s="91">
        <f t="shared" si="2"/>
        <v>21106.415608626579</v>
      </c>
      <c r="Y12" s="91">
        <f t="shared" si="2"/>
        <v>21317.479764712843</v>
      </c>
      <c r="Z12" s="91">
        <f t="shared" si="2"/>
        <v>21530.654562359974</v>
      </c>
      <c r="AA12" s="91">
        <f t="shared" si="2"/>
        <v>21745.96110798357</v>
      </c>
      <c r="AB12" s="91">
        <f t="shared" si="2"/>
        <v>21963.420719063404</v>
      </c>
      <c r="AC12" s="91">
        <f t="shared" si="2"/>
        <v>22183.054926254041</v>
      </c>
      <c r="AD12" s="91">
        <f t="shared" si="2"/>
        <v>22404.885475516585</v>
      </c>
      <c r="AE12" s="91">
        <f t="shared" si="2"/>
        <v>22628.934330271746</v>
      </c>
      <c r="AF12" s="91">
        <f t="shared" si="2"/>
        <v>22855.223673574466</v>
      </c>
      <c r="AG12" s="91">
        <f t="shared" si="2"/>
        <v>23083.775910310214</v>
      </c>
      <c r="AH12" s="91">
        <f t="shared" si="2"/>
        <v>23314.61366941332</v>
      </c>
      <c r="AI12" s="91">
        <f t="shared" si="2"/>
        <v>23547.759806107442</v>
      </c>
      <c r="AJ12" s="91">
        <f t="shared" si="2"/>
        <v>23783.237404168522</v>
      </c>
      <c r="AK12" s="92">
        <f t="shared" si="2"/>
        <v>24021.069778210207</v>
      </c>
    </row>
    <row r="13" spans="1:37" s="74" customFormat="1" ht="38.25" customHeight="1" x14ac:dyDescent="0.25">
      <c r="A13" s="76"/>
      <c r="B13" s="90" t="s">
        <v>170</v>
      </c>
      <c r="C13" s="15">
        <v>10000</v>
      </c>
      <c r="D13" s="112" t="s">
        <v>51</v>
      </c>
      <c r="E13" s="26"/>
      <c r="F13" s="87"/>
      <c r="G13" s="54"/>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row>
    <row r="14" spans="1:37" s="53" customFormat="1" ht="38.25" customHeight="1" x14ac:dyDescent="0.25">
      <c r="A14" s="5"/>
      <c r="B14" s="46" t="s">
        <v>2</v>
      </c>
      <c r="C14" s="15">
        <v>5000</v>
      </c>
      <c r="D14" s="16" t="s">
        <v>51</v>
      </c>
      <c r="E14" s="26"/>
      <c r="F14" s="193" t="s">
        <v>101</v>
      </c>
      <c r="G14" s="44" t="s">
        <v>61</v>
      </c>
      <c r="H14" s="29">
        <f t="shared" ref="H14:AK14" si="3">IF(AND($C$18&lt;$C$39,H10&lt;=$C$17),CUMPRINC($C$19/12,$C$17*12,$C$40,H1,H2,0)*-1,0)</f>
        <v>8260.0791802365111</v>
      </c>
      <c r="I14" s="29">
        <f t="shared" si="3"/>
        <v>8376.4652124691911</v>
      </c>
      <c r="J14" s="29">
        <f t="shared" si="3"/>
        <v>8494.4911452649667</v>
      </c>
      <c r="K14" s="29">
        <f t="shared" si="3"/>
        <v>8614.1800851238586</v>
      </c>
      <c r="L14" s="29">
        <f t="shared" si="3"/>
        <v>8735.5554641207254</v>
      </c>
      <c r="M14" s="29">
        <f t="shared" si="3"/>
        <v>8858.6410444926569</v>
      </c>
      <c r="N14" s="29">
        <f t="shared" si="3"/>
        <v>8983.4609232910279</v>
      </c>
      <c r="O14" s="29">
        <f t="shared" si="3"/>
        <v>9110.03953709909</v>
      </c>
      <c r="P14" s="29">
        <f t="shared" si="3"/>
        <v>9238.4016668160421</v>
      </c>
      <c r="Q14" s="29">
        <f t="shared" si="3"/>
        <v>9368.5724425084991</v>
      </c>
      <c r="R14" s="29">
        <f t="shared" si="3"/>
        <v>9500.5773483303292</v>
      </c>
      <c r="S14" s="29">
        <f t="shared" si="3"/>
        <v>9634.4422275118141</v>
      </c>
      <c r="T14" s="29">
        <f t="shared" si="3"/>
        <v>9770.1932874190843</v>
      </c>
      <c r="U14" s="29">
        <f t="shared" si="3"/>
        <v>9907.8571046848792</v>
      </c>
      <c r="V14" s="29">
        <f t="shared" si="3"/>
        <v>10047.460630411571</v>
      </c>
      <c r="W14" s="29">
        <f t="shared" si="3"/>
        <v>10189.031195447507</v>
      </c>
      <c r="X14" s="29">
        <f t="shared" si="3"/>
        <v>10332.596515737716</v>
      </c>
      <c r="Y14" s="29">
        <f t="shared" si="3"/>
        <v>10478.184697749974</v>
      </c>
      <c r="Z14" s="29">
        <f t="shared" si="3"/>
        <v>10625.824243977349</v>
      </c>
      <c r="AA14" s="29">
        <f t="shared" si="3"/>
        <v>10775.544058518271</v>
      </c>
      <c r="AB14" s="29">
        <f t="shared" si="3"/>
        <v>10927.373452735224</v>
      </c>
      <c r="AC14" s="29">
        <f t="shared" si="3"/>
        <v>11081.342150993169</v>
      </c>
      <c r="AD14" s="29">
        <f t="shared" si="3"/>
        <v>11237.48029647883</v>
      </c>
      <c r="AE14" s="29">
        <f t="shared" si="3"/>
        <v>11395.818457101965</v>
      </c>
      <c r="AF14" s="29">
        <f t="shared" si="3"/>
        <v>11556.387631479791</v>
      </c>
      <c r="AG14" s="58">
        <f t="shared" si="3"/>
        <v>0</v>
      </c>
      <c r="AH14" s="58">
        <f t="shared" si="3"/>
        <v>0</v>
      </c>
      <c r="AI14" s="58">
        <f t="shared" si="3"/>
        <v>0</v>
      </c>
      <c r="AJ14" s="58">
        <f t="shared" si="3"/>
        <v>0</v>
      </c>
      <c r="AK14" s="59">
        <f t="shared" si="3"/>
        <v>0</v>
      </c>
    </row>
    <row r="15" spans="1:37" s="53" customFormat="1" ht="38.25" customHeight="1" x14ac:dyDescent="0.25">
      <c r="A15" s="5"/>
      <c r="B15" s="46" t="s">
        <v>3</v>
      </c>
      <c r="C15" s="22">
        <v>7.4999999999999997E-2</v>
      </c>
      <c r="D15" s="23" t="s">
        <v>40</v>
      </c>
      <c r="E15" s="26"/>
      <c r="F15" s="194"/>
      <c r="G15" s="42" t="s">
        <v>60</v>
      </c>
      <c r="H15" s="19">
        <f t="shared" ref="H15:AK15" si="4">IF(H10=1,H14,IF(AND(H10&lt;&gt;1,H10&lt;=$C$17),H14+G15,0))</f>
        <v>8260.0791802365111</v>
      </c>
      <c r="I15" s="19">
        <f t="shared" si="4"/>
        <v>16636.544392705702</v>
      </c>
      <c r="J15" s="19">
        <f t="shared" si="4"/>
        <v>25131.035537970667</v>
      </c>
      <c r="K15" s="19">
        <f t="shared" si="4"/>
        <v>33745.215623094526</v>
      </c>
      <c r="L15" s="19">
        <f t="shared" si="4"/>
        <v>42480.771087215253</v>
      </c>
      <c r="M15" s="19">
        <f t="shared" si="4"/>
        <v>51339.412131707912</v>
      </c>
      <c r="N15" s="19">
        <f t="shared" si="4"/>
        <v>60322.873054998941</v>
      </c>
      <c r="O15" s="19">
        <f t="shared" si="4"/>
        <v>69432.91259209803</v>
      </c>
      <c r="P15" s="19">
        <f t="shared" si="4"/>
        <v>78671.314258914077</v>
      </c>
      <c r="Q15" s="19">
        <f t="shared" si="4"/>
        <v>88039.886701422569</v>
      </c>
      <c r="R15" s="19">
        <f t="shared" si="4"/>
        <v>97540.464049752904</v>
      </c>
      <c r="S15" s="19">
        <f t="shared" si="4"/>
        <v>107174.90627726472</v>
      </c>
      <c r="T15" s="19">
        <f t="shared" si="4"/>
        <v>116945.0995646838</v>
      </c>
      <c r="U15" s="19">
        <f t="shared" si="4"/>
        <v>126852.95666936868</v>
      </c>
      <c r="V15" s="19">
        <f t="shared" si="4"/>
        <v>136900.41729978024</v>
      </c>
      <c r="W15" s="19">
        <f t="shared" si="4"/>
        <v>147089.44849522776</v>
      </c>
      <c r="X15" s="19">
        <f t="shared" si="4"/>
        <v>157422.04501096546</v>
      </c>
      <c r="Y15" s="19">
        <f t="shared" si="4"/>
        <v>167900.22970871543</v>
      </c>
      <c r="Z15" s="19">
        <f t="shared" si="4"/>
        <v>178526.05395269278</v>
      </c>
      <c r="AA15" s="19">
        <f t="shared" si="4"/>
        <v>189301.59801121106</v>
      </c>
      <c r="AB15" s="19">
        <f t="shared" si="4"/>
        <v>200228.97146394628</v>
      </c>
      <c r="AC15" s="19">
        <f t="shared" si="4"/>
        <v>211310.31361493946</v>
      </c>
      <c r="AD15" s="19">
        <f t="shared" si="4"/>
        <v>222547.7939114183</v>
      </c>
      <c r="AE15" s="19">
        <f t="shared" si="4"/>
        <v>233943.61236852026</v>
      </c>
      <c r="AF15" s="19">
        <f t="shared" si="4"/>
        <v>245500.00000000006</v>
      </c>
      <c r="AG15" s="20">
        <f t="shared" si="4"/>
        <v>0</v>
      </c>
      <c r="AH15" s="20">
        <f t="shared" si="4"/>
        <v>0</v>
      </c>
      <c r="AI15" s="20">
        <f t="shared" si="4"/>
        <v>0</v>
      </c>
      <c r="AJ15" s="20">
        <f t="shared" si="4"/>
        <v>0</v>
      </c>
      <c r="AK15" s="21">
        <f t="shared" si="4"/>
        <v>0</v>
      </c>
    </row>
    <row r="16" spans="1:37" s="53" customFormat="1" ht="38.25" customHeight="1" x14ac:dyDescent="0.25">
      <c r="A16" s="5"/>
      <c r="B16" s="46" t="s">
        <v>4</v>
      </c>
      <c r="C16" s="15">
        <v>10000</v>
      </c>
      <c r="D16" s="16" t="s">
        <v>51</v>
      </c>
      <c r="E16" s="73"/>
      <c r="F16" s="194"/>
      <c r="G16" s="42" t="s">
        <v>98</v>
      </c>
      <c r="H16" s="19">
        <f t="shared" ref="H16:AK16" si="5">IF(H10&lt;=$C$17,$C$40-H15,0)</f>
        <v>237239.9208197635</v>
      </c>
      <c r="I16" s="15">
        <f t="shared" si="5"/>
        <v>228863.45560729431</v>
      </c>
      <c r="J16" s="15">
        <f t="shared" si="5"/>
        <v>220368.96446202934</v>
      </c>
      <c r="K16" s="15">
        <f t="shared" si="5"/>
        <v>211754.78437690547</v>
      </c>
      <c r="L16" s="15">
        <f t="shared" si="5"/>
        <v>203019.22891278475</v>
      </c>
      <c r="M16" s="15">
        <f t="shared" si="5"/>
        <v>194160.58786829209</v>
      </c>
      <c r="N16" s="15">
        <f t="shared" si="5"/>
        <v>185177.12694500107</v>
      </c>
      <c r="O16" s="15">
        <f t="shared" si="5"/>
        <v>176067.08740790197</v>
      </c>
      <c r="P16" s="15">
        <f t="shared" si="5"/>
        <v>166828.68574108591</v>
      </c>
      <c r="Q16" s="15">
        <f>IF(Q10&lt;=$C$17,$C$40-Q15,0)</f>
        <v>157460.11329857743</v>
      </c>
      <c r="R16" s="15">
        <f t="shared" si="5"/>
        <v>147959.53595024708</v>
      </c>
      <c r="S16" s="15">
        <f t="shared" si="5"/>
        <v>138325.0937227353</v>
      </c>
      <c r="T16" s="19">
        <f t="shared" si="5"/>
        <v>128554.9004353162</v>
      </c>
      <c r="U16" s="15">
        <f t="shared" si="5"/>
        <v>118647.04333063132</v>
      </c>
      <c r="V16" s="15">
        <f t="shared" si="5"/>
        <v>108599.58270021976</v>
      </c>
      <c r="W16" s="15">
        <f t="shared" si="5"/>
        <v>98410.551504772244</v>
      </c>
      <c r="X16" s="15">
        <f t="shared" si="5"/>
        <v>88077.954989034537</v>
      </c>
      <c r="Y16" s="15">
        <f t="shared" si="5"/>
        <v>77599.770291284571</v>
      </c>
      <c r="Z16" s="15">
        <f t="shared" si="5"/>
        <v>66973.946047307225</v>
      </c>
      <c r="AA16" s="15">
        <f t="shared" si="5"/>
        <v>56198.401988788944</v>
      </c>
      <c r="AB16" s="15">
        <f t="shared" si="5"/>
        <v>45271.028536053724</v>
      </c>
      <c r="AC16" s="15">
        <f t="shared" si="5"/>
        <v>34189.686385060544</v>
      </c>
      <c r="AD16" s="15">
        <f t="shared" si="5"/>
        <v>22952.206088581705</v>
      </c>
      <c r="AE16" s="15">
        <f t="shared" si="5"/>
        <v>11556.387631479738</v>
      </c>
      <c r="AF16" s="15">
        <f t="shared" si="5"/>
        <v>-5.8207660913467407E-11</v>
      </c>
      <c r="AG16" s="15">
        <f t="shared" si="5"/>
        <v>0</v>
      </c>
      <c r="AH16" s="15">
        <f t="shared" si="5"/>
        <v>0</v>
      </c>
      <c r="AI16" s="15">
        <f t="shared" si="5"/>
        <v>0</v>
      </c>
      <c r="AJ16" s="15">
        <f t="shared" si="5"/>
        <v>0</v>
      </c>
      <c r="AK16" s="16">
        <f t="shared" si="5"/>
        <v>0</v>
      </c>
    </row>
    <row r="17" spans="1:37" s="53" customFormat="1" ht="38.25" customHeight="1" x14ac:dyDescent="0.25">
      <c r="A17" s="5"/>
      <c r="B17" s="46" t="s">
        <v>5</v>
      </c>
      <c r="C17" s="24">
        <v>25</v>
      </c>
      <c r="D17" s="25" t="s">
        <v>38</v>
      </c>
      <c r="E17" s="26"/>
      <c r="F17" s="194"/>
      <c r="G17" s="41" t="s">
        <v>59</v>
      </c>
      <c r="H17" s="19">
        <f t="shared" ref="H17:AK17" si="6">IF(AND($C$18&lt;$C$39,H10&lt;=$C$17),CUMIPMT($C$19/12,$C$17*12,$C$40,H1,H2,0)*-1,0)</f>
        <v>3384.1317244467646</v>
      </c>
      <c r="I17" s="19">
        <f t="shared" si="6"/>
        <v>3267.7456922140846</v>
      </c>
      <c r="J17" s="19">
        <f t="shared" si="6"/>
        <v>3149.719759418309</v>
      </c>
      <c r="K17" s="19">
        <f t="shared" si="6"/>
        <v>3030.0308195594171</v>
      </c>
      <c r="L17" s="19">
        <f t="shared" si="6"/>
        <v>2908.6554405625502</v>
      </c>
      <c r="M17" s="19">
        <f t="shared" si="6"/>
        <v>2785.5698601906188</v>
      </c>
      <c r="N17" s="19">
        <f t="shared" si="6"/>
        <v>2660.7499813922477</v>
      </c>
      <c r="O17" s="19">
        <f t="shared" si="6"/>
        <v>2534.1713675841856</v>
      </c>
      <c r="P17" s="19">
        <f t="shared" si="6"/>
        <v>2405.8092378672336</v>
      </c>
      <c r="Q17" s="19">
        <f t="shared" si="6"/>
        <v>2275.6384621747766</v>
      </c>
      <c r="R17" s="19">
        <f t="shared" si="6"/>
        <v>2143.6335563529465</v>
      </c>
      <c r="S17" s="19">
        <f t="shared" si="6"/>
        <v>2009.7686771714616</v>
      </c>
      <c r="T17" s="19">
        <f t="shared" si="6"/>
        <v>1874.0176172641914</v>
      </c>
      <c r="U17" s="19">
        <f t="shared" si="6"/>
        <v>1736.3537999983964</v>
      </c>
      <c r="V17" s="19">
        <f t="shared" si="6"/>
        <v>1596.7502742717043</v>
      </c>
      <c r="W17" s="19">
        <f t="shared" si="6"/>
        <v>1455.1797092357683</v>
      </c>
      <c r="X17" s="19">
        <f t="shared" si="6"/>
        <v>1311.6143889455598</v>
      </c>
      <c r="Y17" s="19">
        <f t="shared" si="6"/>
        <v>1166.0262069333021</v>
      </c>
      <c r="Z17" s="19">
        <f t="shared" si="6"/>
        <v>1018.3866607059263</v>
      </c>
      <c r="AA17" s="19">
        <f t="shared" si="6"/>
        <v>868.66684616500424</v>
      </c>
      <c r="AB17" s="19">
        <f t="shared" si="6"/>
        <v>716.83745194805124</v>
      </c>
      <c r="AC17" s="19">
        <f t="shared" si="6"/>
        <v>562.86875369010704</v>
      </c>
      <c r="AD17" s="19">
        <f t="shared" si="6"/>
        <v>406.73060820444516</v>
      </c>
      <c r="AE17" s="19">
        <f t="shared" si="6"/>
        <v>248.39244758131099</v>
      </c>
      <c r="AF17" s="19">
        <f t="shared" si="6"/>
        <v>87.82327320348486</v>
      </c>
      <c r="AG17" s="20">
        <f t="shared" si="6"/>
        <v>0</v>
      </c>
      <c r="AH17" s="20">
        <f t="shared" si="6"/>
        <v>0</v>
      </c>
      <c r="AI17" s="20">
        <f t="shared" si="6"/>
        <v>0</v>
      </c>
      <c r="AJ17" s="20">
        <f t="shared" si="6"/>
        <v>0</v>
      </c>
      <c r="AK17" s="21">
        <f t="shared" si="6"/>
        <v>0</v>
      </c>
    </row>
    <row r="18" spans="1:37" s="53" customFormat="1" ht="38.25" customHeight="1" x14ac:dyDescent="0.25">
      <c r="A18" s="5"/>
      <c r="B18" s="46" t="s">
        <v>6</v>
      </c>
      <c r="C18" s="26">
        <v>20000</v>
      </c>
      <c r="D18" s="16" t="s">
        <v>51</v>
      </c>
      <c r="E18" s="74"/>
      <c r="F18" s="194"/>
      <c r="G18" s="41" t="s">
        <v>62</v>
      </c>
      <c r="H18" s="19">
        <f t="shared" ref="H18:AK18" si="7">IF(AND($C$18&lt;$C$39,H10&lt;=$C$17),$C$40*$C$20,0)</f>
        <v>245.5</v>
      </c>
      <c r="I18" s="19">
        <f t="shared" si="7"/>
        <v>245.5</v>
      </c>
      <c r="J18" s="19">
        <f t="shared" si="7"/>
        <v>245.5</v>
      </c>
      <c r="K18" s="19">
        <f t="shared" si="7"/>
        <v>245.5</v>
      </c>
      <c r="L18" s="19">
        <f t="shared" si="7"/>
        <v>245.5</v>
      </c>
      <c r="M18" s="19">
        <f t="shared" si="7"/>
        <v>245.5</v>
      </c>
      <c r="N18" s="19">
        <f t="shared" si="7"/>
        <v>245.5</v>
      </c>
      <c r="O18" s="19">
        <f t="shared" si="7"/>
        <v>245.5</v>
      </c>
      <c r="P18" s="19">
        <f t="shared" si="7"/>
        <v>245.5</v>
      </c>
      <c r="Q18" s="19">
        <f t="shared" si="7"/>
        <v>245.5</v>
      </c>
      <c r="R18" s="19">
        <f t="shared" si="7"/>
        <v>245.5</v>
      </c>
      <c r="S18" s="19">
        <f t="shared" si="7"/>
        <v>245.5</v>
      </c>
      <c r="T18" s="19">
        <f t="shared" si="7"/>
        <v>245.5</v>
      </c>
      <c r="U18" s="19">
        <f t="shared" si="7"/>
        <v>245.5</v>
      </c>
      <c r="V18" s="19">
        <f t="shared" si="7"/>
        <v>245.5</v>
      </c>
      <c r="W18" s="19">
        <f t="shared" si="7"/>
        <v>245.5</v>
      </c>
      <c r="X18" s="19">
        <f t="shared" si="7"/>
        <v>245.5</v>
      </c>
      <c r="Y18" s="19">
        <f t="shared" si="7"/>
        <v>245.5</v>
      </c>
      <c r="Z18" s="19">
        <f t="shared" si="7"/>
        <v>245.5</v>
      </c>
      <c r="AA18" s="19">
        <f t="shared" si="7"/>
        <v>245.5</v>
      </c>
      <c r="AB18" s="19">
        <f t="shared" si="7"/>
        <v>245.5</v>
      </c>
      <c r="AC18" s="19">
        <f t="shared" si="7"/>
        <v>245.5</v>
      </c>
      <c r="AD18" s="19">
        <f t="shared" si="7"/>
        <v>245.5</v>
      </c>
      <c r="AE18" s="19">
        <f t="shared" si="7"/>
        <v>245.5</v>
      </c>
      <c r="AF18" s="19">
        <f t="shared" si="7"/>
        <v>245.5</v>
      </c>
      <c r="AG18" s="20">
        <f t="shared" si="7"/>
        <v>0</v>
      </c>
      <c r="AH18" s="20">
        <f t="shared" si="7"/>
        <v>0</v>
      </c>
      <c r="AI18" s="20">
        <f t="shared" si="7"/>
        <v>0</v>
      </c>
      <c r="AJ18" s="20">
        <f t="shared" si="7"/>
        <v>0</v>
      </c>
      <c r="AK18" s="21">
        <f t="shared" si="7"/>
        <v>0</v>
      </c>
    </row>
    <row r="19" spans="1:37" s="53" customFormat="1" ht="38.25" customHeight="1" x14ac:dyDescent="0.25">
      <c r="A19" s="5"/>
      <c r="B19" s="46" t="s">
        <v>7</v>
      </c>
      <c r="C19" s="28">
        <v>1.4E-2</v>
      </c>
      <c r="D19" s="23" t="s">
        <v>40</v>
      </c>
      <c r="E19" s="26"/>
      <c r="F19" s="195"/>
      <c r="G19" s="43" t="s">
        <v>75</v>
      </c>
      <c r="H19" s="17">
        <f>SUM(H17:H18)</f>
        <v>3629.6317244467646</v>
      </c>
      <c r="I19" s="17">
        <f t="shared" ref="I19:Q19" si="8">SUM(I17:I18)</f>
        <v>3513.2456922140846</v>
      </c>
      <c r="J19" s="17">
        <f t="shared" si="8"/>
        <v>3395.219759418309</v>
      </c>
      <c r="K19" s="17">
        <f t="shared" si="8"/>
        <v>3275.5308195594171</v>
      </c>
      <c r="L19" s="17">
        <f t="shared" si="8"/>
        <v>3154.1554405625502</v>
      </c>
      <c r="M19" s="17">
        <f t="shared" si="8"/>
        <v>3031.0698601906188</v>
      </c>
      <c r="N19" s="17">
        <f t="shared" si="8"/>
        <v>2906.2499813922477</v>
      </c>
      <c r="O19" s="17">
        <f t="shared" si="8"/>
        <v>2779.6713675841856</v>
      </c>
      <c r="P19" s="17">
        <f t="shared" si="8"/>
        <v>2651.3092378672336</v>
      </c>
      <c r="Q19" s="17">
        <f t="shared" si="8"/>
        <v>2521.1384621747766</v>
      </c>
      <c r="R19" s="17">
        <f t="shared" ref="R19:AK19" si="9">SUM(R17:R18)</f>
        <v>2389.1335563529465</v>
      </c>
      <c r="S19" s="17">
        <f t="shared" si="9"/>
        <v>2255.2686771714616</v>
      </c>
      <c r="T19" s="17">
        <f t="shared" si="9"/>
        <v>2119.5176172641914</v>
      </c>
      <c r="U19" s="17">
        <f t="shared" si="9"/>
        <v>1981.8537999983964</v>
      </c>
      <c r="V19" s="17">
        <f t="shared" si="9"/>
        <v>1842.2502742717043</v>
      </c>
      <c r="W19" s="17">
        <f t="shared" si="9"/>
        <v>1700.6797092357683</v>
      </c>
      <c r="X19" s="17">
        <f t="shared" si="9"/>
        <v>1557.1143889455598</v>
      </c>
      <c r="Y19" s="17">
        <f t="shared" si="9"/>
        <v>1411.5262069333021</v>
      </c>
      <c r="Z19" s="17">
        <f t="shared" si="9"/>
        <v>1263.8866607059263</v>
      </c>
      <c r="AA19" s="17">
        <f t="shared" si="9"/>
        <v>1114.1668461650042</v>
      </c>
      <c r="AB19" s="17">
        <f t="shared" si="9"/>
        <v>962.33745194805124</v>
      </c>
      <c r="AC19" s="17">
        <f t="shared" si="9"/>
        <v>808.36875369010704</v>
      </c>
      <c r="AD19" s="17">
        <f t="shared" si="9"/>
        <v>652.23060820444516</v>
      </c>
      <c r="AE19" s="17">
        <f t="shared" si="9"/>
        <v>493.89244758131099</v>
      </c>
      <c r="AF19" s="17">
        <f t="shared" si="9"/>
        <v>333.32327320348486</v>
      </c>
      <c r="AG19" s="17">
        <f t="shared" si="9"/>
        <v>0</v>
      </c>
      <c r="AH19" s="17">
        <f t="shared" si="9"/>
        <v>0</v>
      </c>
      <c r="AI19" s="17">
        <f t="shared" si="9"/>
        <v>0</v>
      </c>
      <c r="AJ19" s="17">
        <f t="shared" si="9"/>
        <v>0</v>
      </c>
      <c r="AK19" s="18">
        <f t="shared" si="9"/>
        <v>0</v>
      </c>
    </row>
    <row r="20" spans="1:37" s="74" customFormat="1" ht="38.25" customHeight="1" x14ac:dyDescent="0.25">
      <c r="A20" s="76"/>
      <c r="B20" s="46" t="s">
        <v>8</v>
      </c>
      <c r="C20" s="22">
        <v>1E-3</v>
      </c>
      <c r="D20" s="23" t="s">
        <v>40</v>
      </c>
      <c r="E20" s="26"/>
      <c r="F20" s="86"/>
      <c r="G20" s="54"/>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row>
    <row r="21" spans="1:37" s="53" customFormat="1" ht="38.25" customHeight="1" x14ac:dyDescent="0.25">
      <c r="A21" s="5"/>
      <c r="B21" s="46" t="s">
        <v>9</v>
      </c>
      <c r="C21" s="15">
        <v>3000</v>
      </c>
      <c r="D21" s="16" t="s">
        <v>51</v>
      </c>
      <c r="E21" s="73"/>
      <c r="F21" s="196" t="s">
        <v>102</v>
      </c>
      <c r="G21" s="44" t="s">
        <v>63</v>
      </c>
      <c r="H21" s="29">
        <f t="shared" ref="H21:AK21" si="10">$C$24*((1+$C$35)^(H$10-1))</f>
        <v>1500</v>
      </c>
      <c r="I21" s="29">
        <f t="shared" si="10"/>
        <v>1515</v>
      </c>
      <c r="J21" s="29">
        <f t="shared" si="10"/>
        <v>1530.15</v>
      </c>
      <c r="K21" s="29">
        <f t="shared" si="10"/>
        <v>1545.4514999999999</v>
      </c>
      <c r="L21" s="29">
        <f t="shared" si="10"/>
        <v>1560.906015</v>
      </c>
      <c r="M21" s="29">
        <f t="shared" si="10"/>
        <v>1576.5150751499998</v>
      </c>
      <c r="N21" s="29">
        <f t="shared" si="10"/>
        <v>1592.2802259015002</v>
      </c>
      <c r="O21" s="29">
        <f t="shared" si="10"/>
        <v>1608.2030281605148</v>
      </c>
      <c r="P21" s="29">
        <f t="shared" si="10"/>
        <v>1624.2850584421203</v>
      </c>
      <c r="Q21" s="29">
        <f t="shared" si="10"/>
        <v>1640.5279090265417</v>
      </c>
      <c r="R21" s="29">
        <f t="shared" si="10"/>
        <v>1656.9331881168071</v>
      </c>
      <c r="S21" s="29">
        <f t="shared" si="10"/>
        <v>1673.5025199979748</v>
      </c>
      <c r="T21" s="29">
        <f t="shared" si="10"/>
        <v>1690.2375451979547</v>
      </c>
      <c r="U21" s="29">
        <f t="shared" si="10"/>
        <v>1707.1399206499343</v>
      </c>
      <c r="V21" s="29">
        <f t="shared" si="10"/>
        <v>1724.2113198564339</v>
      </c>
      <c r="W21" s="29">
        <f t="shared" si="10"/>
        <v>1741.4534330549977</v>
      </c>
      <c r="X21" s="29">
        <f t="shared" si="10"/>
        <v>1758.8679673855481</v>
      </c>
      <c r="Y21" s="29">
        <f t="shared" si="10"/>
        <v>1776.4566470594038</v>
      </c>
      <c r="Z21" s="29">
        <f t="shared" si="10"/>
        <v>1794.2212135299978</v>
      </c>
      <c r="AA21" s="29">
        <f t="shared" si="10"/>
        <v>1812.1634256652974</v>
      </c>
      <c r="AB21" s="29">
        <f t="shared" si="10"/>
        <v>1830.2850599219505</v>
      </c>
      <c r="AC21" s="29">
        <f t="shared" si="10"/>
        <v>1848.58791052117</v>
      </c>
      <c r="AD21" s="29">
        <f t="shared" si="10"/>
        <v>1867.073789626382</v>
      </c>
      <c r="AE21" s="29">
        <f t="shared" si="10"/>
        <v>1885.7445275226455</v>
      </c>
      <c r="AF21" s="29">
        <f t="shared" si="10"/>
        <v>1904.6019727978726</v>
      </c>
      <c r="AG21" s="29">
        <f t="shared" si="10"/>
        <v>1923.6479925258514</v>
      </c>
      <c r="AH21" s="29">
        <f t="shared" si="10"/>
        <v>1942.8844724511098</v>
      </c>
      <c r="AI21" s="29">
        <f t="shared" si="10"/>
        <v>1962.3133171756203</v>
      </c>
      <c r="AJ21" s="29">
        <f t="shared" si="10"/>
        <v>1981.9364503473766</v>
      </c>
      <c r="AK21" s="30">
        <f t="shared" si="10"/>
        <v>2001.7558148508506</v>
      </c>
    </row>
    <row r="22" spans="1:37" s="53" customFormat="1" ht="38.25" customHeight="1" x14ac:dyDescent="0.25">
      <c r="A22" s="5"/>
      <c r="B22" s="46" t="s">
        <v>10</v>
      </c>
      <c r="C22" s="15">
        <v>1000</v>
      </c>
      <c r="D22" s="16" t="s">
        <v>51</v>
      </c>
      <c r="E22" s="73"/>
      <c r="F22" s="194"/>
      <c r="G22" s="41" t="s">
        <v>64</v>
      </c>
      <c r="H22" s="19">
        <f t="shared" ref="H22:AK22" si="11">$C$27*((1+$C$35)^(H$10-1))</f>
        <v>0</v>
      </c>
      <c r="I22" s="19">
        <f t="shared" si="11"/>
        <v>0</v>
      </c>
      <c r="J22" s="19">
        <f t="shared" si="11"/>
        <v>0</v>
      </c>
      <c r="K22" s="19">
        <f t="shared" si="11"/>
        <v>0</v>
      </c>
      <c r="L22" s="19">
        <f t="shared" si="11"/>
        <v>0</v>
      </c>
      <c r="M22" s="19">
        <f t="shared" si="11"/>
        <v>0</v>
      </c>
      <c r="N22" s="19">
        <f t="shared" si="11"/>
        <v>0</v>
      </c>
      <c r="O22" s="19">
        <f t="shared" si="11"/>
        <v>0</v>
      </c>
      <c r="P22" s="19">
        <f t="shared" si="11"/>
        <v>0</v>
      </c>
      <c r="Q22" s="19">
        <f t="shared" si="11"/>
        <v>0</v>
      </c>
      <c r="R22" s="19">
        <f t="shared" si="11"/>
        <v>0</v>
      </c>
      <c r="S22" s="19">
        <f t="shared" si="11"/>
        <v>0</v>
      </c>
      <c r="T22" s="19">
        <f t="shared" si="11"/>
        <v>0</v>
      </c>
      <c r="U22" s="19">
        <f t="shared" si="11"/>
        <v>0</v>
      </c>
      <c r="V22" s="19">
        <f t="shared" si="11"/>
        <v>0</v>
      </c>
      <c r="W22" s="19">
        <f t="shared" si="11"/>
        <v>0</v>
      </c>
      <c r="X22" s="19">
        <f t="shared" si="11"/>
        <v>0</v>
      </c>
      <c r="Y22" s="19">
        <f t="shared" si="11"/>
        <v>0</v>
      </c>
      <c r="Z22" s="19">
        <f t="shared" si="11"/>
        <v>0</v>
      </c>
      <c r="AA22" s="19">
        <f t="shared" si="11"/>
        <v>0</v>
      </c>
      <c r="AB22" s="19">
        <f t="shared" si="11"/>
        <v>0</v>
      </c>
      <c r="AC22" s="19">
        <f t="shared" si="11"/>
        <v>0</v>
      </c>
      <c r="AD22" s="19">
        <f t="shared" si="11"/>
        <v>0</v>
      </c>
      <c r="AE22" s="19">
        <f t="shared" si="11"/>
        <v>0</v>
      </c>
      <c r="AF22" s="19">
        <f t="shared" si="11"/>
        <v>0</v>
      </c>
      <c r="AG22" s="19">
        <f t="shared" si="11"/>
        <v>0</v>
      </c>
      <c r="AH22" s="19">
        <f t="shared" si="11"/>
        <v>0</v>
      </c>
      <c r="AI22" s="19">
        <f t="shared" si="11"/>
        <v>0</v>
      </c>
      <c r="AJ22" s="19">
        <f t="shared" si="11"/>
        <v>0</v>
      </c>
      <c r="AK22" s="27">
        <f t="shared" si="11"/>
        <v>0</v>
      </c>
    </row>
    <row r="23" spans="1:37" s="53" customFormat="1" ht="38.25" customHeight="1" x14ac:dyDescent="0.25">
      <c r="A23" s="5"/>
      <c r="B23" s="46" t="s">
        <v>0</v>
      </c>
      <c r="C23" s="15">
        <v>1500</v>
      </c>
      <c r="D23" s="16" t="s">
        <v>51</v>
      </c>
      <c r="E23" s="26"/>
      <c r="F23" s="194"/>
      <c r="G23" s="41" t="s">
        <v>65</v>
      </c>
      <c r="H23" s="19">
        <f t="shared" ref="H23:AK23" si="12">$C$28*((1+$C$35)^(H$10-1))</f>
        <v>2500</v>
      </c>
      <c r="I23" s="19">
        <f t="shared" si="12"/>
        <v>2525</v>
      </c>
      <c r="J23" s="19">
        <f t="shared" si="12"/>
        <v>2550.25</v>
      </c>
      <c r="K23" s="19">
        <f t="shared" si="12"/>
        <v>2575.7524999999996</v>
      </c>
      <c r="L23" s="19">
        <f t="shared" si="12"/>
        <v>2601.510025</v>
      </c>
      <c r="M23" s="19">
        <f t="shared" si="12"/>
        <v>2627.5251252499997</v>
      </c>
      <c r="N23" s="19">
        <f t="shared" si="12"/>
        <v>2653.8003765025005</v>
      </c>
      <c r="O23" s="19">
        <f t="shared" si="12"/>
        <v>2680.3383802675244</v>
      </c>
      <c r="P23" s="19">
        <f t="shared" si="12"/>
        <v>2707.1417640702007</v>
      </c>
      <c r="Q23" s="19">
        <f t="shared" si="12"/>
        <v>2734.213181710903</v>
      </c>
      <c r="R23" s="19">
        <f t="shared" si="12"/>
        <v>2761.555313528012</v>
      </c>
      <c r="S23" s="19">
        <f t="shared" si="12"/>
        <v>2789.1708666632912</v>
      </c>
      <c r="T23" s="19">
        <f t="shared" si="12"/>
        <v>2817.0625753299246</v>
      </c>
      <c r="U23" s="19">
        <f t="shared" si="12"/>
        <v>2845.2332010832238</v>
      </c>
      <c r="V23" s="19">
        <f t="shared" si="12"/>
        <v>2873.6855330940566</v>
      </c>
      <c r="W23" s="19">
        <f t="shared" si="12"/>
        <v>2902.4223884249959</v>
      </c>
      <c r="X23" s="19">
        <f t="shared" si="12"/>
        <v>2931.446612309247</v>
      </c>
      <c r="Y23" s="19">
        <f t="shared" si="12"/>
        <v>2960.7610784323397</v>
      </c>
      <c r="Z23" s="19">
        <f t="shared" si="12"/>
        <v>2990.3686892166629</v>
      </c>
      <c r="AA23" s="19">
        <f t="shared" si="12"/>
        <v>3020.2723761088291</v>
      </c>
      <c r="AB23" s="19">
        <f t="shared" si="12"/>
        <v>3050.4750998699178</v>
      </c>
      <c r="AC23" s="19">
        <f t="shared" si="12"/>
        <v>3080.9798508686163</v>
      </c>
      <c r="AD23" s="19">
        <f t="shared" si="12"/>
        <v>3111.7896493773032</v>
      </c>
      <c r="AE23" s="19">
        <f t="shared" si="12"/>
        <v>3142.9075458710759</v>
      </c>
      <c r="AF23" s="19">
        <f t="shared" si="12"/>
        <v>3174.3366213297872</v>
      </c>
      <c r="AG23" s="19">
        <f t="shared" si="12"/>
        <v>3206.0799875430857</v>
      </c>
      <c r="AH23" s="19">
        <f t="shared" si="12"/>
        <v>3238.1407874185165</v>
      </c>
      <c r="AI23" s="19">
        <f t="shared" si="12"/>
        <v>3270.5221952927004</v>
      </c>
      <c r="AJ23" s="19">
        <f t="shared" si="12"/>
        <v>3303.2274172456277</v>
      </c>
      <c r="AK23" s="27">
        <f t="shared" si="12"/>
        <v>3336.259691418084</v>
      </c>
    </row>
    <row r="24" spans="1:37" s="53" customFormat="1" ht="38.25" customHeight="1" x14ac:dyDescent="0.25">
      <c r="A24" s="5"/>
      <c r="B24" s="46" t="s">
        <v>11</v>
      </c>
      <c r="C24" s="15">
        <v>1500</v>
      </c>
      <c r="D24" s="16" t="s">
        <v>51</v>
      </c>
      <c r="E24" s="26"/>
      <c r="F24" s="194"/>
      <c r="G24" s="41" t="s">
        <v>66</v>
      </c>
      <c r="H24" s="19">
        <f t="shared" ref="H24:AK24" si="13">$C$26*((1+$C$35)^(H$10-1))</f>
        <v>2000</v>
      </c>
      <c r="I24" s="19">
        <f t="shared" si="13"/>
        <v>2020</v>
      </c>
      <c r="J24" s="19">
        <f t="shared" si="13"/>
        <v>2040.2</v>
      </c>
      <c r="K24" s="19">
        <f t="shared" si="13"/>
        <v>2060.6019999999999</v>
      </c>
      <c r="L24" s="19">
        <f t="shared" si="13"/>
        <v>2081.20802</v>
      </c>
      <c r="M24" s="19">
        <f t="shared" si="13"/>
        <v>2102.0201001999999</v>
      </c>
      <c r="N24" s="19">
        <f t="shared" si="13"/>
        <v>2123.0403012020001</v>
      </c>
      <c r="O24" s="19">
        <f t="shared" si="13"/>
        <v>2144.2707042140196</v>
      </c>
      <c r="P24" s="19">
        <f t="shared" si="13"/>
        <v>2165.7134112561603</v>
      </c>
      <c r="Q24" s="19">
        <f t="shared" si="13"/>
        <v>2187.3705453687221</v>
      </c>
      <c r="R24" s="19">
        <f t="shared" si="13"/>
        <v>2209.2442508224094</v>
      </c>
      <c r="S24" s="19">
        <f t="shared" si="13"/>
        <v>2231.3366933306329</v>
      </c>
      <c r="T24" s="19">
        <f t="shared" si="13"/>
        <v>2253.6500602639394</v>
      </c>
      <c r="U24" s="19">
        <f t="shared" si="13"/>
        <v>2276.1865608665789</v>
      </c>
      <c r="V24" s="19">
        <f t="shared" si="13"/>
        <v>2298.948426475245</v>
      </c>
      <c r="W24" s="19">
        <f t="shared" si="13"/>
        <v>2321.9379107399968</v>
      </c>
      <c r="X24" s="19">
        <f t="shared" si="13"/>
        <v>2345.1572898473974</v>
      </c>
      <c r="Y24" s="19">
        <f t="shared" si="13"/>
        <v>2368.6088627458716</v>
      </c>
      <c r="Z24" s="19">
        <f t="shared" si="13"/>
        <v>2392.2949513733306</v>
      </c>
      <c r="AA24" s="19">
        <f t="shared" si="13"/>
        <v>2416.217900887063</v>
      </c>
      <c r="AB24" s="19">
        <f t="shared" si="13"/>
        <v>2440.3800798959342</v>
      </c>
      <c r="AC24" s="19">
        <f t="shared" si="13"/>
        <v>2464.783880694893</v>
      </c>
      <c r="AD24" s="19">
        <f t="shared" si="13"/>
        <v>2489.4317195018425</v>
      </c>
      <c r="AE24" s="19">
        <f t="shared" si="13"/>
        <v>2514.3260366968607</v>
      </c>
      <c r="AF24" s="19">
        <f t="shared" si="13"/>
        <v>2539.4692970638298</v>
      </c>
      <c r="AG24" s="19">
        <f t="shared" si="13"/>
        <v>2564.8639900344683</v>
      </c>
      <c r="AH24" s="19">
        <f t="shared" si="13"/>
        <v>2590.512629934813</v>
      </c>
      <c r="AI24" s="19">
        <f t="shared" si="13"/>
        <v>2616.4177562341606</v>
      </c>
      <c r="AJ24" s="19">
        <f t="shared" si="13"/>
        <v>2642.5819337965022</v>
      </c>
      <c r="AK24" s="27">
        <f t="shared" si="13"/>
        <v>2669.0077531344673</v>
      </c>
    </row>
    <row r="25" spans="1:37" s="53" customFormat="1" ht="38.25" customHeight="1" x14ac:dyDescent="0.25">
      <c r="A25" s="5"/>
      <c r="B25" s="46" t="s">
        <v>12</v>
      </c>
      <c r="C25" s="24">
        <v>11</v>
      </c>
      <c r="D25" s="16" t="s">
        <v>39</v>
      </c>
      <c r="E25" s="26"/>
      <c r="F25" s="194"/>
      <c r="G25" s="41" t="s">
        <v>67</v>
      </c>
      <c r="H25" s="19">
        <f t="shared" ref="H25:AK25" si="14">$C$29</f>
        <v>200</v>
      </c>
      <c r="I25" s="19">
        <f t="shared" si="14"/>
        <v>200</v>
      </c>
      <c r="J25" s="19">
        <f t="shared" si="14"/>
        <v>200</v>
      </c>
      <c r="K25" s="19">
        <f t="shared" si="14"/>
        <v>200</v>
      </c>
      <c r="L25" s="19">
        <f t="shared" si="14"/>
        <v>200</v>
      </c>
      <c r="M25" s="19">
        <f t="shared" si="14"/>
        <v>200</v>
      </c>
      <c r="N25" s="19">
        <f t="shared" si="14"/>
        <v>200</v>
      </c>
      <c r="O25" s="19">
        <f t="shared" si="14"/>
        <v>200</v>
      </c>
      <c r="P25" s="19">
        <f t="shared" si="14"/>
        <v>200</v>
      </c>
      <c r="Q25" s="19">
        <f t="shared" si="14"/>
        <v>200</v>
      </c>
      <c r="R25" s="19">
        <f t="shared" si="14"/>
        <v>200</v>
      </c>
      <c r="S25" s="19">
        <f t="shared" si="14"/>
        <v>200</v>
      </c>
      <c r="T25" s="19">
        <f t="shared" si="14"/>
        <v>200</v>
      </c>
      <c r="U25" s="19">
        <f t="shared" si="14"/>
        <v>200</v>
      </c>
      <c r="V25" s="19">
        <f t="shared" si="14"/>
        <v>200</v>
      </c>
      <c r="W25" s="19">
        <f t="shared" si="14"/>
        <v>200</v>
      </c>
      <c r="X25" s="19">
        <f t="shared" si="14"/>
        <v>200</v>
      </c>
      <c r="Y25" s="19">
        <f t="shared" si="14"/>
        <v>200</v>
      </c>
      <c r="Z25" s="19">
        <f t="shared" si="14"/>
        <v>200</v>
      </c>
      <c r="AA25" s="19">
        <f t="shared" si="14"/>
        <v>200</v>
      </c>
      <c r="AB25" s="19">
        <f t="shared" si="14"/>
        <v>200</v>
      </c>
      <c r="AC25" s="19">
        <f t="shared" si="14"/>
        <v>200</v>
      </c>
      <c r="AD25" s="19">
        <f t="shared" si="14"/>
        <v>200</v>
      </c>
      <c r="AE25" s="19">
        <f t="shared" si="14"/>
        <v>200</v>
      </c>
      <c r="AF25" s="19">
        <f t="shared" si="14"/>
        <v>200</v>
      </c>
      <c r="AG25" s="19">
        <f t="shared" si="14"/>
        <v>200</v>
      </c>
      <c r="AH25" s="19">
        <f t="shared" si="14"/>
        <v>200</v>
      </c>
      <c r="AI25" s="19">
        <f t="shared" si="14"/>
        <v>200</v>
      </c>
      <c r="AJ25" s="19">
        <f t="shared" si="14"/>
        <v>200</v>
      </c>
      <c r="AK25" s="27">
        <f t="shared" si="14"/>
        <v>200</v>
      </c>
    </row>
    <row r="26" spans="1:37" s="53" customFormat="1" ht="38.25" customHeight="1" x14ac:dyDescent="0.25">
      <c r="A26" s="5"/>
      <c r="B26" s="46" t="s">
        <v>13</v>
      </c>
      <c r="C26" s="15">
        <v>2000</v>
      </c>
      <c r="D26" s="16" t="s">
        <v>51</v>
      </c>
      <c r="E26" s="26"/>
      <c r="F26" s="195"/>
      <c r="G26" s="43" t="s">
        <v>76</v>
      </c>
      <c r="H26" s="17">
        <f>SUM(H22:H25)</f>
        <v>4700</v>
      </c>
      <c r="I26" s="17">
        <f t="shared" ref="I26:P26" si="15">SUM(I22:I25)</f>
        <v>4745</v>
      </c>
      <c r="J26" s="17">
        <f t="shared" si="15"/>
        <v>4790.45</v>
      </c>
      <c r="K26" s="17">
        <f t="shared" si="15"/>
        <v>4836.3544999999995</v>
      </c>
      <c r="L26" s="17">
        <f t="shared" si="15"/>
        <v>4882.7180449999996</v>
      </c>
      <c r="M26" s="17">
        <f t="shared" si="15"/>
        <v>4929.5452254499996</v>
      </c>
      <c r="N26" s="17">
        <f t="shared" si="15"/>
        <v>4976.8406777045002</v>
      </c>
      <c r="O26" s="17">
        <f t="shared" si="15"/>
        <v>5024.6090844815444</v>
      </c>
      <c r="P26" s="17">
        <f t="shared" si="15"/>
        <v>5072.8551753263609</v>
      </c>
      <c r="Q26" s="17">
        <f>SUM(Q22:Q25)</f>
        <v>5121.5837270796255</v>
      </c>
      <c r="R26" s="17">
        <f t="shared" ref="R26:AI26" si="16">SUM(R22:R25)</f>
        <v>5170.7995643504219</v>
      </c>
      <c r="S26" s="17">
        <f t="shared" si="16"/>
        <v>5220.5075599939246</v>
      </c>
      <c r="T26" s="17">
        <f t="shared" si="16"/>
        <v>5270.7126355938635</v>
      </c>
      <c r="U26" s="17">
        <f t="shared" si="16"/>
        <v>5321.4197619498027</v>
      </c>
      <c r="V26" s="17">
        <f t="shared" si="16"/>
        <v>5372.6339595693016</v>
      </c>
      <c r="W26" s="17">
        <f t="shared" si="16"/>
        <v>5424.3602991649932</v>
      </c>
      <c r="X26" s="17">
        <f t="shared" si="16"/>
        <v>5476.6039021566448</v>
      </c>
      <c r="Y26" s="17">
        <f t="shared" si="16"/>
        <v>5529.3699411782109</v>
      </c>
      <c r="Z26" s="17">
        <f t="shared" si="16"/>
        <v>5582.6636405899935</v>
      </c>
      <c r="AA26" s="17">
        <f t="shared" si="16"/>
        <v>5636.4902769958917</v>
      </c>
      <c r="AB26" s="17">
        <f t="shared" si="16"/>
        <v>5690.855179765852</v>
      </c>
      <c r="AC26" s="17">
        <f t="shared" si="16"/>
        <v>5745.7637315635093</v>
      </c>
      <c r="AD26" s="17">
        <f t="shared" si="16"/>
        <v>5801.2213688791453</v>
      </c>
      <c r="AE26" s="17">
        <f t="shared" si="16"/>
        <v>5857.2335825679365</v>
      </c>
      <c r="AF26" s="17">
        <f t="shared" si="16"/>
        <v>5913.8059183936166</v>
      </c>
      <c r="AG26" s="17">
        <f t="shared" si="16"/>
        <v>5970.9439775775536</v>
      </c>
      <c r="AH26" s="17">
        <f t="shared" si="16"/>
        <v>6028.6534173533291</v>
      </c>
      <c r="AI26" s="17">
        <f t="shared" si="16"/>
        <v>6086.9399515268615</v>
      </c>
      <c r="AJ26" s="17">
        <f>SUM(AJ22:AJ25)</f>
        <v>6145.8093510421295</v>
      </c>
      <c r="AK26" s="18">
        <f>SUM(AK22:AK25)</f>
        <v>6205.2674445525518</v>
      </c>
    </row>
    <row r="27" spans="1:37" s="74" customFormat="1" ht="38.25" customHeight="1" x14ac:dyDescent="0.25">
      <c r="A27" s="76"/>
      <c r="B27" s="46" t="s">
        <v>14</v>
      </c>
      <c r="C27" s="15">
        <v>0</v>
      </c>
      <c r="D27" s="16" t="s">
        <v>51</v>
      </c>
      <c r="E27" s="26"/>
      <c r="F27" s="86"/>
      <c r="G27" s="54"/>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row>
    <row r="28" spans="1:37" s="53" customFormat="1" ht="38.25" customHeight="1" x14ac:dyDescent="0.25">
      <c r="A28" s="5"/>
      <c r="B28" s="46" t="s">
        <v>1</v>
      </c>
      <c r="C28" s="15">
        <v>2500</v>
      </c>
      <c r="D28" s="16" t="s">
        <v>51</v>
      </c>
      <c r="E28" s="26"/>
      <c r="F28" s="193" t="s">
        <v>103</v>
      </c>
      <c r="G28" s="44" t="s">
        <v>280</v>
      </c>
      <c r="H28" s="29">
        <f>IF(H10&lt;=30,($C$11-$C$16)*0.9/30,0)</f>
        <v>6300</v>
      </c>
      <c r="I28" s="29">
        <f t="shared" ref="I28:AK28" si="17">IF(I10&lt;=30,($C$11-$C$16)*0.9/30,0)</f>
        <v>6300</v>
      </c>
      <c r="J28" s="29">
        <f t="shared" si="17"/>
        <v>6300</v>
      </c>
      <c r="K28" s="29">
        <f t="shared" si="17"/>
        <v>6300</v>
      </c>
      <c r="L28" s="29">
        <f t="shared" si="17"/>
        <v>6300</v>
      </c>
      <c r="M28" s="29">
        <f t="shared" si="17"/>
        <v>6300</v>
      </c>
      <c r="N28" s="29">
        <f t="shared" si="17"/>
        <v>6300</v>
      </c>
      <c r="O28" s="29">
        <f t="shared" si="17"/>
        <v>6300</v>
      </c>
      <c r="P28" s="29">
        <f t="shared" si="17"/>
        <v>6300</v>
      </c>
      <c r="Q28" s="29">
        <f t="shared" si="17"/>
        <v>6300</v>
      </c>
      <c r="R28" s="29">
        <f t="shared" si="17"/>
        <v>6300</v>
      </c>
      <c r="S28" s="29">
        <f t="shared" si="17"/>
        <v>6300</v>
      </c>
      <c r="T28" s="29">
        <f t="shared" si="17"/>
        <v>6300</v>
      </c>
      <c r="U28" s="29">
        <f t="shared" si="17"/>
        <v>6300</v>
      </c>
      <c r="V28" s="29">
        <f t="shared" si="17"/>
        <v>6300</v>
      </c>
      <c r="W28" s="29">
        <f t="shared" si="17"/>
        <v>6300</v>
      </c>
      <c r="X28" s="29">
        <f t="shared" si="17"/>
        <v>6300</v>
      </c>
      <c r="Y28" s="29">
        <f t="shared" si="17"/>
        <v>6300</v>
      </c>
      <c r="Z28" s="29">
        <f t="shared" si="17"/>
        <v>6300</v>
      </c>
      <c r="AA28" s="29">
        <f t="shared" si="17"/>
        <v>6300</v>
      </c>
      <c r="AB28" s="29">
        <f t="shared" si="17"/>
        <v>6300</v>
      </c>
      <c r="AC28" s="29">
        <f t="shared" si="17"/>
        <v>6300</v>
      </c>
      <c r="AD28" s="29">
        <f t="shared" si="17"/>
        <v>6300</v>
      </c>
      <c r="AE28" s="29">
        <f t="shared" si="17"/>
        <v>6300</v>
      </c>
      <c r="AF28" s="29">
        <f t="shared" si="17"/>
        <v>6300</v>
      </c>
      <c r="AG28" s="29">
        <f t="shared" si="17"/>
        <v>6300</v>
      </c>
      <c r="AH28" s="29">
        <f t="shared" si="17"/>
        <v>6300</v>
      </c>
      <c r="AI28" s="29">
        <f t="shared" si="17"/>
        <v>6300</v>
      </c>
      <c r="AJ28" s="29">
        <f t="shared" si="17"/>
        <v>6300</v>
      </c>
      <c r="AK28" s="30">
        <f t="shared" si="17"/>
        <v>6300</v>
      </c>
    </row>
    <row r="29" spans="1:37" s="53" customFormat="1" ht="38.25" customHeight="1" x14ac:dyDescent="0.25">
      <c r="A29" s="5"/>
      <c r="B29" s="46" t="s">
        <v>15</v>
      </c>
      <c r="C29" s="24">
        <v>200</v>
      </c>
      <c r="D29" s="16" t="s">
        <v>51</v>
      </c>
      <c r="E29" s="26"/>
      <c r="F29" s="194"/>
      <c r="G29" s="41" t="s">
        <v>281</v>
      </c>
      <c r="H29" s="19">
        <f>IF(H10&lt;=10,$C$13/10,0)</f>
        <v>1000</v>
      </c>
      <c r="I29" s="19">
        <f t="shared" ref="I29:AK29" si="18">IF(I10&lt;=10,$C$13/10,0)</f>
        <v>1000</v>
      </c>
      <c r="J29" s="19">
        <f t="shared" si="18"/>
        <v>1000</v>
      </c>
      <c r="K29" s="19">
        <f t="shared" si="18"/>
        <v>1000</v>
      </c>
      <c r="L29" s="19">
        <f t="shared" si="18"/>
        <v>1000</v>
      </c>
      <c r="M29" s="19">
        <f t="shared" si="18"/>
        <v>1000</v>
      </c>
      <c r="N29" s="19">
        <f t="shared" si="18"/>
        <v>1000</v>
      </c>
      <c r="O29" s="19">
        <f t="shared" si="18"/>
        <v>1000</v>
      </c>
      <c r="P29" s="19">
        <f t="shared" si="18"/>
        <v>1000</v>
      </c>
      <c r="Q29" s="19">
        <f t="shared" si="18"/>
        <v>1000</v>
      </c>
      <c r="R29" s="19">
        <f t="shared" si="18"/>
        <v>0</v>
      </c>
      <c r="S29" s="19">
        <f t="shared" si="18"/>
        <v>0</v>
      </c>
      <c r="T29" s="19">
        <f t="shared" si="18"/>
        <v>0</v>
      </c>
      <c r="U29" s="19">
        <f t="shared" si="18"/>
        <v>0</v>
      </c>
      <c r="V29" s="19">
        <f t="shared" si="18"/>
        <v>0</v>
      </c>
      <c r="W29" s="19">
        <f t="shared" si="18"/>
        <v>0</v>
      </c>
      <c r="X29" s="19">
        <f t="shared" si="18"/>
        <v>0</v>
      </c>
      <c r="Y29" s="19">
        <f t="shared" si="18"/>
        <v>0</v>
      </c>
      <c r="Z29" s="19">
        <f t="shared" si="18"/>
        <v>0</v>
      </c>
      <c r="AA29" s="19">
        <f t="shared" si="18"/>
        <v>0</v>
      </c>
      <c r="AB29" s="19">
        <f t="shared" si="18"/>
        <v>0</v>
      </c>
      <c r="AC29" s="19">
        <f t="shared" si="18"/>
        <v>0</v>
      </c>
      <c r="AD29" s="19">
        <f t="shared" si="18"/>
        <v>0</v>
      </c>
      <c r="AE29" s="19">
        <f t="shared" si="18"/>
        <v>0</v>
      </c>
      <c r="AF29" s="19">
        <f t="shared" si="18"/>
        <v>0</v>
      </c>
      <c r="AG29" s="19">
        <f t="shared" si="18"/>
        <v>0</v>
      </c>
      <c r="AH29" s="19">
        <f t="shared" si="18"/>
        <v>0</v>
      </c>
      <c r="AI29" s="19">
        <f t="shared" si="18"/>
        <v>0</v>
      </c>
      <c r="AJ29" s="19">
        <f t="shared" si="18"/>
        <v>0</v>
      </c>
      <c r="AK29" s="27">
        <f t="shared" si="18"/>
        <v>0</v>
      </c>
    </row>
    <row r="30" spans="1:37" s="53" customFormat="1" ht="38.25" customHeight="1" x14ac:dyDescent="0.25">
      <c r="A30" s="5"/>
      <c r="B30" s="46" t="s">
        <v>16</v>
      </c>
      <c r="C30" s="15">
        <v>35000</v>
      </c>
      <c r="D30" s="16" t="s">
        <v>51</v>
      </c>
      <c r="E30" s="26"/>
      <c r="F30" s="194"/>
      <c r="G30" s="41" t="s">
        <v>157</v>
      </c>
      <c r="H30" s="19">
        <f t="shared" ref="H30:AK30" si="19">IF(H10&lt;=7,$C$14/7,0)</f>
        <v>714.28571428571433</v>
      </c>
      <c r="I30" s="19">
        <f t="shared" si="19"/>
        <v>714.28571428571433</v>
      </c>
      <c r="J30" s="19">
        <f t="shared" si="19"/>
        <v>714.28571428571433</v>
      </c>
      <c r="K30" s="19">
        <f t="shared" si="19"/>
        <v>714.28571428571433</v>
      </c>
      <c r="L30" s="19">
        <f t="shared" si="19"/>
        <v>714.28571428571433</v>
      </c>
      <c r="M30" s="19">
        <f t="shared" si="19"/>
        <v>714.28571428571433</v>
      </c>
      <c r="N30" s="19">
        <f t="shared" si="19"/>
        <v>714.28571428571433</v>
      </c>
      <c r="O30" s="19">
        <f t="shared" si="19"/>
        <v>0</v>
      </c>
      <c r="P30" s="19">
        <f t="shared" si="19"/>
        <v>0</v>
      </c>
      <c r="Q30" s="19">
        <f t="shared" si="19"/>
        <v>0</v>
      </c>
      <c r="R30" s="19">
        <f t="shared" si="19"/>
        <v>0</v>
      </c>
      <c r="S30" s="19">
        <f t="shared" si="19"/>
        <v>0</v>
      </c>
      <c r="T30" s="19">
        <f t="shared" si="19"/>
        <v>0</v>
      </c>
      <c r="U30" s="19">
        <f t="shared" si="19"/>
        <v>0</v>
      </c>
      <c r="V30" s="19">
        <f t="shared" si="19"/>
        <v>0</v>
      </c>
      <c r="W30" s="19">
        <f t="shared" si="19"/>
        <v>0</v>
      </c>
      <c r="X30" s="19">
        <f t="shared" si="19"/>
        <v>0</v>
      </c>
      <c r="Y30" s="19">
        <f t="shared" si="19"/>
        <v>0</v>
      </c>
      <c r="Z30" s="19">
        <f t="shared" si="19"/>
        <v>0</v>
      </c>
      <c r="AA30" s="19">
        <f t="shared" si="19"/>
        <v>0</v>
      </c>
      <c r="AB30" s="19">
        <f t="shared" si="19"/>
        <v>0</v>
      </c>
      <c r="AC30" s="19">
        <f t="shared" si="19"/>
        <v>0</v>
      </c>
      <c r="AD30" s="19">
        <f t="shared" si="19"/>
        <v>0</v>
      </c>
      <c r="AE30" s="19">
        <f t="shared" si="19"/>
        <v>0</v>
      </c>
      <c r="AF30" s="19">
        <f t="shared" si="19"/>
        <v>0</v>
      </c>
      <c r="AG30" s="19">
        <f t="shared" si="19"/>
        <v>0</v>
      </c>
      <c r="AH30" s="19">
        <f t="shared" si="19"/>
        <v>0</v>
      </c>
      <c r="AI30" s="19">
        <f t="shared" si="19"/>
        <v>0</v>
      </c>
      <c r="AJ30" s="19">
        <f t="shared" si="19"/>
        <v>0</v>
      </c>
      <c r="AK30" s="27">
        <f t="shared" si="19"/>
        <v>0</v>
      </c>
    </row>
    <row r="31" spans="1:37" s="53" customFormat="1" ht="38.25" customHeight="1" x14ac:dyDescent="0.25">
      <c r="A31" s="5"/>
      <c r="B31" s="46" t="s">
        <v>17</v>
      </c>
      <c r="C31" s="31">
        <v>0.03</v>
      </c>
      <c r="D31" s="23" t="s">
        <v>40</v>
      </c>
      <c r="E31" s="26"/>
      <c r="F31" s="194"/>
      <c r="G31" s="41" t="s">
        <v>279</v>
      </c>
      <c r="H31" s="19">
        <f>IF(H10&lt;=30,(($C$11*$C$15)+$C$16)/30,0)</f>
        <v>883.33333333333337</v>
      </c>
      <c r="I31" s="19">
        <f t="shared" ref="I31:AK31" si="20">IF(I10&lt;=30,(($C$11*$C$15)+$C$16)/30,0)</f>
        <v>883.33333333333337</v>
      </c>
      <c r="J31" s="19">
        <f t="shared" si="20"/>
        <v>883.33333333333337</v>
      </c>
      <c r="K31" s="19">
        <f t="shared" si="20"/>
        <v>883.33333333333337</v>
      </c>
      <c r="L31" s="19">
        <f t="shared" si="20"/>
        <v>883.33333333333337</v>
      </c>
      <c r="M31" s="19">
        <f t="shared" si="20"/>
        <v>883.33333333333337</v>
      </c>
      <c r="N31" s="19">
        <f t="shared" si="20"/>
        <v>883.33333333333337</v>
      </c>
      <c r="O31" s="19">
        <f t="shared" si="20"/>
        <v>883.33333333333337</v>
      </c>
      <c r="P31" s="19">
        <f t="shared" si="20"/>
        <v>883.33333333333337</v>
      </c>
      <c r="Q31" s="19">
        <f t="shared" si="20"/>
        <v>883.33333333333337</v>
      </c>
      <c r="R31" s="19">
        <f t="shared" si="20"/>
        <v>883.33333333333337</v>
      </c>
      <c r="S31" s="19">
        <f t="shared" si="20"/>
        <v>883.33333333333337</v>
      </c>
      <c r="T31" s="19">
        <f t="shared" si="20"/>
        <v>883.33333333333337</v>
      </c>
      <c r="U31" s="19">
        <f t="shared" si="20"/>
        <v>883.33333333333337</v>
      </c>
      <c r="V31" s="19">
        <f t="shared" si="20"/>
        <v>883.33333333333337</v>
      </c>
      <c r="W31" s="19">
        <f t="shared" si="20"/>
        <v>883.33333333333337</v>
      </c>
      <c r="X31" s="19">
        <f t="shared" si="20"/>
        <v>883.33333333333337</v>
      </c>
      <c r="Y31" s="19">
        <f t="shared" si="20"/>
        <v>883.33333333333337</v>
      </c>
      <c r="Z31" s="19">
        <f t="shared" si="20"/>
        <v>883.33333333333337</v>
      </c>
      <c r="AA31" s="19">
        <f t="shared" si="20"/>
        <v>883.33333333333337</v>
      </c>
      <c r="AB31" s="19">
        <f t="shared" si="20"/>
        <v>883.33333333333337</v>
      </c>
      <c r="AC31" s="19">
        <f t="shared" si="20"/>
        <v>883.33333333333337</v>
      </c>
      <c r="AD31" s="19">
        <f t="shared" si="20"/>
        <v>883.33333333333337</v>
      </c>
      <c r="AE31" s="19">
        <f t="shared" si="20"/>
        <v>883.33333333333337</v>
      </c>
      <c r="AF31" s="19">
        <f t="shared" si="20"/>
        <v>883.33333333333337</v>
      </c>
      <c r="AG31" s="19">
        <f t="shared" si="20"/>
        <v>883.33333333333337</v>
      </c>
      <c r="AH31" s="19">
        <f t="shared" si="20"/>
        <v>883.33333333333337</v>
      </c>
      <c r="AI31" s="19">
        <f t="shared" si="20"/>
        <v>883.33333333333337</v>
      </c>
      <c r="AJ31" s="19">
        <f t="shared" si="20"/>
        <v>883.33333333333337</v>
      </c>
      <c r="AK31" s="27">
        <f t="shared" si="20"/>
        <v>883.33333333333337</v>
      </c>
    </row>
    <row r="32" spans="1:37" s="53" customFormat="1" ht="38.25" customHeight="1" x14ac:dyDescent="0.25">
      <c r="A32" s="5"/>
      <c r="B32" s="46" t="s">
        <v>18</v>
      </c>
      <c r="C32" s="15">
        <v>0</v>
      </c>
      <c r="D32" s="16" t="s">
        <v>51</v>
      </c>
      <c r="E32" s="26"/>
      <c r="F32" s="195"/>
      <c r="G32" s="43" t="s">
        <v>72</v>
      </c>
      <c r="H32" s="17">
        <f>SUM(H28:H31)</f>
        <v>8897.6190476190477</v>
      </c>
      <c r="I32" s="17">
        <f t="shared" ref="I32:P32" si="21">SUM(I28:I31)</f>
        <v>8897.6190476190477</v>
      </c>
      <c r="J32" s="17">
        <f t="shared" si="21"/>
        <v>8897.6190476190477</v>
      </c>
      <c r="K32" s="17">
        <f t="shared" si="21"/>
        <v>8897.6190476190477</v>
      </c>
      <c r="L32" s="17">
        <f t="shared" si="21"/>
        <v>8897.6190476190477</v>
      </c>
      <c r="M32" s="17">
        <f t="shared" si="21"/>
        <v>8897.6190476190477</v>
      </c>
      <c r="N32" s="17">
        <f t="shared" si="21"/>
        <v>8897.6190476190477</v>
      </c>
      <c r="O32" s="17">
        <f t="shared" si="21"/>
        <v>8183.333333333333</v>
      </c>
      <c r="P32" s="17">
        <f t="shared" si="21"/>
        <v>8183.333333333333</v>
      </c>
      <c r="Q32" s="17">
        <f>SUM(Q28:Q31)</f>
        <v>8183.333333333333</v>
      </c>
      <c r="R32" s="17">
        <f t="shared" ref="R32:AI32" si="22">SUM(R28:R31)</f>
        <v>7183.333333333333</v>
      </c>
      <c r="S32" s="17">
        <f t="shared" si="22"/>
        <v>7183.333333333333</v>
      </c>
      <c r="T32" s="17">
        <f t="shared" si="22"/>
        <v>7183.333333333333</v>
      </c>
      <c r="U32" s="17">
        <f t="shared" si="22"/>
        <v>7183.333333333333</v>
      </c>
      <c r="V32" s="17">
        <f t="shared" si="22"/>
        <v>7183.333333333333</v>
      </c>
      <c r="W32" s="17">
        <f t="shared" si="22"/>
        <v>7183.333333333333</v>
      </c>
      <c r="X32" s="17">
        <f t="shared" si="22"/>
        <v>7183.333333333333</v>
      </c>
      <c r="Y32" s="17">
        <f t="shared" si="22"/>
        <v>7183.333333333333</v>
      </c>
      <c r="Z32" s="17">
        <f t="shared" si="22"/>
        <v>7183.333333333333</v>
      </c>
      <c r="AA32" s="17">
        <f t="shared" si="22"/>
        <v>7183.333333333333</v>
      </c>
      <c r="AB32" s="17">
        <f t="shared" si="22"/>
        <v>7183.333333333333</v>
      </c>
      <c r="AC32" s="17">
        <f t="shared" si="22"/>
        <v>7183.333333333333</v>
      </c>
      <c r="AD32" s="17">
        <f t="shared" si="22"/>
        <v>7183.333333333333</v>
      </c>
      <c r="AE32" s="17">
        <f t="shared" si="22"/>
        <v>7183.333333333333</v>
      </c>
      <c r="AF32" s="17">
        <f t="shared" si="22"/>
        <v>7183.333333333333</v>
      </c>
      <c r="AG32" s="17">
        <f t="shared" si="22"/>
        <v>7183.333333333333</v>
      </c>
      <c r="AH32" s="17">
        <f t="shared" si="22"/>
        <v>7183.333333333333</v>
      </c>
      <c r="AI32" s="17">
        <f t="shared" si="22"/>
        <v>7183.333333333333</v>
      </c>
      <c r="AJ32" s="17">
        <f>SUM(AJ28:AJ31)</f>
        <v>7183.333333333333</v>
      </c>
      <c r="AK32" s="18">
        <f>SUM(AK28:AK31)</f>
        <v>7183.333333333333</v>
      </c>
    </row>
    <row r="33" spans="1:37" s="74" customFormat="1" ht="38.25" customHeight="1" x14ac:dyDescent="0.25">
      <c r="A33" s="76"/>
      <c r="B33" s="46" t="s">
        <v>19</v>
      </c>
      <c r="C33" s="32">
        <v>0</v>
      </c>
      <c r="D33" s="23" t="s">
        <v>40</v>
      </c>
      <c r="E33" s="26"/>
      <c r="F33" s="86"/>
      <c r="G33" s="54"/>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row>
    <row r="34" spans="1:37" s="53" customFormat="1" ht="38.25" customHeight="1" x14ac:dyDescent="0.25">
      <c r="A34" s="5"/>
      <c r="B34" s="46" t="s">
        <v>20</v>
      </c>
      <c r="C34" s="24">
        <v>1</v>
      </c>
      <c r="D34" s="25" t="s">
        <v>50</v>
      </c>
      <c r="E34" s="26"/>
      <c r="F34" s="196" t="s">
        <v>104</v>
      </c>
      <c r="G34" s="44" t="s">
        <v>69</v>
      </c>
      <c r="H34" s="29">
        <f t="shared" ref="H34:AK34" si="23">H12-H26</f>
        <v>13300</v>
      </c>
      <c r="I34" s="29">
        <f t="shared" si="23"/>
        <v>13435</v>
      </c>
      <c r="J34" s="29">
        <f t="shared" si="23"/>
        <v>13571.350000000002</v>
      </c>
      <c r="K34" s="29">
        <f t="shared" si="23"/>
        <v>13709.063499999998</v>
      </c>
      <c r="L34" s="29">
        <f t="shared" si="23"/>
        <v>13848.154135000002</v>
      </c>
      <c r="M34" s="29">
        <f t="shared" si="23"/>
        <v>13988.635676349999</v>
      </c>
      <c r="N34" s="29">
        <f t="shared" si="23"/>
        <v>14130.522033113504</v>
      </c>
      <c r="O34" s="29">
        <f t="shared" si="23"/>
        <v>14273.827253444633</v>
      </c>
      <c r="P34" s="29">
        <f t="shared" si="23"/>
        <v>14418.565525979084</v>
      </c>
      <c r="Q34" s="29">
        <f t="shared" si="23"/>
        <v>14564.751181238877</v>
      </c>
      <c r="R34" s="29">
        <f t="shared" si="23"/>
        <v>14712.398693051262</v>
      </c>
      <c r="S34" s="29">
        <f t="shared" si="23"/>
        <v>14861.522679981774</v>
      </c>
      <c r="T34" s="29">
        <f t="shared" si="23"/>
        <v>15012.137906781591</v>
      </c>
      <c r="U34" s="29">
        <f t="shared" si="23"/>
        <v>15164.259285849408</v>
      </c>
      <c r="V34" s="29">
        <f t="shared" si="23"/>
        <v>15317.901878707904</v>
      </c>
      <c r="W34" s="29">
        <f t="shared" si="23"/>
        <v>15473.08089749498</v>
      </c>
      <c r="X34" s="29">
        <f t="shared" si="23"/>
        <v>15629.811706469935</v>
      </c>
      <c r="Y34" s="29">
        <f t="shared" si="23"/>
        <v>15788.109823534633</v>
      </c>
      <c r="Z34" s="29">
        <f t="shared" si="23"/>
        <v>15947.990921769981</v>
      </c>
      <c r="AA34" s="29">
        <f t="shared" si="23"/>
        <v>16109.470830987679</v>
      </c>
      <c r="AB34" s="29">
        <f t="shared" si="23"/>
        <v>16272.565539297553</v>
      </c>
      <c r="AC34" s="29">
        <f t="shared" si="23"/>
        <v>16437.29119469053</v>
      </c>
      <c r="AD34" s="29">
        <f t="shared" si="23"/>
        <v>16603.66410663744</v>
      </c>
      <c r="AE34" s="29">
        <f t="shared" si="23"/>
        <v>16771.70074770381</v>
      </c>
      <c r="AF34" s="29">
        <f t="shared" si="23"/>
        <v>16941.41775518085</v>
      </c>
      <c r="AG34" s="29">
        <f t="shared" si="23"/>
        <v>17112.831932732661</v>
      </c>
      <c r="AH34" s="29">
        <f t="shared" si="23"/>
        <v>17285.960252059991</v>
      </c>
      <c r="AI34" s="29">
        <f t="shared" si="23"/>
        <v>17460.819854580579</v>
      </c>
      <c r="AJ34" s="29">
        <f t="shared" si="23"/>
        <v>17637.428053126394</v>
      </c>
      <c r="AK34" s="30">
        <f t="shared" si="23"/>
        <v>17815.802333657655</v>
      </c>
    </row>
    <row r="35" spans="1:37" s="53" customFormat="1" ht="38.25" customHeight="1" x14ac:dyDescent="0.25">
      <c r="A35" s="5"/>
      <c r="B35" s="46" t="s">
        <v>96</v>
      </c>
      <c r="C35" s="31">
        <v>0.01</v>
      </c>
      <c r="D35" s="56" t="s">
        <v>40</v>
      </c>
      <c r="E35" s="73"/>
      <c r="F35" s="194"/>
      <c r="G35" s="41" t="s">
        <v>70</v>
      </c>
      <c r="H35" s="19">
        <f t="shared" ref="H35:AK35" si="24">H12-H19-H26</f>
        <v>9670.3682755532354</v>
      </c>
      <c r="I35" s="19">
        <f t="shared" si="24"/>
        <v>9921.7543077859154</v>
      </c>
      <c r="J35" s="19">
        <f t="shared" si="24"/>
        <v>10176.130240581693</v>
      </c>
      <c r="K35" s="19">
        <f t="shared" si="24"/>
        <v>10433.532680440581</v>
      </c>
      <c r="L35" s="19">
        <f t="shared" si="24"/>
        <v>10693.998694437452</v>
      </c>
      <c r="M35" s="19">
        <f t="shared" si="24"/>
        <v>10957.56581615938</v>
      </c>
      <c r="N35" s="19">
        <f t="shared" si="24"/>
        <v>11224.272051721257</v>
      </c>
      <c r="O35" s="19">
        <f t="shared" si="24"/>
        <v>11494.155885860448</v>
      </c>
      <c r="P35" s="19">
        <f t="shared" si="24"/>
        <v>11767.25628811185</v>
      </c>
      <c r="Q35" s="19">
        <f t="shared" si="24"/>
        <v>12043.612719064098</v>
      </c>
      <c r="R35" s="19">
        <f t="shared" si="24"/>
        <v>12323.265136698315</v>
      </c>
      <c r="S35" s="19">
        <f t="shared" si="24"/>
        <v>12606.254002810312</v>
      </c>
      <c r="T35" s="19">
        <f t="shared" si="24"/>
        <v>12892.620289517399</v>
      </c>
      <c r="U35" s="19">
        <f t="shared" si="24"/>
        <v>13182.405485851012</v>
      </c>
      <c r="V35" s="19">
        <f t="shared" si="24"/>
        <v>13475.6516044362</v>
      </c>
      <c r="W35" s="19">
        <f t="shared" si="24"/>
        <v>13772.401188259213</v>
      </c>
      <c r="X35" s="19">
        <f t="shared" si="24"/>
        <v>14072.697317524375</v>
      </c>
      <c r="Y35" s="19">
        <f t="shared" si="24"/>
        <v>14376.583616601329</v>
      </c>
      <c r="Z35" s="19">
        <f t="shared" si="24"/>
        <v>14684.104261064056</v>
      </c>
      <c r="AA35" s="19">
        <f t="shared" si="24"/>
        <v>14995.303984822674</v>
      </c>
      <c r="AB35" s="19">
        <f t="shared" si="24"/>
        <v>15310.228087349504</v>
      </c>
      <c r="AC35" s="19">
        <f t="shared" si="24"/>
        <v>15628.922441000423</v>
      </c>
      <c r="AD35" s="19">
        <f t="shared" si="24"/>
        <v>15951.433498432994</v>
      </c>
      <c r="AE35" s="19">
        <f t="shared" si="24"/>
        <v>16277.808300122499</v>
      </c>
      <c r="AF35" s="19">
        <f t="shared" si="24"/>
        <v>16608.094481977365</v>
      </c>
      <c r="AG35" s="19">
        <f t="shared" si="24"/>
        <v>17112.831932732661</v>
      </c>
      <c r="AH35" s="19">
        <f t="shared" si="24"/>
        <v>17285.960252059991</v>
      </c>
      <c r="AI35" s="19">
        <f t="shared" si="24"/>
        <v>17460.819854580579</v>
      </c>
      <c r="AJ35" s="19">
        <f t="shared" si="24"/>
        <v>17637.428053126394</v>
      </c>
      <c r="AK35" s="27">
        <f t="shared" si="24"/>
        <v>17815.802333657655</v>
      </c>
    </row>
    <row r="36" spans="1:37" s="53" customFormat="1" ht="38.25" customHeight="1" x14ac:dyDescent="0.25">
      <c r="A36" s="5"/>
      <c r="B36" s="47" t="s">
        <v>95</v>
      </c>
      <c r="C36" s="97">
        <v>0.01</v>
      </c>
      <c r="D36" s="33" t="s">
        <v>40</v>
      </c>
      <c r="E36" s="26"/>
      <c r="F36" s="195"/>
      <c r="G36" s="43" t="s">
        <v>71</v>
      </c>
      <c r="H36" s="17">
        <f t="shared" ref="H36:AK36" si="25">H12-H14-H19-H26</f>
        <v>1410.2890953167243</v>
      </c>
      <c r="I36" s="17">
        <f t="shared" si="25"/>
        <v>1545.2890953167243</v>
      </c>
      <c r="J36" s="17">
        <f t="shared" si="25"/>
        <v>1681.6390953167274</v>
      </c>
      <c r="K36" s="17">
        <f t="shared" si="25"/>
        <v>1819.3525953167227</v>
      </c>
      <c r="L36" s="17">
        <f t="shared" si="25"/>
        <v>1958.4432303167268</v>
      </c>
      <c r="M36" s="17">
        <f t="shared" si="25"/>
        <v>2098.9247716667232</v>
      </c>
      <c r="N36" s="17">
        <f t="shared" si="25"/>
        <v>2240.8111284302286</v>
      </c>
      <c r="O36" s="17">
        <f t="shared" si="25"/>
        <v>2384.1163487613576</v>
      </c>
      <c r="P36" s="17">
        <f t="shared" si="25"/>
        <v>2528.8546212958072</v>
      </c>
      <c r="Q36" s="17">
        <f t="shared" si="25"/>
        <v>2675.0402765556009</v>
      </c>
      <c r="R36" s="17">
        <f t="shared" si="25"/>
        <v>2822.6877883679863</v>
      </c>
      <c r="S36" s="17">
        <f t="shared" si="25"/>
        <v>2971.8117752984981</v>
      </c>
      <c r="T36" s="17">
        <f t="shared" si="25"/>
        <v>3122.4270020983149</v>
      </c>
      <c r="U36" s="17">
        <f t="shared" si="25"/>
        <v>3274.5483811661325</v>
      </c>
      <c r="V36" s="17">
        <f t="shared" si="25"/>
        <v>3428.1909740246292</v>
      </c>
      <c r="W36" s="17">
        <f t="shared" si="25"/>
        <v>3583.3699928117039</v>
      </c>
      <c r="X36" s="17">
        <f t="shared" si="25"/>
        <v>3740.1008017866588</v>
      </c>
      <c r="Y36" s="17">
        <f t="shared" si="25"/>
        <v>3898.3989188513569</v>
      </c>
      <c r="Z36" s="17">
        <f t="shared" si="25"/>
        <v>4058.2800170867049</v>
      </c>
      <c r="AA36" s="17">
        <f t="shared" si="25"/>
        <v>4219.7599263044031</v>
      </c>
      <c r="AB36" s="17">
        <f t="shared" si="25"/>
        <v>4382.8546346142766</v>
      </c>
      <c r="AC36" s="17">
        <f t="shared" si="25"/>
        <v>4547.5802900072558</v>
      </c>
      <c r="AD36" s="17">
        <f t="shared" si="25"/>
        <v>4713.9532019541639</v>
      </c>
      <c r="AE36" s="17">
        <f t="shared" si="25"/>
        <v>4881.989843020534</v>
      </c>
      <c r="AF36" s="17">
        <f t="shared" si="25"/>
        <v>5051.7068504975741</v>
      </c>
      <c r="AG36" s="17">
        <f t="shared" si="25"/>
        <v>17112.831932732661</v>
      </c>
      <c r="AH36" s="17">
        <f t="shared" si="25"/>
        <v>17285.960252059991</v>
      </c>
      <c r="AI36" s="17">
        <f t="shared" si="25"/>
        <v>17460.819854580579</v>
      </c>
      <c r="AJ36" s="17">
        <f t="shared" si="25"/>
        <v>17637.428053126394</v>
      </c>
      <c r="AK36" s="18">
        <f t="shared" si="25"/>
        <v>17815.802333657655</v>
      </c>
    </row>
    <row r="37" spans="1:37" s="74" customFormat="1" ht="38.25" customHeight="1" x14ac:dyDescent="0.25">
      <c r="A37" s="76"/>
      <c r="B37" s="53"/>
      <c r="C37" s="53"/>
      <c r="D37" s="53"/>
      <c r="E37" s="26"/>
      <c r="F37" s="86"/>
      <c r="G37" s="54"/>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row>
    <row r="38" spans="1:37" s="53" customFormat="1" ht="38.25" customHeight="1" x14ac:dyDescent="0.25">
      <c r="A38" s="5"/>
      <c r="B38" s="49" t="s">
        <v>24</v>
      </c>
      <c r="C38" s="34" t="s">
        <v>25</v>
      </c>
      <c r="D38" s="35" t="s">
        <v>37</v>
      </c>
      <c r="E38" s="73"/>
      <c r="F38" s="193" t="s">
        <v>105</v>
      </c>
      <c r="G38" s="44" t="s">
        <v>73</v>
      </c>
      <c r="H38" s="29">
        <f t="shared" ref="H38:AK38" si="26">($C$30*((1+$C$31)^(H$10-1))+$C$32*((1+$C$33)^(H$10-1)))*0.9</f>
        <v>31500</v>
      </c>
      <c r="I38" s="29">
        <f t="shared" si="26"/>
        <v>32445</v>
      </c>
      <c r="J38" s="29">
        <f t="shared" si="26"/>
        <v>33418.35</v>
      </c>
      <c r="K38" s="29">
        <f t="shared" si="26"/>
        <v>34420.900500000003</v>
      </c>
      <c r="L38" s="29">
        <f t="shared" si="26"/>
        <v>35453.527515000002</v>
      </c>
      <c r="M38" s="29">
        <f t="shared" si="26"/>
        <v>36517.133340449996</v>
      </c>
      <c r="N38" s="29">
        <f t="shared" si="26"/>
        <v>37612.647340663498</v>
      </c>
      <c r="O38" s="29">
        <f t="shared" si="26"/>
        <v>38741.026760883404</v>
      </c>
      <c r="P38" s="29">
        <f t="shared" si="26"/>
        <v>39903.2575637099</v>
      </c>
      <c r="Q38" s="29">
        <f t="shared" si="26"/>
        <v>41100.355290621199</v>
      </c>
      <c r="R38" s="29">
        <f t="shared" si="26"/>
        <v>42333.365949339837</v>
      </c>
      <c r="S38" s="29">
        <f t="shared" si="26"/>
        <v>43603.366927820032</v>
      </c>
      <c r="T38" s="29">
        <f t="shared" si="26"/>
        <v>44911.467935654626</v>
      </c>
      <c r="U38" s="29">
        <f t="shared" si="26"/>
        <v>46258.811973724267</v>
      </c>
      <c r="V38" s="29">
        <f t="shared" si="26"/>
        <v>47646.576332935998</v>
      </c>
      <c r="W38" s="29">
        <f t="shared" si="26"/>
        <v>49075.973622924081</v>
      </c>
      <c r="X38" s="29">
        <f t="shared" si="26"/>
        <v>50548.252831611797</v>
      </c>
      <c r="Y38" s="29">
        <f t="shared" si="26"/>
        <v>52064.700416560147</v>
      </c>
      <c r="Z38" s="29">
        <f t="shared" si="26"/>
        <v>53626.641429056959</v>
      </c>
      <c r="AA38" s="29">
        <f t="shared" si="26"/>
        <v>55235.440671928656</v>
      </c>
      <c r="AB38" s="29">
        <f t="shared" si="26"/>
        <v>56892.503892086519</v>
      </c>
      <c r="AC38" s="29">
        <f t="shared" si="26"/>
        <v>58599.279008849109</v>
      </c>
      <c r="AD38" s="29">
        <f t="shared" si="26"/>
        <v>60357.257379114577</v>
      </c>
      <c r="AE38" s="29">
        <f t="shared" si="26"/>
        <v>62167.975100488024</v>
      </c>
      <c r="AF38" s="29">
        <f t="shared" si="26"/>
        <v>64033.014353502658</v>
      </c>
      <c r="AG38" s="29">
        <f t="shared" si="26"/>
        <v>65954.004784107747</v>
      </c>
      <c r="AH38" s="29">
        <f t="shared" si="26"/>
        <v>67932.624927630983</v>
      </c>
      <c r="AI38" s="29">
        <f t="shared" si="26"/>
        <v>69970.603675459904</v>
      </c>
      <c r="AJ38" s="29">
        <f t="shared" si="26"/>
        <v>72069.721785723697</v>
      </c>
      <c r="AK38" s="30">
        <f t="shared" si="26"/>
        <v>74231.813439295409</v>
      </c>
    </row>
    <row r="39" spans="1:37" s="53" customFormat="1" ht="38.25" customHeight="1" x14ac:dyDescent="0.25">
      <c r="A39" s="5"/>
      <c r="B39" s="110" t="s">
        <v>22</v>
      </c>
      <c r="C39" s="65">
        <f>C11+C12+C14+(C15*C11)+C21+C22+C13</f>
        <v>265500</v>
      </c>
      <c r="D39" s="66" t="s">
        <v>51</v>
      </c>
      <c r="E39" s="74"/>
      <c r="F39" s="194"/>
      <c r="G39" s="41" t="s">
        <v>78</v>
      </c>
      <c r="H39" s="19">
        <f t="shared" ref="H39:AK39" si="27">IF($C$32=0,H38,(H38/2))</f>
        <v>31500</v>
      </c>
      <c r="I39" s="19">
        <f t="shared" si="27"/>
        <v>32445</v>
      </c>
      <c r="J39" s="19">
        <f t="shared" si="27"/>
        <v>33418.35</v>
      </c>
      <c r="K39" s="19">
        <f t="shared" si="27"/>
        <v>34420.900500000003</v>
      </c>
      <c r="L39" s="19">
        <f t="shared" si="27"/>
        <v>35453.527515000002</v>
      </c>
      <c r="M39" s="19">
        <f t="shared" si="27"/>
        <v>36517.133340449996</v>
      </c>
      <c r="N39" s="19">
        <f t="shared" si="27"/>
        <v>37612.647340663498</v>
      </c>
      <c r="O39" s="19">
        <f t="shared" si="27"/>
        <v>38741.026760883404</v>
      </c>
      <c r="P39" s="19">
        <f t="shared" si="27"/>
        <v>39903.2575637099</v>
      </c>
      <c r="Q39" s="19">
        <f t="shared" si="27"/>
        <v>41100.355290621199</v>
      </c>
      <c r="R39" s="19">
        <f t="shared" si="27"/>
        <v>42333.365949339837</v>
      </c>
      <c r="S39" s="19">
        <f t="shared" si="27"/>
        <v>43603.366927820032</v>
      </c>
      <c r="T39" s="19">
        <f t="shared" si="27"/>
        <v>44911.467935654626</v>
      </c>
      <c r="U39" s="19">
        <f t="shared" si="27"/>
        <v>46258.811973724267</v>
      </c>
      <c r="V39" s="19">
        <f t="shared" si="27"/>
        <v>47646.576332935998</v>
      </c>
      <c r="W39" s="19">
        <f t="shared" si="27"/>
        <v>49075.973622924081</v>
      </c>
      <c r="X39" s="19">
        <f t="shared" si="27"/>
        <v>50548.252831611797</v>
      </c>
      <c r="Y39" s="19">
        <f t="shared" si="27"/>
        <v>52064.700416560147</v>
      </c>
      <c r="Z39" s="19">
        <f t="shared" si="27"/>
        <v>53626.641429056959</v>
      </c>
      <c r="AA39" s="19">
        <f t="shared" si="27"/>
        <v>55235.440671928656</v>
      </c>
      <c r="AB39" s="19">
        <f t="shared" si="27"/>
        <v>56892.503892086519</v>
      </c>
      <c r="AC39" s="19">
        <f t="shared" si="27"/>
        <v>58599.279008849109</v>
      </c>
      <c r="AD39" s="19">
        <f t="shared" si="27"/>
        <v>60357.257379114577</v>
      </c>
      <c r="AE39" s="19">
        <f t="shared" si="27"/>
        <v>62167.975100488024</v>
      </c>
      <c r="AF39" s="19">
        <f t="shared" si="27"/>
        <v>64033.014353502658</v>
      </c>
      <c r="AG39" s="19">
        <f t="shared" si="27"/>
        <v>65954.004784107747</v>
      </c>
      <c r="AH39" s="19">
        <f t="shared" si="27"/>
        <v>67932.624927630983</v>
      </c>
      <c r="AI39" s="19">
        <f t="shared" si="27"/>
        <v>69970.603675459904</v>
      </c>
      <c r="AJ39" s="19">
        <f t="shared" si="27"/>
        <v>72069.721785723697</v>
      </c>
      <c r="AK39" s="27">
        <f t="shared" si="27"/>
        <v>74231.813439295409</v>
      </c>
    </row>
    <row r="40" spans="1:37" s="53" customFormat="1" ht="38.25" customHeight="1" x14ac:dyDescent="0.25">
      <c r="A40" s="5"/>
      <c r="B40" s="46" t="s">
        <v>21</v>
      </c>
      <c r="C40" s="15">
        <f>IF($C$18&lt;=$C$39,C39-C18,0)</f>
        <v>245500</v>
      </c>
      <c r="D40" s="16" t="s">
        <v>51</v>
      </c>
      <c r="E40" s="75"/>
      <c r="F40" s="194"/>
      <c r="G40" s="41" t="s">
        <v>79</v>
      </c>
      <c r="H40" s="19">
        <f>IF(H39&lt;10084,0,
IF(AND(H39&gt;10084,H39&lt;=25710),(H39-10084)*0.11,
IF(AND(H39&gt;25710,H39&lt;=73516),(H39-25710)*0.3+1721.06,
IF(AND(H39&gt;73516,H39&lt;=158122),(H39-73516)*0.41+16062.86,
IF(H39&gt;158122,(H39-158122)*0.45+50751.32,
0)))))</f>
        <v>3458.06</v>
      </c>
      <c r="I40" s="19">
        <f t="shared" ref="I40:Q40" si="28">IF(I39&lt;10084,0,
IF(AND(I39&gt;10084,I39&lt;=25710),(I39-10084)*0.11,
IF(AND(I39&gt;25710,I39&lt;=73516),(I39-25710)*0.3+1721.06,
IF(AND(I39&gt;73516,I39&lt;=158122),(I39-73516)*0.41+16062.86,
IF(I39&gt;158122,(I39-158122)*0.45+50751.32,
0)))))</f>
        <v>3741.56</v>
      </c>
      <c r="J40" s="19">
        <f t="shared" si="28"/>
        <v>4033.5649999999996</v>
      </c>
      <c r="K40" s="19">
        <f t="shared" si="28"/>
        <v>4334.3301500000007</v>
      </c>
      <c r="L40" s="19">
        <f t="shared" si="28"/>
        <v>4644.1182545000001</v>
      </c>
      <c r="M40" s="19">
        <f t="shared" si="28"/>
        <v>4963.2000021349986</v>
      </c>
      <c r="N40" s="19">
        <f t="shared" si="28"/>
        <v>5291.8542021990488</v>
      </c>
      <c r="O40" s="19">
        <f t="shared" si="28"/>
        <v>5630.3680282650203</v>
      </c>
      <c r="P40" s="19">
        <f t="shared" si="28"/>
        <v>5979.0372691129705</v>
      </c>
      <c r="Q40" s="19">
        <f t="shared" si="28"/>
        <v>6338.1665871863588</v>
      </c>
      <c r="R40" s="19">
        <f t="shared" ref="R40:AJ40" si="29">IF(R39&lt;10084,0,
IF(AND(R39&gt;10084,R39&lt;=25710),(R39-10084)*0.11,
IF(AND(R39&gt;25710,R39&lt;=73516),(R39-25710)*0.3+1721.06,
IF(AND(R39&gt;73516,R39&lt;=158122),(R39-73516)*0.41+16062.86,
IF(R39&gt;158122,(R39-158122)*0.45+50751.32,
0)))))</f>
        <v>6708.0697848019518</v>
      </c>
      <c r="S40" s="19">
        <f t="shared" si="29"/>
        <v>7089.0700783460088</v>
      </c>
      <c r="T40" s="19">
        <f t="shared" si="29"/>
        <v>7481.5003806963869</v>
      </c>
      <c r="U40" s="19">
        <f t="shared" si="29"/>
        <v>7885.7035921172792</v>
      </c>
      <c r="V40" s="19">
        <f t="shared" si="29"/>
        <v>8302.0328998808</v>
      </c>
      <c r="W40" s="19">
        <f t="shared" si="29"/>
        <v>8730.8520868772248</v>
      </c>
      <c r="X40" s="19">
        <f t="shared" si="29"/>
        <v>9172.5358494835382</v>
      </c>
      <c r="Y40" s="19">
        <f t="shared" si="29"/>
        <v>9627.4701249680438</v>
      </c>
      <c r="Z40" s="19">
        <f t="shared" si="29"/>
        <v>10096.052428717087</v>
      </c>
      <c r="AA40" s="19">
        <f t="shared" si="29"/>
        <v>10578.692201578597</v>
      </c>
      <c r="AB40" s="19">
        <f t="shared" si="29"/>
        <v>11075.811167625954</v>
      </c>
      <c r="AC40" s="19">
        <f t="shared" si="29"/>
        <v>11587.843702654733</v>
      </c>
      <c r="AD40" s="19">
        <f t="shared" si="29"/>
        <v>12115.237213734372</v>
      </c>
      <c r="AE40" s="19">
        <f t="shared" si="29"/>
        <v>12658.452530146405</v>
      </c>
      <c r="AF40" s="19">
        <f t="shared" si="29"/>
        <v>13217.964306050797</v>
      </c>
      <c r="AG40" s="19">
        <f t="shared" si="29"/>
        <v>13794.261435232323</v>
      </c>
      <c r="AH40" s="19">
        <f t="shared" si="29"/>
        <v>14387.847478289294</v>
      </c>
      <c r="AI40" s="19">
        <f t="shared" si="29"/>
        <v>14999.24110263797</v>
      </c>
      <c r="AJ40" s="19">
        <f t="shared" si="29"/>
        <v>15628.976535717109</v>
      </c>
      <c r="AK40" s="27">
        <f>IF(AK39&lt;10084,0,
IF(AND(AK39&gt;10084,AK39&lt;=25710),(AK39-10084)*0.11,
IF(AND(AK39&gt;25710,AK39&lt;=73516),(AK39-25710)*0.3+1721.06,
IF(AND(AK39&gt;73516,AK39&lt;=158122),(AK39-73516)*0.41+16062.86,
IF(AK39&gt;158122,(AK39-158122)*0.45+50751.32,
0)))))</f>
        <v>16356.343510111119</v>
      </c>
    </row>
    <row r="41" spans="1:37" s="53" customFormat="1" ht="38.25" customHeight="1" x14ac:dyDescent="0.25">
      <c r="A41" s="5"/>
      <c r="B41" s="46" t="s">
        <v>23</v>
      </c>
      <c r="C41" s="15">
        <f>IF($C$18&lt;=$C$39,(PMT(C19/12,C17*12,C40)*-1)+(C20*C40/12),0)</f>
        <v>990.80924205693964</v>
      </c>
      <c r="D41" s="16" t="s">
        <v>51</v>
      </c>
      <c r="E41" s="75"/>
      <c r="F41" s="194"/>
      <c r="G41" s="41" t="s">
        <v>80</v>
      </c>
      <c r="H41" s="19">
        <f t="shared" ref="H41:AK41" si="30">IF($C$32=0,H40,(H40*2))</f>
        <v>3458.06</v>
      </c>
      <c r="I41" s="19">
        <f t="shared" si="30"/>
        <v>3741.56</v>
      </c>
      <c r="J41" s="19">
        <f t="shared" si="30"/>
        <v>4033.5649999999996</v>
      </c>
      <c r="K41" s="19">
        <f t="shared" si="30"/>
        <v>4334.3301500000007</v>
      </c>
      <c r="L41" s="19">
        <f t="shared" si="30"/>
        <v>4644.1182545000001</v>
      </c>
      <c r="M41" s="19">
        <f t="shared" si="30"/>
        <v>4963.2000021349986</v>
      </c>
      <c r="N41" s="19">
        <f t="shared" si="30"/>
        <v>5291.8542021990488</v>
      </c>
      <c r="O41" s="19">
        <f t="shared" si="30"/>
        <v>5630.3680282650203</v>
      </c>
      <c r="P41" s="19">
        <f t="shared" si="30"/>
        <v>5979.0372691129705</v>
      </c>
      <c r="Q41" s="19">
        <f t="shared" si="30"/>
        <v>6338.1665871863588</v>
      </c>
      <c r="R41" s="19">
        <f t="shared" si="30"/>
        <v>6708.0697848019518</v>
      </c>
      <c r="S41" s="19">
        <f t="shared" si="30"/>
        <v>7089.0700783460088</v>
      </c>
      <c r="T41" s="19">
        <f t="shared" si="30"/>
        <v>7481.5003806963869</v>
      </c>
      <c r="U41" s="19">
        <f t="shared" si="30"/>
        <v>7885.7035921172792</v>
      </c>
      <c r="V41" s="19">
        <f t="shared" si="30"/>
        <v>8302.0328998808</v>
      </c>
      <c r="W41" s="19">
        <f t="shared" si="30"/>
        <v>8730.8520868772248</v>
      </c>
      <c r="X41" s="19">
        <f t="shared" si="30"/>
        <v>9172.5358494835382</v>
      </c>
      <c r="Y41" s="19">
        <f t="shared" si="30"/>
        <v>9627.4701249680438</v>
      </c>
      <c r="Z41" s="19">
        <f t="shared" si="30"/>
        <v>10096.052428717087</v>
      </c>
      <c r="AA41" s="19">
        <f t="shared" si="30"/>
        <v>10578.692201578597</v>
      </c>
      <c r="AB41" s="19">
        <f t="shared" si="30"/>
        <v>11075.811167625954</v>
      </c>
      <c r="AC41" s="19">
        <f t="shared" si="30"/>
        <v>11587.843702654733</v>
      </c>
      <c r="AD41" s="19">
        <f t="shared" si="30"/>
        <v>12115.237213734372</v>
      </c>
      <c r="AE41" s="19">
        <f t="shared" si="30"/>
        <v>12658.452530146405</v>
      </c>
      <c r="AF41" s="19">
        <f t="shared" si="30"/>
        <v>13217.964306050797</v>
      </c>
      <c r="AG41" s="19">
        <f t="shared" si="30"/>
        <v>13794.261435232323</v>
      </c>
      <c r="AH41" s="19">
        <f t="shared" si="30"/>
        <v>14387.847478289294</v>
      </c>
      <c r="AI41" s="19">
        <f t="shared" si="30"/>
        <v>14999.24110263797</v>
      </c>
      <c r="AJ41" s="19">
        <f t="shared" si="30"/>
        <v>15628.976535717109</v>
      </c>
      <c r="AK41" s="27">
        <f t="shared" si="30"/>
        <v>16356.343510111119</v>
      </c>
    </row>
    <row r="42" spans="1:37" s="53" customFormat="1" ht="38.25" customHeight="1" x14ac:dyDescent="0.25">
      <c r="A42" s="5"/>
      <c r="B42" s="47" t="s">
        <v>164</v>
      </c>
      <c r="C42" s="128">
        <f>(C23*C25+C24)/C39</f>
        <v>6.7796610169491525E-2</v>
      </c>
      <c r="D42" s="111" t="s">
        <v>40</v>
      </c>
      <c r="E42" s="37"/>
      <c r="F42" s="194"/>
      <c r="G42" s="41" t="s">
        <v>77</v>
      </c>
      <c r="H42" s="19">
        <f t="shared" ref="H42:AK42" si="31">IF($C$32=0,($C$34-1)/0.25*784,($C$34-2)/0.25*784)</f>
        <v>0</v>
      </c>
      <c r="I42" s="19">
        <f t="shared" si="31"/>
        <v>0</v>
      </c>
      <c r="J42" s="19">
        <f t="shared" si="31"/>
        <v>0</v>
      </c>
      <c r="K42" s="19">
        <f t="shared" si="31"/>
        <v>0</v>
      </c>
      <c r="L42" s="19">
        <f t="shared" si="31"/>
        <v>0</v>
      </c>
      <c r="M42" s="19">
        <f t="shared" si="31"/>
        <v>0</v>
      </c>
      <c r="N42" s="19">
        <f t="shared" si="31"/>
        <v>0</v>
      </c>
      <c r="O42" s="19">
        <f t="shared" si="31"/>
        <v>0</v>
      </c>
      <c r="P42" s="19">
        <f t="shared" si="31"/>
        <v>0</v>
      </c>
      <c r="Q42" s="19">
        <f t="shared" si="31"/>
        <v>0</v>
      </c>
      <c r="R42" s="19">
        <f t="shared" si="31"/>
        <v>0</v>
      </c>
      <c r="S42" s="19">
        <f t="shared" si="31"/>
        <v>0</v>
      </c>
      <c r="T42" s="19">
        <f t="shared" si="31"/>
        <v>0</v>
      </c>
      <c r="U42" s="19">
        <f t="shared" si="31"/>
        <v>0</v>
      </c>
      <c r="V42" s="19">
        <f t="shared" si="31"/>
        <v>0</v>
      </c>
      <c r="W42" s="19">
        <f t="shared" si="31"/>
        <v>0</v>
      </c>
      <c r="X42" s="19">
        <f t="shared" si="31"/>
        <v>0</v>
      </c>
      <c r="Y42" s="19">
        <f t="shared" si="31"/>
        <v>0</v>
      </c>
      <c r="Z42" s="19">
        <f t="shared" si="31"/>
        <v>0</v>
      </c>
      <c r="AA42" s="19">
        <f t="shared" si="31"/>
        <v>0</v>
      </c>
      <c r="AB42" s="19">
        <f t="shared" si="31"/>
        <v>0</v>
      </c>
      <c r="AC42" s="19">
        <f t="shared" si="31"/>
        <v>0</v>
      </c>
      <c r="AD42" s="19">
        <f t="shared" si="31"/>
        <v>0</v>
      </c>
      <c r="AE42" s="19">
        <f t="shared" si="31"/>
        <v>0</v>
      </c>
      <c r="AF42" s="19">
        <f t="shared" si="31"/>
        <v>0</v>
      </c>
      <c r="AG42" s="19">
        <f t="shared" si="31"/>
        <v>0</v>
      </c>
      <c r="AH42" s="19">
        <f t="shared" si="31"/>
        <v>0</v>
      </c>
      <c r="AI42" s="19">
        <f t="shared" si="31"/>
        <v>0</v>
      </c>
      <c r="AJ42" s="19">
        <f t="shared" si="31"/>
        <v>0</v>
      </c>
      <c r="AK42" s="27">
        <f t="shared" si="31"/>
        <v>0</v>
      </c>
    </row>
    <row r="43" spans="1:37" s="53" customFormat="1" ht="38.25" customHeight="1" x14ac:dyDescent="0.25">
      <c r="A43" s="5"/>
      <c r="B43" s="48"/>
      <c r="E43" s="37"/>
      <c r="F43" s="194"/>
      <c r="G43" s="41" t="s">
        <v>81</v>
      </c>
      <c r="H43" s="19">
        <f t="shared" ref="H43:AK43" si="32">H38/$C$34</f>
        <v>31500</v>
      </c>
      <c r="I43" s="19">
        <f t="shared" si="32"/>
        <v>32445</v>
      </c>
      <c r="J43" s="19">
        <f t="shared" si="32"/>
        <v>33418.35</v>
      </c>
      <c r="K43" s="19">
        <f t="shared" si="32"/>
        <v>34420.900500000003</v>
      </c>
      <c r="L43" s="19">
        <f t="shared" si="32"/>
        <v>35453.527515000002</v>
      </c>
      <c r="M43" s="19">
        <f t="shared" si="32"/>
        <v>36517.133340449996</v>
      </c>
      <c r="N43" s="19">
        <f t="shared" si="32"/>
        <v>37612.647340663498</v>
      </c>
      <c r="O43" s="19">
        <f t="shared" si="32"/>
        <v>38741.026760883404</v>
      </c>
      <c r="P43" s="19">
        <f t="shared" si="32"/>
        <v>39903.2575637099</v>
      </c>
      <c r="Q43" s="19">
        <f t="shared" si="32"/>
        <v>41100.355290621199</v>
      </c>
      <c r="R43" s="19">
        <f t="shared" si="32"/>
        <v>42333.365949339837</v>
      </c>
      <c r="S43" s="19">
        <f t="shared" si="32"/>
        <v>43603.366927820032</v>
      </c>
      <c r="T43" s="19">
        <f t="shared" si="32"/>
        <v>44911.467935654626</v>
      </c>
      <c r="U43" s="19">
        <f t="shared" si="32"/>
        <v>46258.811973724267</v>
      </c>
      <c r="V43" s="19">
        <f t="shared" si="32"/>
        <v>47646.576332935998</v>
      </c>
      <c r="W43" s="19">
        <f t="shared" si="32"/>
        <v>49075.973622924081</v>
      </c>
      <c r="X43" s="19">
        <f t="shared" si="32"/>
        <v>50548.252831611797</v>
      </c>
      <c r="Y43" s="19">
        <f t="shared" si="32"/>
        <v>52064.700416560147</v>
      </c>
      <c r="Z43" s="19">
        <f t="shared" si="32"/>
        <v>53626.641429056959</v>
      </c>
      <c r="AA43" s="19">
        <f t="shared" si="32"/>
        <v>55235.440671928656</v>
      </c>
      <c r="AB43" s="19">
        <f t="shared" si="32"/>
        <v>56892.503892086519</v>
      </c>
      <c r="AC43" s="19">
        <f t="shared" si="32"/>
        <v>58599.279008849109</v>
      </c>
      <c r="AD43" s="19">
        <f t="shared" si="32"/>
        <v>60357.257379114577</v>
      </c>
      <c r="AE43" s="19">
        <f t="shared" si="32"/>
        <v>62167.975100488024</v>
      </c>
      <c r="AF43" s="19">
        <f t="shared" si="32"/>
        <v>64033.014353502658</v>
      </c>
      <c r="AG43" s="19">
        <f t="shared" si="32"/>
        <v>65954.004784107747</v>
      </c>
      <c r="AH43" s="19">
        <f t="shared" si="32"/>
        <v>67932.624927630983</v>
      </c>
      <c r="AI43" s="19">
        <f t="shared" si="32"/>
        <v>69970.603675459904</v>
      </c>
      <c r="AJ43" s="19">
        <f t="shared" si="32"/>
        <v>72069.721785723697</v>
      </c>
      <c r="AK43" s="27">
        <f t="shared" si="32"/>
        <v>74231.813439295409</v>
      </c>
    </row>
    <row r="44" spans="1:37" s="53" customFormat="1" ht="38.25" customHeight="1" x14ac:dyDescent="0.25">
      <c r="A44" s="5"/>
      <c r="E44" s="72"/>
      <c r="F44" s="194"/>
      <c r="G44" s="41" t="s">
        <v>82</v>
      </c>
      <c r="H44" s="19">
        <f>IF(H43&lt;10084,0,
IF(AND(H43&gt;10084,H43&lt;=25710),(H43-10084)*0.11,
IF(AND(H43&gt;25710,H43&lt;=73516),(H43-25710)*0.3+1721.06,
IF(AND(H43&gt;73516,H43&lt;=158122),(H43-73516)*0.41+16062.86,
IF(H43&gt;158122,(H43-158122)*0.45+50751.32,
0)))))</f>
        <v>3458.06</v>
      </c>
      <c r="I44" s="19">
        <f t="shared" ref="I44:Q44" si="33">IF(I43&lt;10084,0,
IF(AND(I43&gt;10084,I43&lt;=25710),(I43-10084)*0.11,
IF(AND(I43&gt;25710,I43&lt;=73516),(I43-25710)*0.3+1721.06,
IF(AND(I43&gt;73516,I43&lt;=158122),(I43-73516)*0.41+16062.86,
IF(I43&gt;158122,(I43-158122)*0.45+50751.32,
0)))))</f>
        <v>3741.56</v>
      </c>
      <c r="J44" s="19">
        <f t="shared" si="33"/>
        <v>4033.5649999999996</v>
      </c>
      <c r="K44" s="19">
        <f t="shared" si="33"/>
        <v>4334.3301500000007</v>
      </c>
      <c r="L44" s="19">
        <f t="shared" si="33"/>
        <v>4644.1182545000001</v>
      </c>
      <c r="M44" s="19">
        <f t="shared" si="33"/>
        <v>4963.2000021349986</v>
      </c>
      <c r="N44" s="19">
        <f t="shared" si="33"/>
        <v>5291.8542021990488</v>
      </c>
      <c r="O44" s="19">
        <f t="shared" si="33"/>
        <v>5630.3680282650203</v>
      </c>
      <c r="P44" s="19">
        <f t="shared" si="33"/>
        <v>5979.0372691129705</v>
      </c>
      <c r="Q44" s="19">
        <f t="shared" si="33"/>
        <v>6338.1665871863588</v>
      </c>
      <c r="R44" s="19">
        <f t="shared" ref="R44:AJ44" si="34">IF(R43&lt;10084,0,
IF(AND(R43&gt;10084,R43&lt;=25710),(R43-10084)*0.11,
IF(AND(R43&gt;25710,R43&lt;=73516),(R43-25710)*0.3+1721.06,
IF(AND(R43&gt;73516,R43&lt;=158122),(R43-73516)*0.41+16062.86,
IF(R43&gt;158122,(R43-158122)*0.45+50751.32,
0)))))</f>
        <v>6708.0697848019518</v>
      </c>
      <c r="S44" s="19">
        <f t="shared" si="34"/>
        <v>7089.0700783460088</v>
      </c>
      <c r="T44" s="19">
        <f t="shared" si="34"/>
        <v>7481.5003806963869</v>
      </c>
      <c r="U44" s="19">
        <f t="shared" si="34"/>
        <v>7885.7035921172792</v>
      </c>
      <c r="V44" s="19">
        <f t="shared" si="34"/>
        <v>8302.0328998808</v>
      </c>
      <c r="W44" s="19">
        <f t="shared" si="34"/>
        <v>8730.8520868772248</v>
      </c>
      <c r="X44" s="19">
        <f t="shared" si="34"/>
        <v>9172.5358494835382</v>
      </c>
      <c r="Y44" s="19">
        <f t="shared" si="34"/>
        <v>9627.4701249680438</v>
      </c>
      <c r="Z44" s="19">
        <f t="shared" si="34"/>
        <v>10096.052428717087</v>
      </c>
      <c r="AA44" s="19">
        <f t="shared" si="34"/>
        <v>10578.692201578597</v>
      </c>
      <c r="AB44" s="19">
        <f t="shared" si="34"/>
        <v>11075.811167625954</v>
      </c>
      <c r="AC44" s="19">
        <f t="shared" si="34"/>
        <v>11587.843702654733</v>
      </c>
      <c r="AD44" s="19">
        <f t="shared" si="34"/>
        <v>12115.237213734372</v>
      </c>
      <c r="AE44" s="19">
        <f t="shared" si="34"/>
        <v>12658.452530146405</v>
      </c>
      <c r="AF44" s="19">
        <f t="shared" si="34"/>
        <v>13217.964306050797</v>
      </c>
      <c r="AG44" s="19">
        <f t="shared" si="34"/>
        <v>13794.261435232323</v>
      </c>
      <c r="AH44" s="19">
        <f t="shared" si="34"/>
        <v>14387.847478289294</v>
      </c>
      <c r="AI44" s="19">
        <f t="shared" si="34"/>
        <v>14999.24110263797</v>
      </c>
      <c r="AJ44" s="19">
        <f t="shared" si="34"/>
        <v>15628.976535717109</v>
      </c>
      <c r="AK44" s="27">
        <f>IF(AK43&lt;10084,0,
IF(AND(AK43&gt;10084,AK43&lt;=25710),(AK43-10084)*0.11,
IF(AND(AK43&gt;25710,AK43&lt;=73516),(AK43-25710)*0.3+1721.06,
IF(AND(AK43&gt;73516,AK43&lt;=158122),(AK43-73516)*0.41+16062.86,
IF(AK43&gt;158122,(AK43-158122)*0.45+50751.32,
0)))))</f>
        <v>16356.343510111119</v>
      </c>
    </row>
    <row r="45" spans="1:37" s="53" customFormat="1" ht="38.25" customHeight="1" x14ac:dyDescent="0.25">
      <c r="A45" s="5"/>
      <c r="E45" s="26"/>
      <c r="F45" s="194"/>
      <c r="G45" s="41" t="s">
        <v>83</v>
      </c>
      <c r="H45" s="19">
        <f t="shared" ref="H45:AK45" si="35">H44*$C$34</f>
        <v>3458.06</v>
      </c>
      <c r="I45" s="19">
        <f t="shared" si="35"/>
        <v>3741.56</v>
      </c>
      <c r="J45" s="19">
        <f t="shared" si="35"/>
        <v>4033.5649999999996</v>
      </c>
      <c r="K45" s="19">
        <f t="shared" si="35"/>
        <v>4334.3301500000007</v>
      </c>
      <c r="L45" s="19">
        <f t="shared" si="35"/>
        <v>4644.1182545000001</v>
      </c>
      <c r="M45" s="19">
        <f t="shared" si="35"/>
        <v>4963.2000021349986</v>
      </c>
      <c r="N45" s="19">
        <f t="shared" si="35"/>
        <v>5291.8542021990488</v>
      </c>
      <c r="O45" s="19">
        <f t="shared" si="35"/>
        <v>5630.3680282650203</v>
      </c>
      <c r="P45" s="19">
        <f t="shared" si="35"/>
        <v>5979.0372691129705</v>
      </c>
      <c r="Q45" s="19">
        <f t="shared" si="35"/>
        <v>6338.1665871863588</v>
      </c>
      <c r="R45" s="19">
        <f t="shared" si="35"/>
        <v>6708.0697848019518</v>
      </c>
      <c r="S45" s="19">
        <f t="shared" si="35"/>
        <v>7089.0700783460088</v>
      </c>
      <c r="T45" s="19">
        <f t="shared" si="35"/>
        <v>7481.5003806963869</v>
      </c>
      <c r="U45" s="19">
        <f t="shared" si="35"/>
        <v>7885.7035921172792</v>
      </c>
      <c r="V45" s="19">
        <f t="shared" si="35"/>
        <v>8302.0328998808</v>
      </c>
      <c r="W45" s="19">
        <f t="shared" si="35"/>
        <v>8730.8520868772248</v>
      </c>
      <c r="X45" s="19">
        <f t="shared" si="35"/>
        <v>9172.5358494835382</v>
      </c>
      <c r="Y45" s="19">
        <f t="shared" si="35"/>
        <v>9627.4701249680438</v>
      </c>
      <c r="Z45" s="19">
        <f t="shared" si="35"/>
        <v>10096.052428717087</v>
      </c>
      <c r="AA45" s="19">
        <f t="shared" si="35"/>
        <v>10578.692201578597</v>
      </c>
      <c r="AB45" s="19">
        <f t="shared" si="35"/>
        <v>11075.811167625954</v>
      </c>
      <c r="AC45" s="19">
        <f t="shared" si="35"/>
        <v>11587.843702654733</v>
      </c>
      <c r="AD45" s="19">
        <f t="shared" si="35"/>
        <v>12115.237213734372</v>
      </c>
      <c r="AE45" s="19">
        <f t="shared" si="35"/>
        <v>12658.452530146405</v>
      </c>
      <c r="AF45" s="19">
        <f t="shared" si="35"/>
        <v>13217.964306050797</v>
      </c>
      <c r="AG45" s="19">
        <f t="shared" si="35"/>
        <v>13794.261435232323</v>
      </c>
      <c r="AH45" s="19">
        <f t="shared" si="35"/>
        <v>14387.847478289294</v>
      </c>
      <c r="AI45" s="19">
        <f t="shared" si="35"/>
        <v>14999.24110263797</v>
      </c>
      <c r="AJ45" s="19">
        <f t="shared" si="35"/>
        <v>15628.976535717109</v>
      </c>
      <c r="AK45" s="27">
        <f t="shared" si="35"/>
        <v>16356.343510111119</v>
      </c>
    </row>
    <row r="46" spans="1:37" s="53" customFormat="1" ht="38.25" customHeight="1" x14ac:dyDescent="0.25">
      <c r="A46" s="5"/>
      <c r="E46" s="26"/>
      <c r="F46" s="195"/>
      <c r="G46" s="43" t="s">
        <v>74</v>
      </c>
      <c r="H46" s="17">
        <f>IF(H41-H45&lt;H42,H45,H41-H42)</f>
        <v>3458.06</v>
      </c>
      <c r="I46" s="17">
        <f t="shared" ref="I46:Q46" si="36">IF(I41-I45&lt;I42,I45,I41-I42)</f>
        <v>3741.56</v>
      </c>
      <c r="J46" s="17">
        <f t="shared" si="36"/>
        <v>4033.5649999999996</v>
      </c>
      <c r="K46" s="17">
        <f t="shared" si="36"/>
        <v>4334.3301500000007</v>
      </c>
      <c r="L46" s="17">
        <f t="shared" si="36"/>
        <v>4644.1182545000001</v>
      </c>
      <c r="M46" s="17">
        <f t="shared" si="36"/>
        <v>4963.2000021349986</v>
      </c>
      <c r="N46" s="17">
        <f t="shared" si="36"/>
        <v>5291.8542021990488</v>
      </c>
      <c r="O46" s="17">
        <f t="shared" si="36"/>
        <v>5630.3680282650203</v>
      </c>
      <c r="P46" s="17">
        <f t="shared" si="36"/>
        <v>5979.0372691129705</v>
      </c>
      <c r="Q46" s="17">
        <f t="shared" si="36"/>
        <v>6338.1665871863588</v>
      </c>
      <c r="R46" s="17">
        <f t="shared" ref="R46:AJ46" si="37">IF(R41-R45&lt;R42,R45,R41-R42)</f>
        <v>6708.0697848019518</v>
      </c>
      <c r="S46" s="17">
        <f t="shared" si="37"/>
        <v>7089.0700783460088</v>
      </c>
      <c r="T46" s="17">
        <f t="shared" si="37"/>
        <v>7481.5003806963869</v>
      </c>
      <c r="U46" s="17">
        <f t="shared" si="37"/>
        <v>7885.7035921172792</v>
      </c>
      <c r="V46" s="17">
        <f t="shared" si="37"/>
        <v>8302.0328998808</v>
      </c>
      <c r="W46" s="17">
        <f t="shared" si="37"/>
        <v>8730.8520868772248</v>
      </c>
      <c r="X46" s="17">
        <f t="shared" si="37"/>
        <v>9172.5358494835382</v>
      </c>
      <c r="Y46" s="17">
        <f t="shared" si="37"/>
        <v>9627.4701249680438</v>
      </c>
      <c r="Z46" s="17">
        <f t="shared" si="37"/>
        <v>10096.052428717087</v>
      </c>
      <c r="AA46" s="17">
        <f t="shared" si="37"/>
        <v>10578.692201578597</v>
      </c>
      <c r="AB46" s="17">
        <f t="shared" si="37"/>
        <v>11075.811167625954</v>
      </c>
      <c r="AC46" s="17">
        <f t="shared" si="37"/>
        <v>11587.843702654733</v>
      </c>
      <c r="AD46" s="17">
        <f t="shared" si="37"/>
        <v>12115.237213734372</v>
      </c>
      <c r="AE46" s="17">
        <f t="shared" si="37"/>
        <v>12658.452530146405</v>
      </c>
      <c r="AF46" s="17">
        <f t="shared" si="37"/>
        <v>13217.964306050797</v>
      </c>
      <c r="AG46" s="17">
        <f t="shared" si="37"/>
        <v>13794.261435232323</v>
      </c>
      <c r="AH46" s="17">
        <f t="shared" si="37"/>
        <v>14387.847478289294</v>
      </c>
      <c r="AI46" s="17">
        <f t="shared" si="37"/>
        <v>14999.24110263797</v>
      </c>
      <c r="AJ46" s="17">
        <f t="shared" si="37"/>
        <v>15628.976535717109</v>
      </c>
      <c r="AK46" s="18">
        <f>IF(AK41-AK45&lt;AK42,AK45,AK41-AK42)</f>
        <v>16356.343510111119</v>
      </c>
    </row>
    <row r="47" spans="1:37" s="53" customFormat="1" ht="38.25" customHeight="1" x14ac:dyDescent="0.25">
      <c r="A47" s="5"/>
      <c r="E47" s="26"/>
      <c r="F47" s="86"/>
      <c r="G47" s="54"/>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row>
    <row r="48" spans="1:37" s="53" customFormat="1" ht="38.25" customHeight="1" x14ac:dyDescent="0.25">
      <c r="A48" s="5"/>
      <c r="B48" s="48"/>
      <c r="E48" s="37"/>
      <c r="F48" s="156" t="s">
        <v>106</v>
      </c>
      <c r="G48" s="11" t="s">
        <v>97</v>
      </c>
      <c r="H48" s="62">
        <f>($C$11+$C$13)*((1+$C$36)^(H$10))</f>
        <v>232300</v>
      </c>
      <c r="I48" s="62">
        <f t="shared" ref="I48:AJ48" si="38">($C$11+$C$13)*((1+$C$36)^(I$10))</f>
        <v>234623</v>
      </c>
      <c r="J48" s="62">
        <f t="shared" si="38"/>
        <v>236969.22999999998</v>
      </c>
      <c r="K48" s="62">
        <f t="shared" si="38"/>
        <v>239338.92230000001</v>
      </c>
      <c r="L48" s="62">
        <f t="shared" si="38"/>
        <v>241732.31152299998</v>
      </c>
      <c r="M48" s="62">
        <f t="shared" si="38"/>
        <v>244149.63463823003</v>
      </c>
      <c r="N48" s="62">
        <f t="shared" si="38"/>
        <v>246591.13098461227</v>
      </c>
      <c r="O48" s="62">
        <f t="shared" si="38"/>
        <v>249057.04229445846</v>
      </c>
      <c r="P48" s="62">
        <f t="shared" si="38"/>
        <v>251547.61271740304</v>
      </c>
      <c r="Q48" s="62">
        <f t="shared" si="38"/>
        <v>254063.08884457708</v>
      </c>
      <c r="R48" s="62">
        <f t="shared" si="38"/>
        <v>256603.71973302279</v>
      </c>
      <c r="S48" s="62">
        <f t="shared" si="38"/>
        <v>259169.75693035306</v>
      </c>
      <c r="T48" s="62">
        <f t="shared" si="38"/>
        <v>261761.4544996566</v>
      </c>
      <c r="U48" s="62">
        <f t="shared" si="38"/>
        <v>264379.06904465321</v>
      </c>
      <c r="V48" s="62">
        <f t="shared" si="38"/>
        <v>267022.85973509966</v>
      </c>
      <c r="W48" s="62">
        <f t="shared" si="38"/>
        <v>269693.08833245072</v>
      </c>
      <c r="X48" s="62">
        <f t="shared" si="38"/>
        <v>272390.01921577525</v>
      </c>
      <c r="Y48" s="62">
        <f t="shared" si="38"/>
        <v>275113.91940793302</v>
      </c>
      <c r="Z48" s="62">
        <f t="shared" si="38"/>
        <v>277865.05860201229</v>
      </c>
      <c r="AA48" s="62">
        <f t="shared" si="38"/>
        <v>280643.70918803243</v>
      </c>
      <c r="AB48" s="62">
        <f t="shared" si="38"/>
        <v>283450.14627991273</v>
      </c>
      <c r="AC48" s="62">
        <f t="shared" si="38"/>
        <v>286284.64774271194</v>
      </c>
      <c r="AD48" s="62">
        <f t="shared" si="38"/>
        <v>289147.49422013899</v>
      </c>
      <c r="AE48" s="62">
        <f t="shared" si="38"/>
        <v>292038.96916234045</v>
      </c>
      <c r="AF48" s="62">
        <f t="shared" si="38"/>
        <v>294959.3588539639</v>
      </c>
      <c r="AG48" s="62">
        <f t="shared" si="38"/>
        <v>297908.95244250353</v>
      </c>
      <c r="AH48" s="62">
        <f t="shared" si="38"/>
        <v>300888.04196692846</v>
      </c>
      <c r="AI48" s="62">
        <f t="shared" si="38"/>
        <v>303896.92238659773</v>
      </c>
      <c r="AJ48" s="62">
        <f t="shared" si="38"/>
        <v>306935.89161046373</v>
      </c>
      <c r="AK48" s="63">
        <f>($C$11+$C$13)*((1+$C$36)^(AK$10))</f>
        <v>310005.25052656844</v>
      </c>
    </row>
    <row r="49" spans="1:37" s="53" customFormat="1" ht="38.25" customHeight="1" x14ac:dyDescent="0.25">
      <c r="A49" s="5"/>
      <c r="B49" s="48"/>
      <c r="E49" s="37"/>
      <c r="F49" s="87"/>
      <c r="G49" s="54"/>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row>
    <row r="50" spans="1:37" s="53" customFormat="1" ht="38.25" customHeight="1" x14ac:dyDescent="0.25">
      <c r="A50" s="5"/>
      <c r="B50" s="48"/>
      <c r="E50" s="37"/>
      <c r="F50" s="197" t="s">
        <v>174</v>
      </c>
      <c r="G50" s="44" t="s">
        <v>171</v>
      </c>
      <c r="H50" s="29">
        <f>IF(H$10=1,H$19+H$26+H$32+$C$21+$C$12,H$19+H$26+H$32)</f>
        <v>30227.25077206581</v>
      </c>
      <c r="I50" s="29">
        <f t="shared" ref="I50:AK50" si="39">IF(I$10=1,I$19+I$26+I$32+$C$21+$C$12,I$19+I$26+I$32)</f>
        <v>17155.86473983313</v>
      </c>
      <c r="J50" s="29">
        <f t="shared" si="39"/>
        <v>17083.288807037356</v>
      </c>
      <c r="K50" s="29">
        <f t="shared" si="39"/>
        <v>17009.504367178466</v>
      </c>
      <c r="L50" s="29">
        <f t="shared" si="39"/>
        <v>16934.492533181598</v>
      </c>
      <c r="M50" s="29">
        <f t="shared" si="39"/>
        <v>16858.234133259666</v>
      </c>
      <c r="N50" s="29">
        <f t="shared" si="39"/>
        <v>16780.709706715796</v>
      </c>
      <c r="O50" s="29">
        <f t="shared" si="39"/>
        <v>15987.613785399062</v>
      </c>
      <c r="P50" s="29">
        <f t="shared" si="39"/>
        <v>15907.497746526928</v>
      </c>
      <c r="Q50" s="29">
        <f t="shared" si="39"/>
        <v>15826.055522587736</v>
      </c>
      <c r="R50" s="29">
        <f t="shared" si="39"/>
        <v>14743.2664540367</v>
      </c>
      <c r="S50" s="29">
        <f t="shared" si="39"/>
        <v>14659.10957049872</v>
      </c>
      <c r="T50" s="29">
        <f t="shared" si="39"/>
        <v>14573.563586191387</v>
      </c>
      <c r="U50" s="29">
        <f t="shared" si="39"/>
        <v>14486.606895281533</v>
      </c>
      <c r="V50" s="29">
        <f t="shared" si="39"/>
        <v>14398.217567174339</v>
      </c>
      <c r="W50" s="29">
        <f t="shared" si="39"/>
        <v>14308.373341734095</v>
      </c>
      <c r="X50" s="29">
        <f t="shared" si="39"/>
        <v>14217.051624435539</v>
      </c>
      <c r="Y50" s="29">
        <f t="shared" si="39"/>
        <v>14124.229481444847</v>
      </c>
      <c r="Z50" s="29">
        <f t="shared" si="39"/>
        <v>14029.883634629252</v>
      </c>
      <c r="AA50" s="29">
        <f t="shared" si="39"/>
        <v>13933.99045649423</v>
      </c>
      <c r="AB50" s="29">
        <f t="shared" si="39"/>
        <v>13836.525965047236</v>
      </c>
      <c r="AC50" s="29">
        <f t="shared" si="39"/>
        <v>13737.465818586948</v>
      </c>
      <c r="AD50" s="29">
        <f t="shared" si="39"/>
        <v>13636.785310416923</v>
      </c>
      <c r="AE50" s="29">
        <f t="shared" si="39"/>
        <v>13534.45936348258</v>
      </c>
      <c r="AF50" s="29">
        <f t="shared" si="39"/>
        <v>13430.462524930434</v>
      </c>
      <c r="AG50" s="29">
        <f t="shared" si="39"/>
        <v>13154.277310910886</v>
      </c>
      <c r="AH50" s="29">
        <f t="shared" si="39"/>
        <v>13211.986750686661</v>
      </c>
      <c r="AI50" s="29">
        <f t="shared" si="39"/>
        <v>13270.273284860195</v>
      </c>
      <c r="AJ50" s="29">
        <f t="shared" si="39"/>
        <v>13329.142684375463</v>
      </c>
      <c r="AK50" s="30">
        <f t="shared" si="39"/>
        <v>13388.600777885884</v>
      </c>
    </row>
    <row r="51" spans="1:37" s="53" customFormat="1" ht="38.25" customHeight="1" x14ac:dyDescent="0.25">
      <c r="A51" s="5"/>
      <c r="B51" s="48"/>
      <c r="E51" s="37"/>
      <c r="F51" s="198"/>
      <c r="G51" s="41" t="s">
        <v>172</v>
      </c>
      <c r="H51" s="19">
        <f>IF(H$10=1,0,IF(G$51+G$50-G$12&gt;0,G$51+G$50-G$12,0))</f>
        <v>0</v>
      </c>
      <c r="I51" s="19">
        <f t="shared" ref="I51:AK51" si="40">IF(I$10=1,0,IF(H$51+H$50-H$12&gt;0,H$51+H$50-H$12,0))</f>
        <v>12227.25077206581</v>
      </c>
      <c r="J51" s="19">
        <f t="shared" si="40"/>
        <v>11203.115511898941</v>
      </c>
      <c r="K51" s="19">
        <f t="shared" si="40"/>
        <v>9924.6043189362936</v>
      </c>
      <c r="L51" s="19">
        <f t="shared" si="40"/>
        <v>8388.6906861147618</v>
      </c>
      <c r="M51" s="19">
        <f t="shared" si="40"/>
        <v>6592.3110392963572</v>
      </c>
      <c r="N51" s="19">
        <f t="shared" si="40"/>
        <v>4532.3642707560248</v>
      </c>
      <c r="O51" s="19">
        <f t="shared" si="40"/>
        <v>2205.711266653816</v>
      </c>
      <c r="P51" s="19">
        <f t="shared" si="40"/>
        <v>0</v>
      </c>
      <c r="Q51" s="19">
        <f t="shared" si="40"/>
        <v>0</v>
      </c>
      <c r="R51" s="19">
        <f t="shared" si="40"/>
        <v>0</v>
      </c>
      <c r="S51" s="19">
        <f t="shared" si="40"/>
        <v>0</v>
      </c>
      <c r="T51" s="19">
        <f t="shared" si="40"/>
        <v>0</v>
      </c>
      <c r="U51" s="19">
        <f t="shared" si="40"/>
        <v>0</v>
      </c>
      <c r="V51" s="19">
        <f t="shared" si="40"/>
        <v>0</v>
      </c>
      <c r="W51" s="19">
        <f t="shared" si="40"/>
        <v>0</v>
      </c>
      <c r="X51" s="19">
        <f t="shared" si="40"/>
        <v>0</v>
      </c>
      <c r="Y51" s="19">
        <f t="shared" si="40"/>
        <v>0</v>
      </c>
      <c r="Z51" s="19">
        <f t="shared" si="40"/>
        <v>0</v>
      </c>
      <c r="AA51" s="19">
        <f t="shared" si="40"/>
        <v>0</v>
      </c>
      <c r="AB51" s="19">
        <f t="shared" si="40"/>
        <v>0</v>
      </c>
      <c r="AC51" s="19">
        <f t="shared" si="40"/>
        <v>0</v>
      </c>
      <c r="AD51" s="19">
        <f t="shared" si="40"/>
        <v>0</v>
      </c>
      <c r="AE51" s="19">
        <f t="shared" si="40"/>
        <v>0</v>
      </c>
      <c r="AF51" s="19">
        <f t="shared" si="40"/>
        <v>0</v>
      </c>
      <c r="AG51" s="19">
        <f t="shared" si="40"/>
        <v>0</v>
      </c>
      <c r="AH51" s="19">
        <f t="shared" si="40"/>
        <v>0</v>
      </c>
      <c r="AI51" s="19">
        <f t="shared" si="40"/>
        <v>0</v>
      </c>
      <c r="AJ51" s="19">
        <f t="shared" si="40"/>
        <v>0</v>
      </c>
      <c r="AK51" s="27">
        <f t="shared" si="40"/>
        <v>0</v>
      </c>
    </row>
    <row r="52" spans="1:37" s="53" customFormat="1" ht="38.25" customHeight="1" x14ac:dyDescent="0.25">
      <c r="A52" s="5"/>
      <c r="B52" s="48"/>
      <c r="E52" s="37"/>
      <c r="F52" s="198"/>
      <c r="G52" s="142" t="s">
        <v>162</v>
      </c>
      <c r="H52" s="19">
        <f t="shared" ref="H52:AK52" si="41">IF(H12-H50-H51&lt;=0,0,H12-H50-H51)</f>
        <v>0</v>
      </c>
      <c r="I52" s="19">
        <f t="shared" si="41"/>
        <v>0</v>
      </c>
      <c r="J52" s="19">
        <f t="shared" si="41"/>
        <v>0</v>
      </c>
      <c r="K52" s="19">
        <f t="shared" si="41"/>
        <v>0</v>
      </c>
      <c r="L52" s="19">
        <f t="shared" si="41"/>
        <v>0</v>
      </c>
      <c r="M52" s="19">
        <f t="shared" si="41"/>
        <v>0</v>
      </c>
      <c r="N52" s="19">
        <f t="shared" si="41"/>
        <v>0</v>
      </c>
      <c r="O52" s="19">
        <f t="shared" si="41"/>
        <v>1105.1112858732995</v>
      </c>
      <c r="P52" s="19">
        <f t="shared" si="41"/>
        <v>3583.9229547785162</v>
      </c>
      <c r="Q52" s="19">
        <f t="shared" si="41"/>
        <v>3860.2793857307661</v>
      </c>
      <c r="R52" s="19">
        <f t="shared" si="41"/>
        <v>5139.9318033649834</v>
      </c>
      <c r="S52" s="19">
        <f t="shared" si="41"/>
        <v>5422.9206694769782</v>
      </c>
      <c r="T52" s="19">
        <f t="shared" si="41"/>
        <v>5709.2869561840671</v>
      </c>
      <c r="U52" s="19">
        <f t="shared" si="41"/>
        <v>5999.0721525176778</v>
      </c>
      <c r="V52" s="19">
        <f t="shared" si="41"/>
        <v>6292.3182711028676</v>
      </c>
      <c r="W52" s="19">
        <f t="shared" si="41"/>
        <v>6589.0678549258773</v>
      </c>
      <c r="X52" s="19">
        <f t="shared" si="41"/>
        <v>6889.3639841910408</v>
      </c>
      <c r="Y52" s="19">
        <f t="shared" si="41"/>
        <v>7193.2502832679966</v>
      </c>
      <c r="Z52" s="19">
        <f t="shared" si="41"/>
        <v>7500.7709277307222</v>
      </c>
      <c r="AA52" s="19">
        <f t="shared" si="41"/>
        <v>7811.9706514893405</v>
      </c>
      <c r="AB52" s="19">
        <f t="shared" si="41"/>
        <v>8126.894754016168</v>
      </c>
      <c r="AC52" s="19">
        <f t="shared" si="41"/>
        <v>8445.5891076670923</v>
      </c>
      <c r="AD52" s="19">
        <f t="shared" si="41"/>
        <v>8768.1001650996623</v>
      </c>
      <c r="AE52" s="19">
        <f t="shared" si="41"/>
        <v>9094.4749667891665</v>
      </c>
      <c r="AF52" s="19">
        <f t="shared" si="41"/>
        <v>9424.7611486440328</v>
      </c>
      <c r="AG52" s="19">
        <f t="shared" si="41"/>
        <v>9929.4985993993287</v>
      </c>
      <c r="AH52" s="19">
        <f t="shared" si="41"/>
        <v>10102.626918726659</v>
      </c>
      <c r="AI52" s="19">
        <f t="shared" si="41"/>
        <v>10277.486521247247</v>
      </c>
      <c r="AJ52" s="19">
        <f t="shared" si="41"/>
        <v>10454.094719793058</v>
      </c>
      <c r="AK52" s="27">
        <f t="shared" si="41"/>
        <v>10632.469000324323</v>
      </c>
    </row>
    <row r="53" spans="1:37" s="53" customFormat="1" ht="38.25" customHeight="1" x14ac:dyDescent="0.25">
      <c r="A53" s="5"/>
      <c r="B53" s="48"/>
      <c r="E53" s="37"/>
      <c r="F53" s="198"/>
      <c r="G53" s="142" t="s">
        <v>308</v>
      </c>
      <c r="H53" s="19">
        <f>H12*0.025</f>
        <v>450</v>
      </c>
      <c r="I53" s="19">
        <f t="shared" ref="I53:AK53" si="42">I12*0.025</f>
        <v>454.5</v>
      </c>
      <c r="J53" s="19">
        <f t="shared" si="42"/>
        <v>459.04500000000007</v>
      </c>
      <c r="K53" s="19">
        <f t="shared" si="42"/>
        <v>463.63544999999999</v>
      </c>
      <c r="L53" s="19">
        <f t="shared" si="42"/>
        <v>468.27180450000009</v>
      </c>
      <c r="M53" s="19">
        <f t="shared" si="42"/>
        <v>472.95452254499997</v>
      </c>
      <c r="N53" s="19">
        <f t="shared" si="42"/>
        <v>477.68406777045016</v>
      </c>
      <c r="O53" s="19">
        <f t="shared" si="42"/>
        <v>482.46090844815444</v>
      </c>
      <c r="P53" s="19">
        <f t="shared" si="42"/>
        <v>487.28551753263611</v>
      </c>
      <c r="Q53" s="19">
        <f t="shared" si="42"/>
        <v>492.1583727079626</v>
      </c>
      <c r="R53" s="19">
        <f t="shared" si="42"/>
        <v>497.07995643504211</v>
      </c>
      <c r="S53" s="19">
        <f t="shared" si="42"/>
        <v>502.05075599939249</v>
      </c>
      <c r="T53" s="19">
        <f t="shared" si="42"/>
        <v>507.07126355938635</v>
      </c>
      <c r="U53" s="19">
        <f t="shared" si="42"/>
        <v>512.14197619498032</v>
      </c>
      <c r="V53" s="19">
        <f t="shared" si="42"/>
        <v>517.26339595693014</v>
      </c>
      <c r="W53" s="19">
        <f t="shared" si="42"/>
        <v>522.43602991649936</v>
      </c>
      <c r="X53" s="19">
        <f t="shared" si="42"/>
        <v>527.66039021566451</v>
      </c>
      <c r="Y53" s="19">
        <f t="shared" si="42"/>
        <v>532.93699411782109</v>
      </c>
      <c r="Z53" s="19">
        <f t="shared" si="42"/>
        <v>538.26636405899933</v>
      </c>
      <c r="AA53" s="19">
        <f t="shared" si="42"/>
        <v>543.64902769958928</v>
      </c>
      <c r="AB53" s="19">
        <f t="shared" si="42"/>
        <v>549.08551797658515</v>
      </c>
      <c r="AC53" s="19">
        <f t="shared" si="42"/>
        <v>554.576373156351</v>
      </c>
      <c r="AD53" s="19">
        <f t="shared" si="42"/>
        <v>560.12213688791462</v>
      </c>
      <c r="AE53" s="19">
        <f t="shared" si="42"/>
        <v>565.72335825679363</v>
      </c>
      <c r="AF53" s="19">
        <f t="shared" si="42"/>
        <v>571.38059183936173</v>
      </c>
      <c r="AG53" s="19">
        <f t="shared" si="42"/>
        <v>577.09439775775536</v>
      </c>
      <c r="AH53" s="19">
        <f t="shared" si="42"/>
        <v>582.865341735333</v>
      </c>
      <c r="AI53" s="19">
        <f t="shared" si="42"/>
        <v>588.69399515268606</v>
      </c>
      <c r="AJ53" s="19">
        <f t="shared" si="42"/>
        <v>594.58093510421304</v>
      </c>
      <c r="AK53" s="27">
        <f t="shared" si="42"/>
        <v>600.5267444552552</v>
      </c>
    </row>
    <row r="54" spans="1:37" s="53" customFormat="1" ht="38.25" customHeight="1" x14ac:dyDescent="0.25">
      <c r="A54" s="5"/>
      <c r="B54" s="48"/>
      <c r="E54" s="37"/>
      <c r="F54" s="198"/>
      <c r="G54" s="142" t="s">
        <v>161</v>
      </c>
      <c r="H54" s="19">
        <f>IF(H52&lt;=38400,H52*0.15,(H52-38400)*0.28+38400*0.15)+H53</f>
        <v>450</v>
      </c>
      <c r="I54" s="19">
        <f t="shared" ref="I54:AK54" si="43">IF(I52&lt;=38400,I52*0.15,(I52-38400)*0.28+38400*0.15)+I53</f>
        <v>454.5</v>
      </c>
      <c r="J54" s="19">
        <f t="shared" si="43"/>
        <v>459.04500000000007</v>
      </c>
      <c r="K54" s="19">
        <f t="shared" si="43"/>
        <v>463.63544999999999</v>
      </c>
      <c r="L54" s="19">
        <f t="shared" si="43"/>
        <v>468.27180450000009</v>
      </c>
      <c r="M54" s="19">
        <f t="shared" si="43"/>
        <v>472.95452254499997</v>
      </c>
      <c r="N54" s="19">
        <f t="shared" si="43"/>
        <v>477.68406777045016</v>
      </c>
      <c r="O54" s="19">
        <f t="shared" si="43"/>
        <v>648.22760132914937</v>
      </c>
      <c r="P54" s="19">
        <f t="shared" si="43"/>
        <v>1024.8739607494135</v>
      </c>
      <c r="Q54" s="19">
        <f t="shared" si="43"/>
        <v>1071.2002805675775</v>
      </c>
      <c r="R54" s="19">
        <f t="shared" si="43"/>
        <v>1268.0697269397897</v>
      </c>
      <c r="S54" s="19">
        <f t="shared" si="43"/>
        <v>1315.4888564209391</v>
      </c>
      <c r="T54" s="19">
        <f t="shared" si="43"/>
        <v>1363.4643069869962</v>
      </c>
      <c r="U54" s="19">
        <f t="shared" si="43"/>
        <v>1412.0027990726321</v>
      </c>
      <c r="V54" s="19">
        <f t="shared" si="43"/>
        <v>1461.1111366223604</v>
      </c>
      <c r="W54" s="19">
        <f t="shared" si="43"/>
        <v>1510.796208155381</v>
      </c>
      <c r="X54" s="19">
        <f t="shared" si="43"/>
        <v>1561.0649878443205</v>
      </c>
      <c r="Y54" s="19">
        <f t="shared" si="43"/>
        <v>1611.9245366080206</v>
      </c>
      <c r="Z54" s="19">
        <f t="shared" si="43"/>
        <v>1663.3820032186077</v>
      </c>
      <c r="AA54" s="19">
        <f t="shared" si="43"/>
        <v>1715.4446254229902</v>
      </c>
      <c r="AB54" s="19">
        <f t="shared" si="43"/>
        <v>1768.1197310790103</v>
      </c>
      <c r="AC54" s="19">
        <f t="shared" si="43"/>
        <v>1821.414739306415</v>
      </c>
      <c r="AD54" s="19">
        <f t="shared" si="43"/>
        <v>1875.3371616528639</v>
      </c>
      <c r="AE54" s="19">
        <f t="shared" si="43"/>
        <v>1929.8946032751687</v>
      </c>
      <c r="AF54" s="19">
        <f t="shared" si="43"/>
        <v>1985.0947641359667</v>
      </c>
      <c r="AG54" s="19">
        <f t="shared" si="43"/>
        <v>2066.5191876676545</v>
      </c>
      <c r="AH54" s="19">
        <f t="shared" si="43"/>
        <v>2098.2593795443318</v>
      </c>
      <c r="AI54" s="19">
        <f t="shared" si="43"/>
        <v>2130.3169733397731</v>
      </c>
      <c r="AJ54" s="19">
        <f t="shared" si="43"/>
        <v>2162.6951430731715</v>
      </c>
      <c r="AK54" s="27">
        <f t="shared" si="43"/>
        <v>2195.3970945039036</v>
      </c>
    </row>
    <row r="55" spans="1:37" s="37" customFormat="1" ht="38.25" customHeight="1" x14ac:dyDescent="0.25">
      <c r="A55" s="36"/>
      <c r="B55" s="50"/>
      <c r="F55" s="198"/>
      <c r="G55" s="170" t="s">
        <v>323</v>
      </c>
      <c r="H55" s="162">
        <f t="shared" ref="H55:AK55" si="44">H12-H19-H26-H14-H54</f>
        <v>960.28909531672434</v>
      </c>
      <c r="I55" s="162">
        <f t="shared" si="44"/>
        <v>1090.7890953167243</v>
      </c>
      <c r="J55" s="162">
        <f t="shared" si="44"/>
        <v>1222.5940953167265</v>
      </c>
      <c r="K55" s="162">
        <f t="shared" si="44"/>
        <v>1355.7171453167227</v>
      </c>
      <c r="L55" s="162">
        <f t="shared" si="44"/>
        <v>1490.1714258167267</v>
      </c>
      <c r="M55" s="162">
        <f t="shared" si="44"/>
        <v>1625.9702491217233</v>
      </c>
      <c r="N55" s="162">
        <f t="shared" si="44"/>
        <v>1763.1270606597784</v>
      </c>
      <c r="O55" s="162">
        <f t="shared" si="44"/>
        <v>1735.8887474322082</v>
      </c>
      <c r="P55" s="162">
        <f t="shared" si="44"/>
        <v>1503.9806605463946</v>
      </c>
      <c r="Q55" s="162">
        <f t="shared" si="44"/>
        <v>1603.8399959880217</v>
      </c>
      <c r="R55" s="162">
        <f t="shared" si="44"/>
        <v>1554.6180614281966</v>
      </c>
      <c r="S55" s="162">
        <f t="shared" si="44"/>
        <v>1656.322918877559</v>
      </c>
      <c r="T55" s="162">
        <f t="shared" si="44"/>
        <v>1758.9626951113187</v>
      </c>
      <c r="U55" s="162">
        <f t="shared" si="44"/>
        <v>1862.5455820935003</v>
      </c>
      <c r="V55" s="162">
        <f t="shared" si="44"/>
        <v>1967.0798374022679</v>
      </c>
      <c r="W55" s="162">
        <f t="shared" si="44"/>
        <v>2072.5737846563247</v>
      </c>
      <c r="X55" s="162">
        <f t="shared" si="44"/>
        <v>2179.0358139423383</v>
      </c>
      <c r="Y55" s="162">
        <f t="shared" si="44"/>
        <v>2286.4743822433347</v>
      </c>
      <c r="Z55" s="162">
        <f t="shared" si="44"/>
        <v>2394.898013868099</v>
      </c>
      <c r="AA55" s="162">
        <f t="shared" si="44"/>
        <v>2504.3153008814129</v>
      </c>
      <c r="AB55" s="162">
        <f t="shared" si="44"/>
        <v>2614.734903535269</v>
      </c>
      <c r="AC55" s="162">
        <f t="shared" si="44"/>
        <v>2726.165550700839</v>
      </c>
      <c r="AD55" s="162">
        <f t="shared" si="44"/>
        <v>2838.6160403013</v>
      </c>
      <c r="AE55" s="162">
        <f t="shared" si="44"/>
        <v>2952.0952397453652</v>
      </c>
      <c r="AF55" s="162">
        <f t="shared" si="44"/>
        <v>3066.6120863616075</v>
      </c>
      <c r="AG55" s="162">
        <f t="shared" si="44"/>
        <v>15046.312745065006</v>
      </c>
      <c r="AH55" s="162">
        <f t="shared" si="44"/>
        <v>15187.700872515659</v>
      </c>
      <c r="AI55" s="162">
        <f t="shared" si="44"/>
        <v>15330.502881240805</v>
      </c>
      <c r="AJ55" s="162">
        <f t="shared" si="44"/>
        <v>15474.732910053222</v>
      </c>
      <c r="AK55" s="163">
        <f t="shared" si="44"/>
        <v>15620.405239153752</v>
      </c>
    </row>
    <row r="56" spans="1:37" s="37" customFormat="1" ht="38.25" customHeight="1" x14ac:dyDescent="0.25">
      <c r="A56" s="36"/>
      <c r="B56" s="50"/>
      <c r="F56" s="198"/>
      <c r="G56" s="170" t="s">
        <v>324</v>
      </c>
      <c r="H56" s="162">
        <f t="shared" ref="H56:AK56" si="45">IF(H10=1,H55,H55+G56)</f>
        <v>960.28909531672434</v>
      </c>
      <c r="I56" s="162">
        <f t="shared" si="45"/>
        <v>2051.0781906334487</v>
      </c>
      <c r="J56" s="162">
        <f t="shared" si="45"/>
        <v>3273.6722859501751</v>
      </c>
      <c r="K56" s="162">
        <f t="shared" si="45"/>
        <v>4629.3894312668981</v>
      </c>
      <c r="L56" s="162">
        <f t="shared" si="45"/>
        <v>6119.5608570836248</v>
      </c>
      <c r="M56" s="162">
        <f t="shared" si="45"/>
        <v>7745.5311062053479</v>
      </c>
      <c r="N56" s="162">
        <f t="shared" si="45"/>
        <v>9508.658166865127</v>
      </c>
      <c r="O56" s="162">
        <f t="shared" si="45"/>
        <v>11244.546914297334</v>
      </c>
      <c r="P56" s="162">
        <f t="shared" si="45"/>
        <v>12748.527574843729</v>
      </c>
      <c r="Q56" s="162">
        <f t="shared" si="45"/>
        <v>14352.36757083175</v>
      </c>
      <c r="R56" s="162">
        <f t="shared" si="45"/>
        <v>15906.985632259946</v>
      </c>
      <c r="S56" s="162">
        <f t="shared" si="45"/>
        <v>17563.308551137507</v>
      </c>
      <c r="T56" s="162">
        <f t="shared" si="45"/>
        <v>19322.271246248827</v>
      </c>
      <c r="U56" s="162">
        <f t="shared" si="45"/>
        <v>21184.816828342329</v>
      </c>
      <c r="V56" s="162">
        <f t="shared" si="45"/>
        <v>23151.896665744596</v>
      </c>
      <c r="W56" s="162">
        <f t="shared" si="45"/>
        <v>25224.470450400921</v>
      </c>
      <c r="X56" s="162">
        <f t="shared" si="45"/>
        <v>27403.506264343257</v>
      </c>
      <c r="Y56" s="162">
        <f t="shared" si="45"/>
        <v>29689.980646586591</v>
      </c>
      <c r="Z56" s="162">
        <f t="shared" si="45"/>
        <v>32084.878660454691</v>
      </c>
      <c r="AA56" s="162">
        <f t="shared" si="45"/>
        <v>34589.193961336103</v>
      </c>
      <c r="AB56" s="162">
        <f t="shared" si="45"/>
        <v>37203.92886487137</v>
      </c>
      <c r="AC56" s="162">
        <f t="shared" si="45"/>
        <v>39930.09441557221</v>
      </c>
      <c r="AD56" s="162">
        <f t="shared" si="45"/>
        <v>42768.710455873508</v>
      </c>
      <c r="AE56" s="162">
        <f t="shared" si="45"/>
        <v>45720.805695618874</v>
      </c>
      <c r="AF56" s="162">
        <f t="shared" si="45"/>
        <v>48787.417781980483</v>
      </c>
      <c r="AG56" s="162">
        <f t="shared" si="45"/>
        <v>63833.730527045489</v>
      </c>
      <c r="AH56" s="162">
        <f t="shared" si="45"/>
        <v>79021.431399561145</v>
      </c>
      <c r="AI56" s="162">
        <f t="shared" si="45"/>
        <v>94351.934280801943</v>
      </c>
      <c r="AJ56" s="162">
        <f t="shared" si="45"/>
        <v>109826.66719085517</v>
      </c>
      <c r="AK56" s="163">
        <f t="shared" si="45"/>
        <v>125447.07243000892</v>
      </c>
    </row>
    <row r="57" spans="1:37" s="37" customFormat="1" ht="38.25" customHeight="1" x14ac:dyDescent="0.25">
      <c r="A57" s="36"/>
      <c r="B57" s="50"/>
      <c r="F57" s="198"/>
      <c r="G57" s="170" t="s">
        <v>325</v>
      </c>
      <c r="H57" s="162">
        <f>IF(H55&gt;0,H55*0.7,H55)</f>
        <v>672.20236672170699</v>
      </c>
      <c r="I57" s="162">
        <f t="shared" ref="I57:AK57" si="46">IF(I55&gt;0,I55*0.7,I55)</f>
        <v>763.55236672170702</v>
      </c>
      <c r="J57" s="162">
        <f>IF(J55&gt;0,J55*0.7,J55)</f>
        <v>855.81586672170852</v>
      </c>
      <c r="K57" s="162">
        <f t="shared" si="46"/>
        <v>949.00200172170582</v>
      </c>
      <c r="L57" s="162">
        <f t="shared" si="46"/>
        <v>1043.1199980717086</v>
      </c>
      <c r="M57" s="162">
        <f t="shared" si="46"/>
        <v>1138.1791743852064</v>
      </c>
      <c r="N57" s="162">
        <f t="shared" si="46"/>
        <v>1234.1889424618448</v>
      </c>
      <c r="O57" s="162">
        <f t="shared" si="46"/>
        <v>1215.1221232025457</v>
      </c>
      <c r="P57" s="162">
        <f t="shared" si="46"/>
        <v>1052.7864623824762</v>
      </c>
      <c r="Q57" s="162">
        <f t="shared" si="46"/>
        <v>1122.6879971916151</v>
      </c>
      <c r="R57" s="162">
        <f t="shared" si="46"/>
        <v>1088.2326429997374</v>
      </c>
      <c r="S57" s="162">
        <f t="shared" si="46"/>
        <v>1159.4260432142912</v>
      </c>
      <c r="T57" s="162">
        <f t="shared" si="46"/>
        <v>1231.2738865779229</v>
      </c>
      <c r="U57" s="162">
        <f t="shared" si="46"/>
        <v>1303.7819074654501</v>
      </c>
      <c r="V57" s="162">
        <f t="shared" si="46"/>
        <v>1376.9558861815874</v>
      </c>
      <c r="W57" s="162">
        <f t="shared" si="46"/>
        <v>1450.8016492594272</v>
      </c>
      <c r="X57" s="162">
        <f t="shared" si="46"/>
        <v>1525.3250697596368</v>
      </c>
      <c r="Y57" s="162">
        <f t="shared" si="46"/>
        <v>1600.5320675703342</v>
      </c>
      <c r="Z57" s="162">
        <f t="shared" si="46"/>
        <v>1676.4286097076692</v>
      </c>
      <c r="AA57" s="162">
        <f t="shared" si="46"/>
        <v>1753.0207106169889</v>
      </c>
      <c r="AB57" s="162">
        <f t="shared" si="46"/>
        <v>1830.3144324746881</v>
      </c>
      <c r="AC57" s="162">
        <f t="shared" si="46"/>
        <v>1908.3158854905871</v>
      </c>
      <c r="AD57" s="162">
        <f t="shared" si="46"/>
        <v>1987.0312282109098</v>
      </c>
      <c r="AE57" s="162">
        <f t="shared" si="46"/>
        <v>2066.4666678217554</v>
      </c>
      <c r="AF57" s="162">
        <f t="shared" si="46"/>
        <v>2146.6284604531252</v>
      </c>
      <c r="AG57" s="162">
        <f t="shared" si="46"/>
        <v>10532.418921545504</v>
      </c>
      <c r="AH57" s="162">
        <f t="shared" si="46"/>
        <v>10631.39061076096</v>
      </c>
      <c r="AI57" s="162">
        <f t="shared" si="46"/>
        <v>10731.352016868563</v>
      </c>
      <c r="AJ57" s="162">
        <f t="shared" si="46"/>
        <v>10832.313037037255</v>
      </c>
      <c r="AK57" s="163">
        <f t="shared" si="46"/>
        <v>10934.283667407626</v>
      </c>
    </row>
    <row r="58" spans="1:37" s="53" customFormat="1" ht="38.25" customHeight="1" x14ac:dyDescent="0.25">
      <c r="A58" s="5"/>
      <c r="B58" s="48"/>
      <c r="E58" s="37"/>
      <c r="F58" s="198"/>
      <c r="G58" s="170" t="s">
        <v>326</v>
      </c>
      <c r="H58" s="162">
        <f t="shared" ref="H58:AK58" si="47">IF(H10=1,H57,H57+G58)</f>
        <v>672.20236672170699</v>
      </c>
      <c r="I58" s="162">
        <f t="shared" si="47"/>
        <v>1435.7547334434139</v>
      </c>
      <c r="J58" s="162">
        <f t="shared" si="47"/>
        <v>2291.5706001651224</v>
      </c>
      <c r="K58" s="162">
        <f t="shared" si="47"/>
        <v>3240.5726018868281</v>
      </c>
      <c r="L58" s="162">
        <f t="shared" si="47"/>
        <v>4283.6925999585364</v>
      </c>
      <c r="M58" s="162">
        <f t="shared" si="47"/>
        <v>5421.8717743437428</v>
      </c>
      <c r="N58" s="162">
        <f t="shared" si="47"/>
        <v>6656.0607168055876</v>
      </c>
      <c r="O58" s="162">
        <f t="shared" si="47"/>
        <v>7871.1828400081331</v>
      </c>
      <c r="P58" s="162">
        <f t="shared" si="47"/>
        <v>8923.9693023906093</v>
      </c>
      <c r="Q58" s="162">
        <f t="shared" si="47"/>
        <v>10046.657299582224</v>
      </c>
      <c r="R58" s="162">
        <f t="shared" si="47"/>
        <v>11134.889942581962</v>
      </c>
      <c r="S58" s="162">
        <f t="shared" si="47"/>
        <v>12294.315985796253</v>
      </c>
      <c r="T58" s="162">
        <f t="shared" si="47"/>
        <v>13525.589872374176</v>
      </c>
      <c r="U58" s="162">
        <f t="shared" si="47"/>
        <v>14829.371779839626</v>
      </c>
      <c r="V58" s="162">
        <f t="shared" si="47"/>
        <v>16206.327666021214</v>
      </c>
      <c r="W58" s="162">
        <f t="shared" si="47"/>
        <v>17657.129315280643</v>
      </c>
      <c r="X58" s="162">
        <f t="shared" si="47"/>
        <v>19182.454385040281</v>
      </c>
      <c r="Y58" s="162">
        <f t="shared" si="47"/>
        <v>20782.986452610614</v>
      </c>
      <c r="Z58" s="162">
        <f t="shared" si="47"/>
        <v>22459.415062318283</v>
      </c>
      <c r="AA58" s="162">
        <f t="shared" si="47"/>
        <v>24212.435772935271</v>
      </c>
      <c r="AB58" s="162">
        <f t="shared" si="47"/>
        <v>26042.75020540996</v>
      </c>
      <c r="AC58" s="162">
        <f t="shared" si="47"/>
        <v>27951.066090900549</v>
      </c>
      <c r="AD58" s="162">
        <f t="shared" si="47"/>
        <v>29938.097319111461</v>
      </c>
      <c r="AE58" s="162">
        <f t="shared" si="47"/>
        <v>32004.563986933215</v>
      </c>
      <c r="AF58" s="162">
        <f t="shared" si="47"/>
        <v>34151.19244738634</v>
      </c>
      <c r="AG58" s="162">
        <f t="shared" si="47"/>
        <v>44683.611368931844</v>
      </c>
      <c r="AH58" s="162">
        <f t="shared" si="47"/>
        <v>55315.001979692803</v>
      </c>
      <c r="AI58" s="162">
        <f t="shared" si="47"/>
        <v>66046.35399656136</v>
      </c>
      <c r="AJ58" s="162">
        <f t="shared" si="47"/>
        <v>76878.667033598613</v>
      </c>
      <c r="AK58" s="163">
        <f t="shared" si="47"/>
        <v>87812.950701006237</v>
      </c>
    </row>
    <row r="59" spans="1:37" s="53" customFormat="1" ht="38.25" customHeight="1" x14ac:dyDescent="0.25">
      <c r="A59" s="5"/>
      <c r="B59" s="48"/>
      <c r="E59" s="37"/>
      <c r="F59" s="198"/>
      <c r="G59" s="41" t="s">
        <v>208</v>
      </c>
      <c r="H59" s="38">
        <f>IF(H10=1,H32-H30,H32+G59-H30)</f>
        <v>8183.333333333333</v>
      </c>
      <c r="I59" s="38">
        <f t="shared" ref="I59:AK59" si="48">IF(I10=1,I32-I30,I32+H59-I30)</f>
        <v>16366.666666666668</v>
      </c>
      <c r="J59" s="38">
        <f t="shared" si="48"/>
        <v>24550.000000000004</v>
      </c>
      <c r="K59" s="38">
        <f t="shared" si="48"/>
        <v>32733.333333333339</v>
      </c>
      <c r="L59" s="38">
        <f t="shared" si="48"/>
        <v>40916.666666666672</v>
      </c>
      <c r="M59" s="38">
        <f t="shared" si="48"/>
        <v>49100</v>
      </c>
      <c r="N59" s="38">
        <f t="shared" si="48"/>
        <v>57283.333333333328</v>
      </c>
      <c r="O59" s="38">
        <f t="shared" si="48"/>
        <v>65466.666666666664</v>
      </c>
      <c r="P59" s="38">
        <f t="shared" si="48"/>
        <v>73650</v>
      </c>
      <c r="Q59" s="38">
        <f t="shared" si="48"/>
        <v>81833.333333333328</v>
      </c>
      <c r="R59" s="38">
        <f t="shared" si="48"/>
        <v>89016.666666666657</v>
      </c>
      <c r="S59" s="38">
        <f t="shared" si="48"/>
        <v>96199.999999999985</v>
      </c>
      <c r="T59" s="38">
        <f t="shared" si="48"/>
        <v>103383.33333333331</v>
      </c>
      <c r="U59" s="38">
        <f t="shared" si="48"/>
        <v>110566.66666666664</v>
      </c>
      <c r="V59" s="38">
        <f t="shared" si="48"/>
        <v>117749.99999999997</v>
      </c>
      <c r="W59" s="38">
        <f t="shared" si="48"/>
        <v>124933.3333333333</v>
      </c>
      <c r="X59" s="38">
        <f t="shared" si="48"/>
        <v>132116.66666666663</v>
      </c>
      <c r="Y59" s="38">
        <f t="shared" si="48"/>
        <v>139299.99999999997</v>
      </c>
      <c r="Z59" s="38">
        <f t="shared" si="48"/>
        <v>146483.33333333331</v>
      </c>
      <c r="AA59" s="38">
        <f t="shared" si="48"/>
        <v>153666.66666666666</v>
      </c>
      <c r="AB59" s="38">
        <f t="shared" si="48"/>
        <v>160850</v>
      </c>
      <c r="AC59" s="38">
        <f t="shared" si="48"/>
        <v>168033.33333333334</v>
      </c>
      <c r="AD59" s="38">
        <f t="shared" si="48"/>
        <v>175216.66666666669</v>
      </c>
      <c r="AE59" s="38">
        <f t="shared" si="48"/>
        <v>182400.00000000003</v>
      </c>
      <c r="AF59" s="38">
        <f t="shared" si="48"/>
        <v>189583.33333333337</v>
      </c>
      <c r="AG59" s="38">
        <f t="shared" si="48"/>
        <v>196766.66666666672</v>
      </c>
      <c r="AH59" s="38">
        <f t="shared" si="48"/>
        <v>203950.00000000006</v>
      </c>
      <c r="AI59" s="38">
        <f t="shared" si="48"/>
        <v>211133.3333333334</v>
      </c>
      <c r="AJ59" s="38">
        <f t="shared" si="48"/>
        <v>218316.66666666674</v>
      </c>
      <c r="AK59" s="39">
        <f t="shared" si="48"/>
        <v>225500.00000000009</v>
      </c>
    </row>
    <row r="60" spans="1:37" s="53" customFormat="1" ht="38.25" customHeight="1" x14ac:dyDescent="0.25">
      <c r="A60" s="5"/>
      <c r="B60" s="48"/>
      <c r="C60" s="6"/>
      <c r="E60" s="37"/>
      <c r="F60" s="198"/>
      <c r="G60" s="142" t="s">
        <v>318</v>
      </c>
      <c r="H60" s="38">
        <f>$C$11+$C$11*$C$15+$C$13-H59</f>
        <v>238316.66666666666</v>
      </c>
      <c r="I60" s="38">
        <f>$C$11+$C$11*$C$15+$C$13-I59</f>
        <v>230133.33333333334</v>
      </c>
      <c r="J60" s="38">
        <f t="shared" ref="J60:AK60" si="49">$C$11+$C$11*$C$15+$C$13-J59</f>
        <v>221950</v>
      </c>
      <c r="K60" s="38">
        <f t="shared" si="49"/>
        <v>213766.66666666666</v>
      </c>
      <c r="L60" s="38">
        <f t="shared" si="49"/>
        <v>205583.33333333331</v>
      </c>
      <c r="M60" s="38">
        <f t="shared" si="49"/>
        <v>197400</v>
      </c>
      <c r="N60" s="38">
        <f t="shared" si="49"/>
        <v>189216.66666666669</v>
      </c>
      <c r="O60" s="38">
        <f t="shared" si="49"/>
        <v>181033.33333333334</v>
      </c>
      <c r="P60" s="38">
        <f t="shared" si="49"/>
        <v>172850</v>
      </c>
      <c r="Q60" s="38">
        <f t="shared" si="49"/>
        <v>164666.66666666669</v>
      </c>
      <c r="R60" s="38">
        <f t="shared" si="49"/>
        <v>157483.33333333334</v>
      </c>
      <c r="S60" s="38">
        <f t="shared" si="49"/>
        <v>150300</v>
      </c>
      <c r="T60" s="38">
        <f t="shared" si="49"/>
        <v>143116.66666666669</v>
      </c>
      <c r="U60" s="38">
        <f t="shared" si="49"/>
        <v>135933.33333333337</v>
      </c>
      <c r="V60" s="38">
        <f t="shared" si="49"/>
        <v>128750.00000000003</v>
      </c>
      <c r="W60" s="38">
        <f t="shared" si="49"/>
        <v>121566.6666666667</v>
      </c>
      <c r="X60" s="38">
        <f t="shared" si="49"/>
        <v>114383.33333333337</v>
      </c>
      <c r="Y60" s="38">
        <f t="shared" si="49"/>
        <v>107200.00000000003</v>
      </c>
      <c r="Z60" s="38">
        <f t="shared" si="49"/>
        <v>100016.66666666669</v>
      </c>
      <c r="AA60" s="38">
        <f t="shared" si="49"/>
        <v>92833.333333333343</v>
      </c>
      <c r="AB60" s="38">
        <f t="shared" si="49"/>
        <v>85650</v>
      </c>
      <c r="AC60" s="38">
        <f t="shared" si="49"/>
        <v>78466.666666666657</v>
      </c>
      <c r="AD60" s="38">
        <f t="shared" si="49"/>
        <v>71283.333333333314</v>
      </c>
      <c r="AE60" s="38">
        <f t="shared" si="49"/>
        <v>64099.999999999971</v>
      </c>
      <c r="AF60" s="38">
        <f t="shared" si="49"/>
        <v>56916.666666666628</v>
      </c>
      <c r="AG60" s="38">
        <f t="shared" si="49"/>
        <v>49733.333333333285</v>
      </c>
      <c r="AH60" s="38">
        <f t="shared" si="49"/>
        <v>42549.999999999942</v>
      </c>
      <c r="AI60" s="38">
        <f t="shared" si="49"/>
        <v>35366.666666666599</v>
      </c>
      <c r="AJ60" s="38">
        <f t="shared" si="49"/>
        <v>28183.333333333256</v>
      </c>
      <c r="AK60" s="39">
        <f t="shared" si="49"/>
        <v>20999.999999999913</v>
      </c>
    </row>
    <row r="61" spans="1:37" s="53" customFormat="1" ht="38.25" customHeight="1" x14ac:dyDescent="0.25">
      <c r="A61" s="5"/>
      <c r="B61" s="48"/>
      <c r="C61" s="6"/>
      <c r="E61" s="37"/>
      <c r="F61" s="198"/>
      <c r="G61" s="142" t="s">
        <v>317</v>
      </c>
      <c r="H61" s="38">
        <f>H48-H60</f>
        <v>-6016.666666666657</v>
      </c>
      <c r="I61" s="38">
        <f t="shared" ref="I61:AK61" si="50">I48-I60</f>
        <v>4489.666666666657</v>
      </c>
      <c r="J61" s="38">
        <f t="shared" si="50"/>
        <v>15019.229999999981</v>
      </c>
      <c r="K61" s="38">
        <f t="shared" si="50"/>
        <v>25572.255633333349</v>
      </c>
      <c r="L61" s="38">
        <f t="shared" si="50"/>
        <v>36148.978189666668</v>
      </c>
      <c r="M61" s="38">
        <f t="shared" si="50"/>
        <v>46749.634638230025</v>
      </c>
      <c r="N61" s="38">
        <f t="shared" si="50"/>
        <v>57374.464317945589</v>
      </c>
      <c r="O61" s="38">
        <f t="shared" si="50"/>
        <v>68023.708961125114</v>
      </c>
      <c r="P61" s="38">
        <f t="shared" si="50"/>
        <v>78697.612717403041</v>
      </c>
      <c r="Q61" s="38">
        <f t="shared" si="50"/>
        <v>89396.422177910397</v>
      </c>
      <c r="R61" s="38">
        <f t="shared" si="50"/>
        <v>99120.386399689451</v>
      </c>
      <c r="S61" s="38">
        <f t="shared" si="50"/>
        <v>108869.75693035306</v>
      </c>
      <c r="T61" s="38">
        <f t="shared" si="50"/>
        <v>118644.78783298991</v>
      </c>
      <c r="U61" s="38">
        <f t="shared" si="50"/>
        <v>128445.73571131984</v>
      </c>
      <c r="V61" s="38">
        <f t="shared" si="50"/>
        <v>138272.85973509963</v>
      </c>
      <c r="W61" s="38">
        <f t="shared" si="50"/>
        <v>148126.42166578403</v>
      </c>
      <c r="X61" s="38">
        <f t="shared" si="50"/>
        <v>158006.68588244187</v>
      </c>
      <c r="Y61" s="38">
        <f t="shared" si="50"/>
        <v>167913.91940793299</v>
      </c>
      <c r="Z61" s="38">
        <f t="shared" si="50"/>
        <v>177848.3919353456</v>
      </c>
      <c r="AA61" s="38">
        <f t="shared" si="50"/>
        <v>187810.37585469909</v>
      </c>
      <c r="AB61" s="38">
        <f t="shared" si="50"/>
        <v>197800.14627991273</v>
      </c>
      <c r="AC61" s="38">
        <f t="shared" si="50"/>
        <v>207817.98107604528</v>
      </c>
      <c r="AD61" s="38">
        <f t="shared" si="50"/>
        <v>217864.16088680568</v>
      </c>
      <c r="AE61" s="38">
        <f t="shared" si="50"/>
        <v>227938.96916234048</v>
      </c>
      <c r="AF61" s="38">
        <f t="shared" si="50"/>
        <v>238042.69218729727</v>
      </c>
      <c r="AG61" s="38">
        <f t="shared" si="50"/>
        <v>248175.61910917025</v>
      </c>
      <c r="AH61" s="38">
        <f t="shared" si="50"/>
        <v>258338.04196692852</v>
      </c>
      <c r="AI61" s="38">
        <f t="shared" si="50"/>
        <v>268530.2557199311</v>
      </c>
      <c r="AJ61" s="38">
        <f t="shared" si="50"/>
        <v>278752.55827713048</v>
      </c>
      <c r="AK61" s="39">
        <f t="shared" si="50"/>
        <v>289005.2505265685</v>
      </c>
    </row>
    <row r="62" spans="1:37" s="53" customFormat="1" ht="38.25" customHeight="1" x14ac:dyDescent="0.25">
      <c r="A62" s="5"/>
      <c r="B62" s="48"/>
      <c r="E62" s="37"/>
      <c r="F62" s="198"/>
      <c r="G62" s="142" t="s">
        <v>311</v>
      </c>
      <c r="H62" s="141">
        <f t="shared" ref="H62:AK62" si="51">IF(H12+H61-H50-H51&lt;=0,0,H12+H61-H50-H51)</f>
        <v>0</v>
      </c>
      <c r="I62" s="38">
        <f t="shared" si="51"/>
        <v>0</v>
      </c>
      <c r="J62" s="38">
        <f t="shared" si="51"/>
        <v>5094.6256810636878</v>
      </c>
      <c r="K62" s="38">
        <f t="shared" si="51"/>
        <v>17183.564947218587</v>
      </c>
      <c r="L62" s="38">
        <f t="shared" si="51"/>
        <v>29556.667150370315</v>
      </c>
      <c r="M62" s="38">
        <f t="shared" si="51"/>
        <v>42217.27036747399</v>
      </c>
      <c r="N62" s="38">
        <f t="shared" si="51"/>
        <v>55168.753051291773</v>
      </c>
      <c r="O62" s="38">
        <f t="shared" si="51"/>
        <v>69128.82024699841</v>
      </c>
      <c r="P62" s="38">
        <f t="shared" si="51"/>
        <v>82281.535672181548</v>
      </c>
      <c r="Q62" s="38">
        <f t="shared" si="51"/>
        <v>93256.701563641167</v>
      </c>
      <c r="R62" s="38">
        <f t="shared" si="51"/>
        <v>104260.31820305444</v>
      </c>
      <c r="S62" s="38">
        <f t="shared" si="51"/>
        <v>114292.67759983003</v>
      </c>
      <c r="T62" s="38">
        <f t="shared" si="51"/>
        <v>124354.07478917396</v>
      </c>
      <c r="U62" s="38">
        <f t="shared" si="51"/>
        <v>134444.80786383752</v>
      </c>
      <c r="V62" s="38">
        <f t="shared" si="51"/>
        <v>144565.17800620248</v>
      </c>
      <c r="W62" s="38">
        <f t="shared" si="51"/>
        <v>154715.48952070993</v>
      </c>
      <c r="X62" s="38">
        <f t="shared" si="51"/>
        <v>164896.04986663291</v>
      </c>
      <c r="Y62" s="38">
        <f t="shared" si="51"/>
        <v>175107.16969120098</v>
      </c>
      <c r="Z62" s="38">
        <f t="shared" si="51"/>
        <v>185349.16286307632</v>
      </c>
      <c r="AA62" s="38">
        <f t="shared" si="51"/>
        <v>195622.34650618842</v>
      </c>
      <c r="AB62" s="38">
        <f t="shared" si="51"/>
        <v>205927.04103392889</v>
      </c>
      <c r="AC62" s="38">
        <f t="shared" si="51"/>
        <v>216263.57018371235</v>
      </c>
      <c r="AD62" s="38">
        <f t="shared" si="51"/>
        <v>226632.26105190534</v>
      </c>
      <c r="AE62" s="38">
        <f t="shared" si="51"/>
        <v>237033.44412912967</v>
      </c>
      <c r="AF62" s="38">
        <f t="shared" si="51"/>
        <v>247467.4533359413</v>
      </c>
      <c r="AG62" s="38">
        <f t="shared" si="51"/>
        <v>258105.1177085696</v>
      </c>
      <c r="AH62" s="38">
        <f t="shared" si="51"/>
        <v>268440.66888565518</v>
      </c>
      <c r="AI62" s="38">
        <f t="shared" si="51"/>
        <v>278807.74224117835</v>
      </c>
      <c r="AJ62" s="38">
        <f t="shared" si="51"/>
        <v>289206.65299692354</v>
      </c>
      <c r="AK62" s="39">
        <f t="shared" si="51"/>
        <v>299637.71952689282</v>
      </c>
    </row>
    <row r="63" spans="1:37" s="53" customFormat="1" ht="38.25" customHeight="1" x14ac:dyDescent="0.25">
      <c r="A63" s="5"/>
      <c r="B63" s="48"/>
      <c r="C63" s="109"/>
      <c r="E63" s="37"/>
      <c r="F63" s="198"/>
      <c r="G63" s="142" t="s">
        <v>312</v>
      </c>
      <c r="H63" s="38">
        <f>IF(H62&lt;=38400,H62*0.15+H53,
IF(AND(H62&gt;38400,H62&lt;=500000),(H62-38400)*0.28+38400*0.15+H53,
(H62-500000)*0.3333+461600*0.28+38400*0.15+H53))</f>
        <v>450</v>
      </c>
      <c r="I63" s="38">
        <f t="shared" ref="I63:AK63" si="52">IF(I62&lt;=38400,I62*0.15+I53,
IF(AND(I62&gt;38400,I62&lt;=500000),(I62-38400)*0.28+38400*0.15+I53,
(I62-500000)*0.3333+461600*0.28+38400*0.15+I53))</f>
        <v>454.5</v>
      </c>
      <c r="J63" s="38">
        <f t="shared" si="52"/>
        <v>1223.2388521595531</v>
      </c>
      <c r="K63" s="38">
        <f t="shared" si="52"/>
        <v>3041.1701920827882</v>
      </c>
      <c r="L63" s="38">
        <f t="shared" si="52"/>
        <v>4901.7718770555475</v>
      </c>
      <c r="M63" s="38">
        <f t="shared" si="52"/>
        <v>7301.7902254377168</v>
      </c>
      <c r="N63" s="38">
        <f t="shared" si="52"/>
        <v>10932.934922132146</v>
      </c>
      <c r="O63" s="38">
        <f t="shared" si="52"/>
        <v>14846.530577607709</v>
      </c>
      <c r="P63" s="38">
        <f t="shared" si="52"/>
        <v>18534.11550574347</v>
      </c>
      <c r="Q63" s="38">
        <f t="shared" si="52"/>
        <v>21612.03481052749</v>
      </c>
      <c r="R63" s="38">
        <f t="shared" si="52"/>
        <v>24697.969053290286</v>
      </c>
      <c r="S63" s="38">
        <f t="shared" si="52"/>
        <v>27512.000483951804</v>
      </c>
      <c r="T63" s="38">
        <f t="shared" si="52"/>
        <v>30334.212204528099</v>
      </c>
      <c r="U63" s="38">
        <f t="shared" si="52"/>
        <v>33164.688178069489</v>
      </c>
      <c r="V63" s="38">
        <f t="shared" si="52"/>
        <v>36003.513237693624</v>
      </c>
      <c r="W63" s="38">
        <f t="shared" si="52"/>
        <v>38850.773095715282</v>
      </c>
      <c r="X63" s="38">
        <f t="shared" si="52"/>
        <v>41706.554352872881</v>
      </c>
      <c r="Y63" s="38">
        <f t="shared" si="52"/>
        <v>44570.944507654101</v>
      </c>
      <c r="Z63" s="38">
        <f t="shared" si="52"/>
        <v>47444.031965720365</v>
      </c>
      <c r="AA63" s="38">
        <f t="shared" si="52"/>
        <v>50325.906049432349</v>
      </c>
      <c r="AB63" s="38">
        <f t="shared" si="52"/>
        <v>53216.657007476679</v>
      </c>
      <c r="AC63" s="38">
        <f t="shared" si="52"/>
        <v>56116.376024595811</v>
      </c>
      <c r="AD63" s="38">
        <f t="shared" si="52"/>
        <v>59025.155231421413</v>
      </c>
      <c r="AE63" s="38">
        <f t="shared" si="52"/>
        <v>61943.087714413108</v>
      </c>
      <c r="AF63" s="38">
        <f t="shared" si="52"/>
        <v>64870.267525902935</v>
      </c>
      <c r="AG63" s="38">
        <f t="shared" si="52"/>
        <v>67854.527356157254</v>
      </c>
      <c r="AH63" s="38">
        <f t="shared" si="52"/>
        <v>70754.252629718787</v>
      </c>
      <c r="AI63" s="38">
        <f t="shared" si="52"/>
        <v>73662.861822682637</v>
      </c>
      <c r="AJ63" s="38">
        <f t="shared" si="52"/>
        <v>76580.443774242813</v>
      </c>
      <c r="AK63" s="39">
        <f t="shared" si="52"/>
        <v>79507.088211985261</v>
      </c>
    </row>
    <row r="64" spans="1:37" s="53" customFormat="1" ht="38.25" customHeight="1" x14ac:dyDescent="0.25">
      <c r="A64" s="5"/>
      <c r="B64" s="48"/>
      <c r="E64" s="37"/>
      <c r="F64" s="198"/>
      <c r="G64" s="142" t="s">
        <v>313</v>
      </c>
      <c r="H64" s="38">
        <f t="shared" ref="H64:AK64" si="53">H48+H36-H63</f>
        <v>233260.28909531672</v>
      </c>
      <c r="I64" s="38">
        <f t="shared" si="53"/>
        <v>235713.78909531672</v>
      </c>
      <c r="J64" s="38">
        <f t="shared" si="53"/>
        <v>237427.63024315715</v>
      </c>
      <c r="K64" s="38">
        <f t="shared" si="53"/>
        <v>238117.10470323393</v>
      </c>
      <c r="L64" s="38">
        <f t="shared" si="53"/>
        <v>238788.98287626114</v>
      </c>
      <c r="M64" s="38">
        <f t="shared" si="53"/>
        <v>238946.76918445903</v>
      </c>
      <c r="N64" s="38">
        <f t="shared" si="53"/>
        <v>237899.00719091037</v>
      </c>
      <c r="O64" s="38">
        <f t="shared" si="53"/>
        <v>236594.62806561211</v>
      </c>
      <c r="P64" s="38">
        <f t="shared" si="53"/>
        <v>235542.35183295538</v>
      </c>
      <c r="Q64" s="38">
        <f t="shared" si="53"/>
        <v>235126.0943106052</v>
      </c>
      <c r="R64" s="38">
        <f t="shared" si="53"/>
        <v>234728.4384681005</v>
      </c>
      <c r="S64" s="38">
        <f t="shared" si="53"/>
        <v>234629.56822169977</v>
      </c>
      <c r="T64" s="38">
        <f t="shared" si="53"/>
        <v>234549.66929722682</v>
      </c>
      <c r="U64" s="38">
        <f t="shared" si="53"/>
        <v>234488.92924774985</v>
      </c>
      <c r="V64" s="38">
        <f t="shared" si="53"/>
        <v>234447.53747143067</v>
      </c>
      <c r="W64" s="38">
        <f t="shared" si="53"/>
        <v>234425.68522954715</v>
      </c>
      <c r="X64" s="38">
        <f t="shared" si="53"/>
        <v>234423.565664689</v>
      </c>
      <c r="Y64" s="38">
        <f t="shared" si="53"/>
        <v>234441.37381913024</v>
      </c>
      <c r="Z64" s="38">
        <f t="shared" si="53"/>
        <v>234479.30665337865</v>
      </c>
      <c r="AA64" s="38">
        <f t="shared" si="53"/>
        <v>234537.56306490448</v>
      </c>
      <c r="AB64" s="38">
        <f t="shared" si="53"/>
        <v>234616.34390705032</v>
      </c>
      <c r="AC64" s="38">
        <f t="shared" si="53"/>
        <v>234715.85200812336</v>
      </c>
      <c r="AD64" s="38">
        <f t="shared" si="53"/>
        <v>234836.29219067172</v>
      </c>
      <c r="AE64" s="38">
        <f t="shared" si="53"/>
        <v>234977.87129094783</v>
      </c>
      <c r="AF64" s="38">
        <f t="shared" si="53"/>
        <v>235140.79817855853</v>
      </c>
      <c r="AG64" s="38">
        <f t="shared" si="53"/>
        <v>247167.25701907894</v>
      </c>
      <c r="AH64" s="38">
        <f t="shared" si="53"/>
        <v>247419.74958926963</v>
      </c>
      <c r="AI64" s="38">
        <f t="shared" si="53"/>
        <v>247694.88041849565</v>
      </c>
      <c r="AJ64" s="38">
        <f t="shared" si="53"/>
        <v>247992.87588934728</v>
      </c>
      <c r="AK64" s="39">
        <f t="shared" si="53"/>
        <v>248313.96464824083</v>
      </c>
    </row>
    <row r="65" spans="1:37" s="53" customFormat="1" ht="38.25" customHeight="1" x14ac:dyDescent="0.25">
      <c r="A65" s="5"/>
      <c r="B65" s="48"/>
      <c r="E65" s="37"/>
      <c r="F65" s="198"/>
      <c r="G65" s="229" t="s">
        <v>322</v>
      </c>
      <c r="H65" s="162">
        <f t="shared" ref="H65:AK65" si="54">H64-H16</f>
        <v>-3979.6317244467791</v>
      </c>
      <c r="I65" s="162">
        <f t="shared" si="54"/>
        <v>6850.3334880224138</v>
      </c>
      <c r="J65" s="162">
        <f t="shared" si="54"/>
        <v>17058.665781127813</v>
      </c>
      <c r="K65" s="162">
        <f t="shared" si="54"/>
        <v>26362.320326328452</v>
      </c>
      <c r="L65" s="162">
        <f t="shared" si="54"/>
        <v>35769.753963476396</v>
      </c>
      <c r="M65" s="162">
        <f t="shared" si="54"/>
        <v>44786.181316166942</v>
      </c>
      <c r="N65" s="162">
        <f t="shared" si="54"/>
        <v>52721.880245909299</v>
      </c>
      <c r="O65" s="162">
        <f t="shared" si="54"/>
        <v>60527.540657710138</v>
      </c>
      <c r="P65" s="162">
        <f t="shared" si="54"/>
        <v>68713.666091869469</v>
      </c>
      <c r="Q65" s="162">
        <f t="shared" si="54"/>
        <v>77665.981012027769</v>
      </c>
      <c r="R65" s="162">
        <f t="shared" si="54"/>
        <v>86768.902517853421</v>
      </c>
      <c r="S65" s="162">
        <f t="shared" si="54"/>
        <v>96304.474498964468</v>
      </c>
      <c r="T65" s="162">
        <f t="shared" si="54"/>
        <v>105994.76886191062</v>
      </c>
      <c r="U65" s="162">
        <f t="shared" si="54"/>
        <v>115841.88591711853</v>
      </c>
      <c r="V65" s="162">
        <f t="shared" si="54"/>
        <v>125847.95477121091</v>
      </c>
      <c r="W65" s="162">
        <f t="shared" si="54"/>
        <v>136015.1337247749</v>
      </c>
      <c r="X65" s="162">
        <f t="shared" si="54"/>
        <v>146345.61067565446</v>
      </c>
      <c r="Y65" s="162">
        <f t="shared" si="54"/>
        <v>156841.60352784567</v>
      </c>
      <c r="Z65" s="162">
        <f t="shared" si="54"/>
        <v>167505.36060607142</v>
      </c>
      <c r="AA65" s="162">
        <f t="shared" si="54"/>
        <v>178339.16107611553</v>
      </c>
      <c r="AB65" s="162">
        <f t="shared" si="54"/>
        <v>189345.3153709966</v>
      </c>
      <c r="AC65" s="162">
        <f t="shared" si="54"/>
        <v>200526.16562306281</v>
      </c>
      <c r="AD65" s="162">
        <f t="shared" si="54"/>
        <v>211884.08610209002</v>
      </c>
      <c r="AE65" s="162">
        <f t="shared" si="54"/>
        <v>223421.4836594681</v>
      </c>
      <c r="AF65" s="162">
        <f t="shared" si="54"/>
        <v>235140.79817855859</v>
      </c>
      <c r="AG65" s="162">
        <f t="shared" si="54"/>
        <v>247167.25701907894</v>
      </c>
      <c r="AH65" s="162">
        <f t="shared" si="54"/>
        <v>247419.74958926963</v>
      </c>
      <c r="AI65" s="162">
        <f t="shared" si="54"/>
        <v>247694.88041849565</v>
      </c>
      <c r="AJ65" s="162">
        <f t="shared" si="54"/>
        <v>247992.87588934728</v>
      </c>
      <c r="AK65" s="163">
        <f t="shared" si="54"/>
        <v>248313.96464824083</v>
      </c>
    </row>
    <row r="66" spans="1:37" s="53" customFormat="1" ht="38.25" customHeight="1" x14ac:dyDescent="0.25">
      <c r="A66" s="5"/>
      <c r="B66" s="48"/>
      <c r="E66" s="37"/>
      <c r="F66" s="198"/>
      <c r="G66" s="41" t="s">
        <v>321</v>
      </c>
      <c r="H66" s="19">
        <f t="shared" ref="H66:AK66" si="55">IF(H$10=1,($C$18*-1)+H55,H55)</f>
        <v>-19039.710904683277</v>
      </c>
      <c r="I66" s="38">
        <f t="shared" si="55"/>
        <v>1090.7890953167243</v>
      </c>
      <c r="J66" s="38">
        <f t="shared" si="55"/>
        <v>1222.5940953167265</v>
      </c>
      <c r="K66" s="38">
        <f t="shared" si="55"/>
        <v>1355.7171453167227</v>
      </c>
      <c r="L66" s="38">
        <f t="shared" si="55"/>
        <v>1490.1714258167267</v>
      </c>
      <c r="M66" s="38">
        <f t="shared" si="55"/>
        <v>1625.9702491217233</v>
      </c>
      <c r="N66" s="38">
        <f t="shared" si="55"/>
        <v>1763.1270606597784</v>
      </c>
      <c r="O66" s="38">
        <f t="shared" si="55"/>
        <v>1735.8887474322082</v>
      </c>
      <c r="P66" s="38">
        <f t="shared" si="55"/>
        <v>1503.9806605463946</v>
      </c>
      <c r="Q66" s="38">
        <f t="shared" si="55"/>
        <v>1603.8399959880217</v>
      </c>
      <c r="R66" s="38">
        <f t="shared" si="55"/>
        <v>1554.6180614281966</v>
      </c>
      <c r="S66" s="38">
        <f t="shared" si="55"/>
        <v>1656.322918877559</v>
      </c>
      <c r="T66" s="38">
        <f t="shared" si="55"/>
        <v>1758.9626951113187</v>
      </c>
      <c r="U66" s="38">
        <f t="shared" si="55"/>
        <v>1862.5455820935003</v>
      </c>
      <c r="V66" s="38">
        <f t="shared" si="55"/>
        <v>1967.0798374022679</v>
      </c>
      <c r="W66" s="38">
        <f t="shared" si="55"/>
        <v>2072.5737846563247</v>
      </c>
      <c r="X66" s="38">
        <f t="shared" si="55"/>
        <v>2179.0358139423383</v>
      </c>
      <c r="Y66" s="38">
        <f t="shared" si="55"/>
        <v>2286.4743822433347</v>
      </c>
      <c r="Z66" s="38">
        <f t="shared" si="55"/>
        <v>2394.898013868099</v>
      </c>
      <c r="AA66" s="38">
        <f t="shared" si="55"/>
        <v>2504.3153008814129</v>
      </c>
      <c r="AB66" s="38">
        <f t="shared" si="55"/>
        <v>2614.734903535269</v>
      </c>
      <c r="AC66" s="38">
        <f t="shared" si="55"/>
        <v>2726.165550700839</v>
      </c>
      <c r="AD66" s="38">
        <f t="shared" si="55"/>
        <v>2838.6160403013</v>
      </c>
      <c r="AE66" s="38">
        <f t="shared" si="55"/>
        <v>2952.0952397453652</v>
      </c>
      <c r="AF66" s="38">
        <f t="shared" si="55"/>
        <v>3066.6120863616075</v>
      </c>
      <c r="AG66" s="38">
        <f t="shared" si="55"/>
        <v>15046.312745065006</v>
      </c>
      <c r="AH66" s="38">
        <f t="shared" si="55"/>
        <v>15187.700872515659</v>
      </c>
      <c r="AI66" s="38">
        <f t="shared" si="55"/>
        <v>15330.502881240805</v>
      </c>
      <c r="AJ66" s="38">
        <f t="shared" si="55"/>
        <v>15474.732910053222</v>
      </c>
      <c r="AK66" s="39">
        <f t="shared" si="55"/>
        <v>15620.405239153752</v>
      </c>
    </row>
    <row r="67" spans="1:37" s="53" customFormat="1" ht="38.25" customHeight="1" x14ac:dyDescent="0.25">
      <c r="A67" s="5"/>
      <c r="B67" s="48"/>
      <c r="E67" s="37"/>
      <c r="F67" s="198"/>
      <c r="G67" s="160" t="s">
        <v>315</v>
      </c>
      <c r="H67" s="168" t="str">
        <f>TRI!C10</f>
        <v>N/A</v>
      </c>
      <c r="I67" s="165">
        <f>TRI!D10</f>
        <v>-0.64020811438174685</v>
      </c>
      <c r="J67" s="165">
        <f>TRI!E10</f>
        <v>-2.437417836801048E-2</v>
      </c>
      <c r="K67" s="165">
        <f>TRI!F10</f>
        <v>0.15352393225814787</v>
      </c>
      <c r="L67" s="165">
        <f>TRI!G10</f>
        <v>0.21252929047108426</v>
      </c>
      <c r="M67" s="165">
        <f>TRI!H10</f>
        <v>0.23725832037469963</v>
      </c>
      <c r="N67" s="165">
        <f>TRI!I10</f>
        <v>0.22804152606145456</v>
      </c>
      <c r="O67" s="165">
        <f>TRI!J10</f>
        <v>0.22287399682617237</v>
      </c>
      <c r="P67" s="165">
        <f>TRI!K10</f>
        <v>0.21685110709599242</v>
      </c>
      <c r="Q67" s="165">
        <f>TRI!L10</f>
        <v>0.2108270477382943</v>
      </c>
      <c r="R67" s="165">
        <f>TRI!M10</f>
        <v>0.20466591386977906</v>
      </c>
      <c r="S67" s="165">
        <f>TRI!N10</f>
        <v>0.19874833747208176</v>
      </c>
      <c r="T67" s="165">
        <f>TRI!O10</f>
        <v>0.19304947924206917</v>
      </c>
      <c r="U67" s="165">
        <f>TRI!P10</f>
        <v>0.18764576152480106</v>
      </c>
      <c r="V67" s="165">
        <f>TRI!Q10</f>
        <v>0.1825649597807435</v>
      </c>
      <c r="W67" s="165">
        <f>TRI!R10</f>
        <v>0.17780936624255772</v>
      </c>
      <c r="X67" s="165">
        <f>TRI!S10</f>
        <v>0.17336819009793802</v>
      </c>
      <c r="Y67" s="165">
        <f>TRI!T10</f>
        <v>0.16922431820076733</v>
      </c>
      <c r="Z67" s="165">
        <f>TRI!U10</f>
        <v>0.1653580320736916</v>
      </c>
      <c r="AA67" s="165">
        <f>TRI!V10</f>
        <v>0.16174904362130316</v>
      </c>
      <c r="AB67" s="165">
        <f>TRI!W10</f>
        <v>0.15837758625168985</v>
      </c>
      <c r="AC67" s="165">
        <f>TRI!X10</f>
        <v>0.15522496974096645</v>
      </c>
      <c r="AD67" s="165">
        <f>TRI!Y10</f>
        <v>0.15227382976922921</v>
      </c>
      <c r="AE67" s="165">
        <f>TRI!Z10</f>
        <v>0.14950820478411764</v>
      </c>
      <c r="AF67" s="165">
        <f>TRI!AA10</f>
        <v>0.14691351724218249</v>
      </c>
      <c r="AG67" s="165">
        <f>TRI!AB10</f>
        <v>0.1444926110259428</v>
      </c>
      <c r="AH67" s="165">
        <f>TRI!AC10</f>
        <v>0.14240178378656099</v>
      </c>
      <c r="AI67" s="165">
        <f>TRI!AD10</f>
        <v>0.14058716611963651</v>
      </c>
      <c r="AJ67" s="165">
        <f>TRI!AE10</f>
        <v>0.1390091023008615</v>
      </c>
      <c r="AK67" s="166">
        <f>TRI!AF10</f>
        <v>0.13763434154366627</v>
      </c>
    </row>
    <row r="68" spans="1:37" s="53" customFormat="1" ht="38.25" customHeight="1" x14ac:dyDescent="0.25">
      <c r="A68" s="5"/>
      <c r="B68" s="48"/>
      <c r="E68" s="37"/>
      <c r="F68" s="198"/>
      <c r="G68" s="169" t="s">
        <v>349</v>
      </c>
      <c r="H68" s="162">
        <f>IF(H10=1,H65-$C$18,
IF(H10&gt;1,H65+G56-$C$18))</f>
        <v>-23979.631724446779</v>
      </c>
      <c r="I68" s="162">
        <f>IF(I10=1,I65-$C$18,
IF(I10&gt;1,I65+H56-$C$18))</f>
        <v>-12189.377416660862</v>
      </c>
      <c r="J68" s="162">
        <f>IF(J10=1,J65-$C$18,
IF(J10&gt;1,J65+I56-$C$18))</f>
        <v>-890.25602823873851</v>
      </c>
      <c r="K68" s="162">
        <f>IF(K10=1,K65-$C$18,
IF(K10&gt;1,K65+J56-$C$18))</f>
        <v>9635.9926122786273</v>
      </c>
      <c r="L68" s="162">
        <f>IF(L10=1,L65-$C$18,
IF(L10&gt;1,L65+K56-$C$18))</f>
        <v>20399.143394743296</v>
      </c>
      <c r="M68" s="162">
        <f>IF(M10=1,M65-$C$18,
IF(M10&gt;1,M65+L56-$C$18))</f>
        <v>30905.742173250568</v>
      </c>
      <c r="N68" s="162">
        <f>IF(N10=1,N65-$C$18,
IF(N10&gt;1,N65+M56-$C$18))</f>
        <v>40467.41135211465</v>
      </c>
      <c r="O68" s="162">
        <f>IF(O10=1,O65-$C$18,
IF(O10&gt;1,O65+N56-$C$18))</f>
        <v>50036.198824575258</v>
      </c>
      <c r="P68" s="162">
        <f>IF(P10=1,P65-$C$18,
IF(P10&gt;1,P65+O56-$C$18))</f>
        <v>59958.213006166799</v>
      </c>
      <c r="Q68" s="162">
        <f>IF(Q10=1,Q65-$C$18,
IF(Q10&gt;1,Q65+P56-$C$18))</f>
        <v>70414.508586871496</v>
      </c>
      <c r="R68" s="162">
        <f>IF(R10=1,R65-$C$18,
IF(R10&gt;1,R65+Q56-$C$18))</f>
        <v>81121.270088685167</v>
      </c>
      <c r="S68" s="162">
        <f>IF(S10=1,S65-$C$18,
IF(S10&gt;1,S65+R56-$C$18))</f>
        <v>92211.460131224419</v>
      </c>
      <c r="T68" s="162">
        <f>IF(T10=1,T65-$C$18,
IF(T10&gt;1,T65+S56-$C$18))</f>
        <v>103558.07741304813</v>
      </c>
      <c r="U68" s="162">
        <f>IF(U10=1,U65-$C$18,
IF(U10&gt;1,U65+T56-$C$18))</f>
        <v>115164.15716336737</v>
      </c>
      <c r="V68" s="162">
        <f>IF(V10=1,V65-$C$18,
IF(V10&gt;1,V65+U56-$C$18))</f>
        <v>127032.77159955323</v>
      </c>
      <c r="W68" s="162">
        <f>IF(W10=1,W65-$C$18,
IF(W10&gt;1,W65+V56-$C$18))</f>
        <v>139167.0303905195</v>
      </c>
      <c r="X68" s="162">
        <f>IF(X10=1,X65-$C$18,
IF(X10&gt;1,X65+W56-$C$18))</f>
        <v>151570.08112605539</v>
      </c>
      <c r="Y68" s="162">
        <f>IF(Y10=1,Y65-$C$18,
IF(Y10&gt;1,Y65+X56-$C$18))</f>
        <v>164245.10979218892</v>
      </c>
      <c r="Z68" s="162">
        <f>IF(Z10=1,Z65-$C$18,
IF(Z10&gt;1,Z65+Y56-$C$18))</f>
        <v>177195.34125265802</v>
      </c>
      <c r="AA68" s="162">
        <f>IF(AA10=1,AA65-$C$18,
IF(AA10&gt;1,AA65+Z56-$C$18))</f>
        <v>190424.03973657021</v>
      </c>
      <c r="AB68" s="162">
        <f>IF(AB10=1,AB65-$C$18,
IF(AB10&gt;1,AB65+AA56-$C$18))</f>
        <v>203934.5093323327</v>
      </c>
      <c r="AC68" s="162">
        <f>IF(AC10=1,AC65-$C$18,
IF(AC10&gt;1,AC65+AB56-$C$18))</f>
        <v>217730.0944879342</v>
      </c>
      <c r="AD68" s="162">
        <f>IF(AD10=1,AD65-$C$18,
IF(AD10&gt;1,AD65+AC56-$C$18))</f>
        <v>231814.18051766223</v>
      </c>
      <c r="AE68" s="162">
        <f>IF(AE10=1,AE65-$C$18,
IF(AE10&gt;1,AE65+AD56-$C$18))</f>
        <v>246190.19411534158</v>
      </c>
      <c r="AF68" s="162">
        <f>IF(AF10=1,AF65-$C$18,
IF(AF10&gt;1,AF65+AE56-$C$18))</f>
        <v>260861.60387417744</v>
      </c>
      <c r="AG68" s="162">
        <f>IF(AG10=1,AG65-$C$18,
IF(AG10&gt;1,AG65+AF56-$C$18))</f>
        <v>275954.67480105942</v>
      </c>
      <c r="AH68" s="162">
        <f>IF(AH10=1,AH65-$C$18,
IF(AH10&gt;1,AH65+AG56-$C$18))</f>
        <v>291253.48011631513</v>
      </c>
      <c r="AI68" s="162">
        <f>IF(AI10=1,AI65-$C$18,
IF(AI10&gt;1,AI65+AH56-$C$18))</f>
        <v>306716.3118180568</v>
      </c>
      <c r="AJ68" s="162">
        <f>IF(AJ10=1,AJ65-$C$18,
IF(AJ10&gt;1,AJ65+AI56-$C$18))</f>
        <v>322344.8101701492</v>
      </c>
      <c r="AK68" s="163">
        <f>IF(AK10=1,AK65-$C$18,
IF(AK10&gt;1,AK65+AJ56-$C$18))</f>
        <v>338140.63183909596</v>
      </c>
    </row>
    <row r="69" spans="1:37" s="53" customFormat="1" ht="38.25" customHeight="1" x14ac:dyDescent="0.25">
      <c r="A69" s="5"/>
      <c r="B69" s="48"/>
      <c r="E69" s="37"/>
      <c r="F69" s="198"/>
      <c r="G69" s="229" t="s">
        <v>314</v>
      </c>
      <c r="H69" s="162">
        <f>IF(H65&lt;0,H65,H65*0.7)</f>
        <v>-3979.6317244467791</v>
      </c>
      <c r="I69" s="162">
        <f>IF(I65&lt;0,I65,I65*0.7)</f>
        <v>4795.2334416156891</v>
      </c>
      <c r="J69" s="162">
        <f>IF(J65&lt;0,J65,J65*0.7)</f>
        <v>11941.066046789469</v>
      </c>
      <c r="K69" s="162">
        <f>IF(K65&lt;0,K65,K65*0.7)</f>
        <v>18453.624228429915</v>
      </c>
      <c r="L69" s="162">
        <f>IF(L65&lt;0,L65,L65*0.7)</f>
        <v>25038.827774433477</v>
      </c>
      <c r="M69" s="162">
        <f>IF(M65&lt;0,M65,M65*0.7)</f>
        <v>31350.326921316857</v>
      </c>
      <c r="N69" s="162">
        <f>IF(N65&lt;0,N65,N65*0.7)</f>
        <v>36905.316172136503</v>
      </c>
      <c r="O69" s="162">
        <f>IF(O65&lt;0,O65,O65*0.7)</f>
        <v>42369.278460397094</v>
      </c>
      <c r="P69" s="162">
        <f>IF(P65&lt;0,P65,P65*0.7)</f>
        <v>48099.566264308625</v>
      </c>
      <c r="Q69" s="162">
        <f>IF(Q65&lt;0,Q65,Q65*0.7)</f>
        <v>54366.186708419438</v>
      </c>
      <c r="R69" s="162">
        <f>IF(R65&lt;0,R65,R65*0.7)</f>
        <v>60738.231762497388</v>
      </c>
      <c r="S69" s="162">
        <f>IF(S65&lt;0,S65,S65*0.7)</f>
        <v>67413.13214927513</v>
      </c>
      <c r="T69" s="162">
        <f>IF(T65&lt;0,T65,T65*0.7)</f>
        <v>74196.338203337422</v>
      </c>
      <c r="U69" s="162">
        <f>IF(U65&lt;0,U65,U65*0.7)</f>
        <v>81089.320141982971</v>
      </c>
      <c r="V69" s="162">
        <f>IF(V65&lt;0,V65,V65*0.7)</f>
        <v>88093.568339847625</v>
      </c>
      <c r="W69" s="162">
        <f>IF(W65&lt;0,W65,W65*0.7)</f>
        <v>95210.593607342424</v>
      </c>
      <c r="X69" s="162">
        <f>IF(X65&lt;0,X65,X65*0.7)</f>
        <v>102441.92747295812</v>
      </c>
      <c r="Y69" s="162">
        <f>IF(Y65&lt;0,Y65,Y65*0.7)</f>
        <v>109789.12246949197</v>
      </c>
      <c r="Z69" s="162">
        <f>IF(Z65&lt;0,Z65,Z65*0.7)</f>
        <v>117253.75242424999</v>
      </c>
      <c r="AA69" s="162">
        <f>IF(AA65&lt;0,AA65,AA65*0.7)</f>
        <v>124837.41275328086</v>
      </c>
      <c r="AB69" s="162">
        <f>IF(AB65&lt;0,AB65,AB65*0.7)</f>
        <v>132541.72075969761</v>
      </c>
      <c r="AC69" s="162">
        <f>IF(AC65&lt;0,AC65,AC65*0.7)</f>
        <v>140368.31593614395</v>
      </c>
      <c r="AD69" s="162">
        <f>IF(AD65&lt;0,AD65,AD65*0.7)</f>
        <v>148318.860271463</v>
      </c>
      <c r="AE69" s="162">
        <f>IF(AE65&lt;0,AE65,AE65*0.7)</f>
        <v>156395.03856162765</v>
      </c>
      <c r="AF69" s="162">
        <f>IF(AF65&lt;0,AF65,AF65*0.7)</f>
        <v>164598.55872499099</v>
      </c>
      <c r="AG69" s="162">
        <f>IF(AG65&lt;0,AG65,AG65*0.7)</f>
        <v>173017.07991335524</v>
      </c>
      <c r="AH69" s="162">
        <f>IF(AH65&lt;0,AH65,AH65*0.7)</f>
        <v>173193.82471248874</v>
      </c>
      <c r="AI69" s="162">
        <f>IF(AI65&lt;0,AI65,AI65*0.7)</f>
        <v>173386.41629294696</v>
      </c>
      <c r="AJ69" s="162">
        <f>IF(AJ65&lt;0,AJ65,AJ65*0.7)</f>
        <v>173595.01312254308</v>
      </c>
      <c r="AK69" s="163">
        <f>IF(AK65&lt;0,AK65,AK65*0.7)</f>
        <v>173819.77525376857</v>
      </c>
    </row>
    <row r="70" spans="1:37" s="53" customFormat="1" ht="38.25" customHeight="1" x14ac:dyDescent="0.25">
      <c r="A70" s="5"/>
      <c r="B70" s="48"/>
      <c r="E70" s="37"/>
      <c r="F70" s="198"/>
      <c r="G70" s="41" t="s">
        <v>319</v>
      </c>
      <c r="H70" s="19">
        <f>IF(H$10=1,($C$18*-1)+H57,H57)</f>
        <v>-19327.797633278293</v>
      </c>
      <c r="I70" s="15">
        <f>IF(I$10=1,($C$18*-1)+I57,I57)</f>
        <v>763.55236672170702</v>
      </c>
      <c r="J70" s="15">
        <f>IF(J$10=1,($C$18*-1)+J57,J57)</f>
        <v>855.81586672170852</v>
      </c>
      <c r="K70" s="15">
        <f>IF(K$10=1,($C$18*-1)+K57,K57)</f>
        <v>949.00200172170582</v>
      </c>
      <c r="L70" s="15">
        <f>IF(L$10=1,($C$18*-1)+L57,L57)</f>
        <v>1043.1199980717086</v>
      </c>
      <c r="M70" s="15">
        <f>IF(M$10=1,($C$18*-1)+M57,M57)</f>
        <v>1138.1791743852064</v>
      </c>
      <c r="N70" s="15">
        <f>IF(N$10=1,($C$18*-1)+N57,N57)</f>
        <v>1234.1889424618448</v>
      </c>
      <c r="O70" s="15">
        <f>IF(O$10=1,($C$18*-1)+O57,O57)</f>
        <v>1215.1221232025457</v>
      </c>
      <c r="P70" s="15">
        <f>IF(P$10=1,($C$18*-1)+P57,P57)</f>
        <v>1052.7864623824762</v>
      </c>
      <c r="Q70" s="15">
        <f>IF(Q$10=1,($C$18*-1)+Q57,Q57)</f>
        <v>1122.6879971916151</v>
      </c>
      <c r="R70" s="15">
        <f>IF(R$10=1,($C$18*-1)+R57,R57)</f>
        <v>1088.2326429997374</v>
      </c>
      <c r="S70" s="15">
        <f>IF(S$10=1,($C$18*-1)+S57,S57)</f>
        <v>1159.4260432142912</v>
      </c>
      <c r="T70" s="15">
        <f>IF(T$10=1,($C$18*-1)+T57,T57)</f>
        <v>1231.2738865779229</v>
      </c>
      <c r="U70" s="15">
        <f>IF(U$10=1,($C$18*-1)+U57,U57)</f>
        <v>1303.7819074654501</v>
      </c>
      <c r="V70" s="15">
        <f>IF(V$10=1,($C$18*-1)+V57,V57)</f>
        <v>1376.9558861815874</v>
      </c>
      <c r="W70" s="15">
        <f>IF(W$10=1,($C$18*-1)+W57,W57)</f>
        <v>1450.8016492594272</v>
      </c>
      <c r="X70" s="15">
        <f>IF(X$10=1,($C$18*-1)+X57,X57)</f>
        <v>1525.3250697596368</v>
      </c>
      <c r="Y70" s="15">
        <f>IF(Y$10=1,($C$18*-1)+Y57,Y57)</f>
        <v>1600.5320675703342</v>
      </c>
      <c r="Z70" s="15">
        <f>IF(Z$10=1,($C$18*-1)+Z57,Z57)</f>
        <v>1676.4286097076692</v>
      </c>
      <c r="AA70" s="15">
        <f>IF(AA$10=1,($C$18*-1)+AA57,AA57)</f>
        <v>1753.0207106169889</v>
      </c>
      <c r="AB70" s="15">
        <f>IF(AB$10=1,($C$18*-1)+AB57,AB57)</f>
        <v>1830.3144324746881</v>
      </c>
      <c r="AC70" s="15">
        <f>IF(AC$10=1,($C$18*-1)+AC57,AC57)</f>
        <v>1908.3158854905871</v>
      </c>
      <c r="AD70" s="15">
        <f>IF(AD$10=1,($C$18*-1)+AD57,AD57)</f>
        <v>1987.0312282109098</v>
      </c>
      <c r="AE70" s="15">
        <f>IF(AE$10=1,($C$18*-1)+AE57,AE57)</f>
        <v>2066.4666678217554</v>
      </c>
      <c r="AF70" s="15">
        <f>IF(AF$10=1,($C$18*-1)+AF57,AF57)</f>
        <v>2146.6284604531252</v>
      </c>
      <c r="AG70" s="15">
        <f>IF(AG$10=1,($C$18*-1)+AG57,AG57)</f>
        <v>10532.418921545504</v>
      </c>
      <c r="AH70" s="15">
        <f>IF(AH$10=1,($C$18*-1)+AH57,AH57)</f>
        <v>10631.39061076096</v>
      </c>
      <c r="AI70" s="15">
        <f>IF(AI$10=1,($C$18*-1)+AI57,AI57)</f>
        <v>10731.352016868563</v>
      </c>
      <c r="AJ70" s="15">
        <f>IF(AJ$10=1,($C$18*-1)+AJ57,AJ57)</f>
        <v>10832.313037037255</v>
      </c>
      <c r="AK70" s="16">
        <f>IF(AK$10=1,($C$18*-1)+AK57,AK57)</f>
        <v>10934.283667407626</v>
      </c>
    </row>
    <row r="71" spans="1:37" s="53" customFormat="1" ht="38.25" customHeight="1" x14ac:dyDescent="0.25">
      <c r="A71" s="5"/>
      <c r="B71" s="48"/>
      <c r="E71" s="37"/>
      <c r="F71" s="198"/>
      <c r="G71" s="160" t="s">
        <v>316</v>
      </c>
      <c r="H71" s="165" t="str">
        <f>TRI!C48</f>
        <v>N/A</v>
      </c>
      <c r="I71" s="165">
        <f>TRI!D48</f>
        <v>-0.75189964565029732</v>
      </c>
      <c r="J71" s="165">
        <f>TRI!E48</f>
        <v>-0.19398499296345606</v>
      </c>
      <c r="K71" s="165">
        <f>TRI!F48</f>
        <v>1.3221955568439636E-2</v>
      </c>
      <c r="L71" s="165">
        <f>TRI!G48</f>
        <v>9.8317943871502278E-2</v>
      </c>
      <c r="M71" s="165">
        <f>TRI!H48</f>
        <v>0.13412979578186612</v>
      </c>
      <c r="N71" s="165">
        <f>TRI!I48</f>
        <v>0.14700542201417255</v>
      </c>
      <c r="O71" s="165">
        <f>TRI!J48</f>
        <v>0.1521652536820659</v>
      </c>
      <c r="P71" s="165">
        <f>TRI!K48</f>
        <v>0.15399849286909939</v>
      </c>
      <c r="Q71" s="165">
        <f>TRI!L48</f>
        <v>0.15415326606952395</v>
      </c>
      <c r="R71" s="165">
        <f>TRI!M48</f>
        <v>0.1529738497482751</v>
      </c>
      <c r="S71" s="165">
        <f>TRI!N48</f>
        <v>0.15115067598345311</v>
      </c>
      <c r="T71" s="165">
        <f>TRI!O48</f>
        <v>0.14886980867765032</v>
      </c>
      <c r="U71" s="165">
        <f>TRI!P48</f>
        <v>0.14635560461450758</v>
      </c>
      <c r="V71" s="165">
        <f>TRI!Q48</f>
        <v>0.14374428169927533</v>
      </c>
      <c r="W71" s="165">
        <f>TRI!R48</f>
        <v>0.14111919958505159</v>
      </c>
      <c r="X71" s="165">
        <f>TRI!S48</f>
        <v>0.13853125546501088</v>
      </c>
      <c r="Y71" s="165">
        <f>TRI!T48</f>
        <v>0.13601103416808735</v>
      </c>
      <c r="Z71" s="165">
        <f>TRI!U48</f>
        <v>0.13357623308276745</v>
      </c>
      <c r="AA71" s="165">
        <f>TRI!V48</f>
        <v>0.13123629846584861</v>
      </c>
      <c r="AB71" s="165">
        <f>TRI!W48</f>
        <v>0.12899537329818567</v>
      </c>
      <c r="AC71" s="165">
        <f>TRI!X48</f>
        <v>0.12685419971975143</v>
      </c>
      <c r="AD71" s="165">
        <f>TRI!Y48</f>
        <v>0.12481136146332861</v>
      </c>
      <c r="AE71" s="165">
        <f>TRI!Z48</f>
        <v>0.12286410250998547</v>
      </c>
      <c r="AF71" s="165">
        <f>TRI!AA48</f>
        <v>0.12100886964525603</v>
      </c>
      <c r="AG71" s="165">
        <f>TRI!AB48</f>
        <v>0.11925856670689639</v>
      </c>
      <c r="AH71" s="165">
        <f>TRI!AC48</f>
        <v>0.11959232938206998</v>
      </c>
      <c r="AI71" s="165">
        <f>TRI!AD48</f>
        <v>0.11812179159600134</v>
      </c>
      <c r="AJ71" s="165">
        <f>TRI!AE48</f>
        <v>0.11530370575406046</v>
      </c>
      <c r="AK71" s="166">
        <f>TRI!AF48</f>
        <v>0.11431127076679992</v>
      </c>
    </row>
    <row r="72" spans="1:37" s="53" customFormat="1" ht="38.25" customHeight="1" x14ac:dyDescent="0.25">
      <c r="A72" s="5"/>
      <c r="B72" s="48"/>
      <c r="E72" s="37"/>
      <c r="F72" s="199"/>
      <c r="G72" s="147" t="s">
        <v>348</v>
      </c>
      <c r="H72" s="148">
        <f>IF(AND(H65&gt;0,H10=1),H69-$C$18,
IF(AND(H65&gt;0,H10&gt;1),H69+G58-$C$18,
IF(AND(H65&lt;0,H10=1),H69-$C$18,
IF(AND(H65&lt;0,H10&gt;1),H69+G58-$C$18))))</f>
        <v>-23979.631724446779</v>
      </c>
      <c r="I72" s="148">
        <f>IF(AND(I65&gt;0,I10=1),I69-$C$18,
IF(AND(I65&gt;0,I10&gt;1),I69+H58-$C$18,
IF(AND(I65&lt;0,I10=1),I69-$C$18,
IF(AND(I65&lt;0,I10&gt;1),I69+H58-$C$18))))</f>
        <v>-14532.564191662605</v>
      </c>
      <c r="J72" s="148">
        <f>IF(AND(J65&gt;0,J10=1),J69-$C$18,
IF(AND(J65&gt;0,J10&gt;1),J69+I58-$C$18,
IF(AND(J65&lt;0,J10=1),J69-$C$18,
IF(AND(J65&lt;0,J10&gt;1),J69+I58-$C$18))))</f>
        <v>-6623.1792197671166</v>
      </c>
      <c r="K72" s="148">
        <f>IF(AND(K65&gt;0,K10=1),K69-$C$18,
IF(AND(K65&gt;0,K10&gt;1),K69+J58-$C$18,
IF(AND(K65&lt;0,K10=1),K69-$C$18,
IF(AND(K65&lt;0,K10&gt;1),K69+J58-$C$18))))</f>
        <v>745.19482859503842</v>
      </c>
      <c r="L72" s="148">
        <f>IF(AND(L65&gt;0,L10=1),L69-$C$18,
IF(AND(L65&gt;0,L10&gt;1),L69+K58-$C$18,
IF(AND(L65&lt;0,L10=1),L69-$C$18,
IF(AND(L65&lt;0,L10&gt;1),L69+K58-$C$18))))</f>
        <v>8279.4003763203073</v>
      </c>
      <c r="M72" s="148">
        <f>IF(AND(M65&gt;0,M10=1),M69-$C$18,
IF(AND(M65&gt;0,M10&gt;1),M69+L58-$C$18,
IF(AND(M65&lt;0,M10=1),M69-$C$18,
IF(AND(M65&lt;0,M10&gt;1),M69+L58-$C$18))))</f>
        <v>15634.01952127539</v>
      </c>
      <c r="N72" s="148">
        <f>IF(AND(N65&gt;0,N10=1),N69-$C$18,
IF(AND(N65&gt;0,N10&gt;1),N69+M58-$C$18,
IF(AND(N65&lt;0,N10=1),N69-$C$18,
IF(AND(N65&lt;0,N10&gt;1),N69+M58-$C$18))))</f>
        <v>22327.187946480248</v>
      </c>
      <c r="O72" s="148">
        <f>IF(AND(O65&gt;0,O10=1),O69-$C$18,
IF(AND(O65&gt;0,O10&gt;1),O69+N58-$C$18,
IF(AND(O65&lt;0,O10=1),O69-$C$18,
IF(AND(O65&lt;0,O10&gt;1),O69+N58-$C$18))))</f>
        <v>29025.339177202681</v>
      </c>
      <c r="P72" s="148">
        <f>IF(AND(P65&gt;0,P10=1),P69-$C$18,
IF(AND(P65&gt;0,P10&gt;1),P69+O58-$C$18,
IF(AND(P65&lt;0,P10=1),P69-$C$18,
IF(AND(P65&lt;0,P10&gt;1),P69+O58-$C$18))))</f>
        <v>35970.749104316761</v>
      </c>
      <c r="Q72" s="148">
        <f>IF(AND(Q65&gt;0,Q10=1),Q69-$C$18,
IF(AND(Q65&gt;0,Q10&gt;1),Q69+P58-$C$18,
IF(AND(Q65&lt;0,Q10=1),Q69-$C$18,
IF(AND(Q65&lt;0,Q10&gt;1),Q69+P58-$C$18))))</f>
        <v>43290.156010810046</v>
      </c>
      <c r="R72" s="148">
        <f>IF(AND(R65&gt;0,R10=1),R69-$C$18,
IF(AND(R65&gt;0,R10&gt;1),R69+Q58-$C$18,
IF(AND(R65&lt;0,R10=1),R69-$C$18,
IF(AND(R65&lt;0,R10&gt;1),R69+Q58-$C$18))))</f>
        <v>50784.889062079616</v>
      </c>
      <c r="S72" s="148">
        <f>IF(AND(S65&gt;0,S10=1),S69-$C$18,
IF(AND(S65&gt;0,S10&gt;1),S69+R58-$C$18,
IF(AND(S65&lt;0,S10=1),S69-$C$18,
IF(AND(S65&lt;0,S10&gt;1),S69+R58-$C$18))))</f>
        <v>58548.022091857099</v>
      </c>
      <c r="T72" s="148">
        <f>IF(AND(T65&gt;0,T10=1),T69-$C$18,
IF(AND(T65&gt;0,T10&gt;1),T69+S58-$C$18,
IF(AND(T65&lt;0,T10=1),T69-$C$18,
IF(AND(T65&lt;0,T10&gt;1),T69+S58-$C$18))))</f>
        <v>66490.654189133667</v>
      </c>
      <c r="U72" s="148">
        <f>IF(AND(U65&gt;0,U10=1),U69-$C$18,
IF(AND(U65&gt;0,U10&gt;1),U69+T58-$C$18,
IF(AND(U65&lt;0,U10=1),U69-$C$18,
IF(AND(U65&lt;0,U10&gt;1),U69+T58-$C$18))))</f>
        <v>74614.910014357141</v>
      </c>
      <c r="V72" s="148">
        <f>IF(AND(V65&gt;0,V10=1),V69-$C$18,
IF(AND(V65&gt;0,V10&gt;1),V69+U58-$C$18,
IF(AND(V65&lt;0,V10=1),V69-$C$18,
IF(AND(V65&lt;0,V10&gt;1),V69+U58-$C$18))))</f>
        <v>82922.94011968725</v>
      </c>
      <c r="W72" s="148">
        <f>IF(AND(W65&gt;0,W10=1),W69-$C$18,
IF(AND(W65&gt;0,W10&gt;1),W69+V58-$C$18,
IF(AND(W65&lt;0,W10=1),W69-$C$18,
IF(AND(W65&lt;0,W10&gt;1),W69+V58-$C$18))))</f>
        <v>91416.921273363638</v>
      </c>
      <c r="X72" s="148">
        <f>IF(AND(X65&gt;0,X10=1),X69-$C$18,
IF(AND(X65&gt;0,X10&gt;1),X69+W58-$C$18,
IF(AND(X65&lt;0,X10=1),X69-$C$18,
IF(AND(X65&lt;0,X10&gt;1),X69+W58-$C$18))))</f>
        <v>100099.05678823877</v>
      </c>
      <c r="Y72" s="148">
        <f>IF(AND(Y65&gt;0,Y10=1),Y69-$C$18,
IF(AND(Y65&gt;0,Y10&gt;1),Y69+X58-$C$18,
IF(AND(Y65&lt;0,Y10=1),Y69-$C$18,
IF(AND(Y65&lt;0,Y10&gt;1),Y69+X58-$C$18))))</f>
        <v>108971.57685453225</v>
      </c>
      <c r="Z72" s="148">
        <f>IF(AND(Z65&gt;0,Z10=1),Z69-$C$18,
IF(AND(Z65&gt;0,Z10&gt;1),Z69+Y58-$C$18,
IF(AND(Z65&lt;0,Z10=1),Z69-$C$18,
IF(AND(Z65&lt;0,Z10&gt;1),Z69+Y58-$C$18))))</f>
        <v>118036.73887686062</v>
      </c>
      <c r="AA72" s="148">
        <f>IF(AND(AA65&gt;0,AA10=1),AA69-$C$18,
IF(AND(AA65&gt;0,AA10&gt;1),AA69+Z58-$C$18,
IF(AND(AA65&lt;0,AA10=1),AA69-$C$18,
IF(AND(AA65&lt;0,AA10&gt;1),AA69+Z58-$C$18))))</f>
        <v>127296.82781559916</v>
      </c>
      <c r="AB72" s="148">
        <f>IF(AND(AB65&gt;0,AB10=1),AB69-$C$18,
IF(AND(AB65&gt;0,AB10&gt;1),AB69+AA58-$C$18,
IF(AND(AB65&lt;0,AB10=1),AB69-$C$18,
IF(AND(AB65&lt;0,AB10&gt;1),AB69+AA58-$C$18))))</f>
        <v>136754.15653263289</v>
      </c>
      <c r="AC72" s="148">
        <f>IF(AND(AC65&gt;0,AC10=1),AC69-$C$18,
IF(AND(AC65&gt;0,AC10&gt;1),AC69+AB58-$C$18,
IF(AND(AC65&lt;0,AC10=1),AC69-$C$18,
IF(AND(AC65&lt;0,AC10&gt;1),AC69+AB58-$C$18))))</f>
        <v>146411.06614155392</v>
      </c>
      <c r="AD72" s="148">
        <f>IF(AND(AD65&gt;0,AD10=1),AD69-$C$18,
IF(AND(AD65&gt;0,AD10&gt;1),AD69+AC58-$C$18,
IF(AND(AD65&lt;0,AD10=1),AD69-$C$18,
IF(AND(AD65&lt;0,AD10&gt;1),AD69+AC58-$C$18))))</f>
        <v>156269.92636236353</v>
      </c>
      <c r="AE72" s="148">
        <f>IF(AND(AE65&gt;0,AE10=1),AE69-$C$18,
IF(AND(AE65&gt;0,AE10&gt;1),AE69+AD58-$C$18,
IF(AND(AE65&lt;0,AE10=1),AE69-$C$18,
IF(AND(AE65&lt;0,AE10&gt;1),AE69+AD58-$C$18))))</f>
        <v>166333.13588073911</v>
      </c>
      <c r="AF72" s="148">
        <f>IF(AND(AF65&gt;0,AF10=1),AF69-$C$18,
IF(AND(AF65&gt;0,AF10&gt;1),AF69+AE58-$C$18,
IF(AND(AF65&lt;0,AF10=1),AF69-$C$18,
IF(AND(AF65&lt;0,AF10&gt;1),AF69+AE58-$C$18))))</f>
        <v>176603.1227119242</v>
      </c>
      <c r="AG72" s="148">
        <f>IF(AND(AG65&gt;0,AG10=1),AG69-$C$18,
IF(AND(AG65&gt;0,AG10&gt;1),AG69+AF58-$C$18,
IF(AND(AG65&lt;0,AG10=1),AG69-$C$18,
IF(AND(AG65&lt;0,AG10&gt;1),AG69+AF58-$C$18))))</f>
        <v>187168.27236074157</v>
      </c>
      <c r="AH72" s="148">
        <f>IF(AND(AH65&gt;0,AH10=1),AH69-$C$18,
IF(AND(AH65&gt;0,AH10&gt;1),AH69+AG58-$C$18,
IF(AND(AH65&lt;0,AH10=1),AH69-$C$18,
IF(AND(AH65&lt;0,AH10&gt;1),AH69+AG58-$C$18))))</f>
        <v>197877.43608142057</v>
      </c>
      <c r="AI72" s="148">
        <f>IF(AND(AI65&gt;0,AI10=1),AI69-$C$18,
IF(AND(AI65&gt;0,AI10&gt;1),AI69+AH58-$C$18,
IF(AND(AI65&lt;0,AI10=1),AI69-$C$18,
IF(AND(AI65&lt;0,AI10&gt;1),AI69+AH58-$C$18))))</f>
        <v>208701.41827263977</v>
      </c>
      <c r="AJ72" s="148">
        <f>IF(AND(AJ65&gt;0,AJ10=1),AJ69-$C$18,
IF(AND(AJ65&gt;0,AJ10&gt;1),AJ69+AI58-$C$18,
IF(AND(AJ65&lt;0,AJ10=1),AJ69-$C$18,
IF(AND(AJ65&lt;0,AJ10&gt;1),AJ69+AI58-$C$18))))</f>
        <v>219641.36711910443</v>
      </c>
      <c r="AK72" s="149">
        <f>IF(AND(AK65&gt;0,AK10=1),AK69-$C$18,
IF(AND(AK65&gt;0,AK10&gt;1),AK69+AJ58-$C$18,
IF(AND(AK65&lt;0,AK10=1),AK69-$C$18,
IF(AND(AK65&lt;0,AK10&gt;1),AK69+AJ58-$C$18))))</f>
        <v>230698.44228736719</v>
      </c>
    </row>
    <row r="73" spans="1:37" s="53" customFormat="1" ht="38.25" customHeight="1" x14ac:dyDescent="0.25">
      <c r="A73" s="5"/>
      <c r="B73" s="48"/>
      <c r="E73" s="37"/>
      <c r="F73" s="86"/>
      <c r="G73" s="54"/>
      <c r="H73" s="38"/>
      <c r="I73" s="38"/>
      <c r="J73" s="38"/>
      <c r="K73" s="38"/>
      <c r="L73" s="38"/>
      <c r="M73" s="38"/>
      <c r="N73" s="38"/>
      <c r="O73" s="38"/>
      <c r="P73" s="38"/>
      <c r="Q73" s="38"/>
      <c r="R73" s="38"/>
      <c r="S73" s="38"/>
      <c r="T73" s="38"/>
      <c r="U73" s="38"/>
      <c r="V73" s="19"/>
      <c r="W73" s="38"/>
      <c r="X73" s="38"/>
      <c r="Y73" s="38"/>
      <c r="Z73" s="38"/>
      <c r="AA73" s="38"/>
      <c r="AB73" s="38"/>
      <c r="AC73" s="38"/>
      <c r="AD73" s="38"/>
      <c r="AE73" s="38"/>
      <c r="AF73" s="38"/>
      <c r="AG73" s="38"/>
      <c r="AH73" s="38"/>
      <c r="AI73" s="38"/>
      <c r="AJ73" s="38"/>
      <c r="AK73" s="38"/>
    </row>
    <row r="74" spans="1:37" s="53" customFormat="1" ht="38.25" customHeight="1" x14ac:dyDescent="0.25">
      <c r="A74" s="5"/>
      <c r="B74" s="48"/>
      <c r="E74" s="37"/>
      <c r="F74" s="200" t="s">
        <v>173</v>
      </c>
      <c r="G74" s="44" t="s">
        <v>178</v>
      </c>
      <c r="H74" s="29">
        <f>IF(H$10=1,$C$12+H$19+H$26+H$32+$C$21+$C$11*$C$15+$C$16-H31,H$19+H$26+H$32-H31)</f>
        <v>55843.917438732475</v>
      </c>
      <c r="I74" s="29">
        <f>IF(I$10=1,$C$12+I$19+I$26+I$32+$C$21+$C$11*$C$15+$C$16-I31,I$19+I$26+I$32-I31)</f>
        <v>16272.531406499797</v>
      </c>
      <c r="J74" s="29">
        <f>IF(J$10=1,$C$12+J$19+J$26+J$32+$C$21+$C$11*$C$15+$C$16-J31,J$19+J$26+J$32-J31)</f>
        <v>16199.955473704022</v>
      </c>
      <c r="K74" s="29">
        <f>IF(K$10=1,$C$12+K$19+K$26+K$32+$C$21+$C$11*$C$15+$C$16-K31,K$19+K$26+K$32-K31)</f>
        <v>16126.171033845132</v>
      </c>
      <c r="L74" s="29">
        <f>IF(L$10=1,$C$12+L$19+L$26+L$32+$C$21+$C$11*$C$15+$C$16-L31,L$19+L$26+L$32-L31)</f>
        <v>16051.159199848264</v>
      </c>
      <c r="M74" s="29">
        <f>IF(M$10=1,$C$12+M$19+M$26+M$32+$C$21+$C$11*$C$15+$C$16-M31,M$19+M$26+M$32-M31)</f>
        <v>15974.900799926332</v>
      </c>
      <c r="N74" s="29">
        <f>IF(N$10=1,$C$12+N$19+N$26+N$32+$C$21+$C$11*$C$15+$C$16-N31,N$19+N$26+N$32-N31)</f>
        <v>15897.376373382462</v>
      </c>
      <c r="O74" s="29">
        <f>IF(O$10=1,$C$12+O$19+O$26+O$32+$C$21+$C$11*$C$15+$C$16-O31,O$19+O$26+O$32-O31)</f>
        <v>15104.280452065728</v>
      </c>
      <c r="P74" s="29">
        <f>IF(P$10=1,$C$12+P$19+P$26+P$32+$C$21+$C$11*$C$15+$C$16-P31,P$19+P$26+P$32-P31)</f>
        <v>15024.164413193594</v>
      </c>
      <c r="Q74" s="29">
        <f>IF(Q$10=1,$C$12+Q$19+Q$26+Q$32+$C$21+$C$11*$C$15+$C$16-Q31,Q$19+Q$26+Q$32-Q31)</f>
        <v>14942.722189254402</v>
      </c>
      <c r="R74" s="29">
        <f>IF(R$10=1,$C$12+R$19+R$26+R$32+$C$21+$C$11*$C$15+$C$16-R31,R$19+R$26+R$32-R31)</f>
        <v>13859.933120703367</v>
      </c>
      <c r="S74" s="29">
        <f>IF(S$10=1,$C$12+S$19+S$26+S$32+$C$21+$C$11*$C$15+$C$16-S31,S$19+S$26+S$32-S31)</f>
        <v>13775.776237165386</v>
      </c>
      <c r="T74" s="29">
        <f>IF(T$10=1,$C$12+T$19+T$26+T$32+$C$21+$C$11*$C$15+$C$16-T31,T$19+T$26+T$32-T31)</f>
        <v>13690.230252858053</v>
      </c>
      <c r="U74" s="29">
        <f>IF(U$10=1,$C$12+U$19+U$26+U$32+$C$21+$C$11*$C$15+$C$16-U31,U$19+U$26+U$32-U31)</f>
        <v>13603.273561948199</v>
      </c>
      <c r="V74" s="29">
        <f>IF(V$10=1,$C$12+V$19+V$26+V$32+$C$21+$C$11*$C$15+$C$16-V31,V$19+V$26+V$32-V31)</f>
        <v>13514.884233841005</v>
      </c>
      <c r="W74" s="29">
        <f>IF(W$10=1,$C$12+W$19+W$26+W$32+$C$21+$C$11*$C$15+$C$16-W31,W$19+W$26+W$32-W31)</f>
        <v>13425.040008400762</v>
      </c>
      <c r="X74" s="29">
        <f>IF(X$10=1,$C$12+X$19+X$26+X$32+$C$21+$C$11*$C$15+$C$16-X31,X$19+X$26+X$32-X31)</f>
        <v>13333.718291102205</v>
      </c>
      <c r="Y74" s="29">
        <f>IF(Y$10=1,$C$12+Y$19+Y$26+Y$32+$C$21+$C$11*$C$15+$C$16-Y31,Y$19+Y$26+Y$32-Y31)</f>
        <v>13240.896148111513</v>
      </c>
      <c r="Z74" s="29">
        <f>IF(Z$10=1,$C$12+Z$19+Z$26+Z$32+$C$21+$C$11*$C$15+$C$16-Z31,Z$19+Z$26+Z$32-Z31)</f>
        <v>13146.550301295918</v>
      </c>
      <c r="AA74" s="29">
        <f>IF(AA$10=1,$C$12+AA$19+AA$26+AA$32+$C$21+$C$11*$C$15+$C$16-AA31,AA$19+AA$26+AA$32-AA31)</f>
        <v>13050.657123160896</v>
      </c>
      <c r="AB74" s="29">
        <f>IF(AB$10=1,$C$12+AB$19+AB$26+AB$32+$C$21+$C$11*$C$15+$C$16-AB31,AB$19+AB$26+AB$32-AB31)</f>
        <v>12953.192631713902</v>
      </c>
      <c r="AC74" s="29">
        <f>IF(AC$10=1,$C$12+AC$19+AC$26+AC$32+$C$21+$C$11*$C$15+$C$16-AC31,AC$19+AC$26+AC$32-AC31)</f>
        <v>12854.132485253615</v>
      </c>
      <c r="AD74" s="29">
        <f>IF(AD$10=1,$C$12+AD$19+AD$26+AD$32+$C$21+$C$11*$C$15+$C$16-AD31,AD$19+AD$26+AD$32-AD31)</f>
        <v>12753.451977083589</v>
      </c>
      <c r="AE74" s="29">
        <f>IF(AE$10=1,$C$12+AE$19+AE$26+AE$32+$C$21+$C$11*$C$15+$C$16-AE31,AE$19+AE$26+AE$32-AE31)</f>
        <v>12651.126030149246</v>
      </c>
      <c r="AF74" s="29">
        <f>IF(AF$10=1,$C$12+AF$19+AF$26+AF$32+$C$21+$C$11*$C$15+$C$16-AF31,AF$19+AF$26+AF$32-AF31)</f>
        <v>12547.1291915971</v>
      </c>
      <c r="AG74" s="29">
        <f>IF(AG$10=1,$C$12+AG$19+AG$26+AG$32+$C$21+$C$11*$C$15+$C$16-AG31,AG$19+AG$26+AG$32-AG31)</f>
        <v>12270.943977577552</v>
      </c>
      <c r="AH74" s="29">
        <f>IF(AH$10=1,$C$12+AH$19+AH$26+AH$32+$C$21+$C$11*$C$15+$C$16-AH31,AH$19+AH$26+AH$32-AH31)</f>
        <v>12328.653417353327</v>
      </c>
      <c r="AI74" s="29">
        <f>IF(AI$10=1,$C$12+AI$19+AI$26+AI$32+$C$21+$C$11*$C$15+$C$16-AI31,AI$19+AI$26+AI$32-AI31)</f>
        <v>12386.939951526861</v>
      </c>
      <c r="AJ74" s="29">
        <f>IF(AJ$10=1,$C$12+AJ$19+AJ$26+AJ$32+$C$21+$C$11*$C$15+$C$16-AJ31,AJ$19+AJ$26+AJ$32-AJ31)</f>
        <v>12445.809351042129</v>
      </c>
      <c r="AK74" s="30">
        <f>IF(AK$10=1,$C$12+AK$19+AK$26+AK$32+$C$21+$C$11*$C$15+$C$16-AK31,AK$19+AK$26+AK$32-AK31)</f>
        <v>12505.26744455255</v>
      </c>
    </row>
    <row r="75" spans="1:37" s="53" customFormat="1" ht="38.25" customHeight="1" x14ac:dyDescent="0.25">
      <c r="A75" s="5"/>
      <c r="B75" s="48"/>
      <c r="E75" s="37"/>
      <c r="F75" s="201"/>
      <c r="G75" s="41" t="s">
        <v>179</v>
      </c>
      <c r="H75" s="19">
        <f>IF(H$10=1,0,IF(G$75+G$74-G$12&gt;0,G$75+G$74-G$12,0))</f>
        <v>0</v>
      </c>
      <c r="I75" s="19">
        <f>IF(I$10=1,0,IF(H$75+H$74-H$12&gt;0,H$75+H$74-H$12,0))</f>
        <v>37843.917438732475</v>
      </c>
      <c r="J75" s="19">
        <f>IF(J$10=1,0,IF(I$75+I$74-I$12&gt;0,I$75+I$74-I$12,0))</f>
        <v>35936.448845232269</v>
      </c>
      <c r="K75" s="19">
        <f>IF(K$10=1,0,IF(J$75+J$74-J$12&gt;0,J$75+J$74-J$12,0))</f>
        <v>33774.60431893629</v>
      </c>
      <c r="L75" s="19">
        <f>IF(L$10=1,0,IF(K$75+K$74-K$12&gt;0,K$75+K$74-K$12,0))</f>
        <v>31355.357352781422</v>
      </c>
      <c r="M75" s="19">
        <f>IF(M$10=1,0,IF(L$75+L$74-L$12&gt;0,L$75+L$74-L$12,0))</f>
        <v>28675.644372629682</v>
      </c>
      <c r="N75" s="19">
        <f>IF(N$10=1,0,IF(M$75+M$74-M$12&gt;0,M$75+M$74-M$12,0))</f>
        <v>25732.364270756014</v>
      </c>
      <c r="O75" s="19">
        <f>IF(O$10=1,0,IF(N$75+N$74-N$12&gt;0,N$75+N$74-N$12,0))</f>
        <v>22522.377933320469</v>
      </c>
      <c r="P75" s="19">
        <f>IF(P$10=1,0,IF(O$75+O$74-O$12&gt;0,O$75+O$74-O$12,0))</f>
        <v>18328.222047460018</v>
      </c>
      <c r="Q75" s="19">
        <f>IF(Q$10=1,0,IF(P$75+P$74-P$12&gt;0,P$75+P$74-P$12,0))</f>
        <v>13860.965759348164</v>
      </c>
      <c r="R75" s="19">
        <f>IF(R$10=1,0,IF(Q$75+Q$74-Q$12&gt;0,Q$75+Q$74-Q$12,0))</f>
        <v>9117.3530402840624</v>
      </c>
      <c r="S75" s="19">
        <f>IF(S$10=1,0,IF(R$75+R$74-R$12&gt;0,R$75+R$74-R$12,0))</f>
        <v>3094.087903585747</v>
      </c>
      <c r="T75" s="19">
        <f>IF(T$10=1,0,IF(S$75+S$74-S$12&gt;0,S$75+S$74-S$12,0))</f>
        <v>0</v>
      </c>
      <c r="U75" s="19">
        <f>IF(U$10=1,0,IF(T$75+T$74-T$12&gt;0,T$75+T$74-T$12,0))</f>
        <v>0</v>
      </c>
      <c r="V75" s="19">
        <f>IF(V$10=1,0,IF(U$75+U$74-U$12&gt;0,U$75+U$74-U$12,0))</f>
        <v>0</v>
      </c>
      <c r="W75" s="19">
        <f>IF(W$10=1,0,IF(V$75+V$74-V$12&gt;0,V$75+V$74-V$12,0))</f>
        <v>0</v>
      </c>
      <c r="X75" s="19">
        <f>IF(X$10=1,0,IF(W$75+W$74-W$12&gt;0,W$75+W$74-W$12,0))</f>
        <v>0</v>
      </c>
      <c r="Y75" s="19">
        <f>IF(Y$10=1,0,IF(X$75+X$74-X$12&gt;0,X$75+X$74-X$12,0))</f>
        <v>0</v>
      </c>
      <c r="Z75" s="19">
        <f>IF(Z$10=1,0,IF(Y$75+Y$74-Y$12&gt;0,Y$75+Y$74-Y$12,0))</f>
        <v>0</v>
      </c>
      <c r="AA75" s="19">
        <f>IF(AA$10=1,0,IF(Z$75+Z$74-Z$12&gt;0,Z$75+Z$74-Z$12,0))</f>
        <v>0</v>
      </c>
      <c r="AB75" s="19">
        <f>IF(AB$10=1,0,IF(AA$75+AA$74-AA$12&gt;0,AA$75+AA$74-AA$12,0))</f>
        <v>0</v>
      </c>
      <c r="AC75" s="19">
        <f>IF(AC$10=1,0,IF(AB$75+AB$74-AB$12&gt;0,AB$75+AB$74-AB$12,0))</f>
        <v>0</v>
      </c>
      <c r="AD75" s="19">
        <f>IF(AD$10=1,0,IF(AC$75+AC$74-AC$12&gt;0,AC$75+AC$74-AC$12,0))</f>
        <v>0</v>
      </c>
      <c r="AE75" s="19">
        <f>IF(AE$10=1,0,IF(AD$75+AD$74-AD$12&gt;0,AD$75+AD$74-AD$12,0))</f>
        <v>0</v>
      </c>
      <c r="AF75" s="19">
        <f>IF(AF$10=1,0,IF(AE$75+AE$74-AE$12&gt;0,AE$75+AE$74-AE$12,0))</f>
        <v>0</v>
      </c>
      <c r="AG75" s="19">
        <f>IF(AG$10=1,0,IF(AF$75+AF$74-AF$12&gt;0,AF$75+AF$74-AF$12,0))</f>
        <v>0</v>
      </c>
      <c r="AH75" s="19">
        <f>IF(AH$10=1,0,IF(AG$75+AG$74-AG$12&gt;0,AG$75+AG$74-AG$12,0))</f>
        <v>0</v>
      </c>
      <c r="AI75" s="19">
        <f>IF(AI$10=1,0,IF(AH$75+AH$74-AH$12&gt;0,AH$75+AH$74-AH$12,0))</f>
        <v>0</v>
      </c>
      <c r="AJ75" s="19">
        <f>IF(AJ$10=1,0,IF(AI$75+AI$74-AI$12&gt;0,AI$75+AI$74-AI$12,0))</f>
        <v>0</v>
      </c>
      <c r="AK75" s="27">
        <f>IF(AK$10=1,0,IF(AJ$75+AJ$74-AJ$12&gt;0,AJ$75+AJ$74-AJ$12,0))</f>
        <v>0</v>
      </c>
    </row>
    <row r="76" spans="1:37" s="53" customFormat="1" ht="38.25" customHeight="1" x14ac:dyDescent="0.25">
      <c r="A76" s="5"/>
      <c r="B76" s="48"/>
      <c r="E76" s="37"/>
      <c r="F76" s="201"/>
      <c r="G76" s="41" t="s">
        <v>107</v>
      </c>
      <c r="H76" s="19">
        <f>IF(H12-H74-H75&lt;=0,0,H12-H74-H75)</f>
        <v>0</v>
      </c>
      <c r="I76" s="19">
        <f>IF(I12-I74-I75&lt;=0,0,I12-I74-I75)</f>
        <v>0</v>
      </c>
      <c r="J76" s="19">
        <f>IF(J12-J74-J75&lt;=0,0,J12-J74-J75)</f>
        <v>0</v>
      </c>
      <c r="K76" s="19">
        <f>IF(K12-K74-K75&lt;=0,0,K12-K74-K75)</f>
        <v>0</v>
      </c>
      <c r="L76" s="19">
        <f>IF(L12-L74-L75&lt;=0,0,L12-L74-L75)</f>
        <v>0</v>
      </c>
      <c r="M76" s="19">
        <f>IF(M12-M74-M75&lt;=0,0,M12-M74-M75)</f>
        <v>0</v>
      </c>
      <c r="N76" s="19">
        <f>IF(N12-N74-N75&lt;=0,0,N12-N74-N75)</f>
        <v>0</v>
      </c>
      <c r="O76" s="19">
        <f>IF(O12-O74-O75&lt;=0,0,O12-O74-O75)</f>
        <v>0</v>
      </c>
      <c r="P76" s="19">
        <f>IF(P12-P74-P75&lt;=0,0,P12-P74-P75)</f>
        <v>0</v>
      </c>
      <c r="Q76" s="19">
        <f>IF(Q12-Q74-Q75&lt;=0,0,Q12-Q74-Q75)</f>
        <v>0</v>
      </c>
      <c r="R76" s="19">
        <f>IF(R12-R74-R75&lt;=0,0,R12-R74-R75)</f>
        <v>0</v>
      </c>
      <c r="S76" s="19">
        <f>IF(S12-S74-S75&lt;=0,0,S12-S74-S75)</f>
        <v>3212.1660992245652</v>
      </c>
      <c r="T76" s="19">
        <f>IF(T12-T74-T75&lt;=0,0,T12-T74-T75)</f>
        <v>6592.620289517401</v>
      </c>
      <c r="U76" s="19">
        <f>IF(U12-U74-U75&lt;=0,0,U12-U74-U75)</f>
        <v>6882.4054858510117</v>
      </c>
      <c r="V76" s="19">
        <f>IF(V12-V74-V75&lt;=0,0,V12-V74-V75)</f>
        <v>7175.6516044362015</v>
      </c>
      <c r="W76" s="19">
        <f>IF(W12-W74-W75&lt;=0,0,W12-W74-W75)</f>
        <v>7472.4011882592113</v>
      </c>
      <c r="X76" s="19">
        <f>IF(X12-X74-X75&lt;=0,0,X12-X74-X75)</f>
        <v>7772.6973175243747</v>
      </c>
      <c r="Y76" s="19">
        <f>IF(Y12-Y74-Y75&lt;=0,0,Y12-Y74-Y75)</f>
        <v>8076.5836166013305</v>
      </c>
      <c r="Z76" s="19">
        <f>IF(Z12-Z74-Z75&lt;=0,0,Z12-Z74-Z75)</f>
        <v>8384.1042610640561</v>
      </c>
      <c r="AA76" s="19">
        <f>IF(AA12-AA74-AA75&lt;=0,0,AA12-AA74-AA75)</f>
        <v>8695.3039848226745</v>
      </c>
      <c r="AB76" s="19">
        <f>IF(AB12-AB74-AB75&lt;=0,0,AB12-AB74-AB75)</f>
        <v>9010.2280873495019</v>
      </c>
      <c r="AC76" s="19">
        <f>IF(AC12-AC74-AC75&lt;=0,0,AC12-AC74-AC75)</f>
        <v>9328.9224410004263</v>
      </c>
      <c r="AD76" s="19">
        <f>IF(AD12-AD74-AD75&lt;=0,0,AD12-AD74-AD75)</f>
        <v>9651.4334984329962</v>
      </c>
      <c r="AE76" s="19">
        <f>IF(AE12-AE74-AE75&lt;=0,0,AE12-AE74-AE75)</f>
        <v>9977.8083001225004</v>
      </c>
      <c r="AF76" s="19">
        <f>IF(AF12-AF74-AF75&lt;=0,0,AF12-AF74-AF75)</f>
        <v>10308.094481977367</v>
      </c>
      <c r="AG76" s="19">
        <f>IF(AG12-AG74-AG75&lt;=0,0,AG12-AG74-AG75)</f>
        <v>10812.831932732663</v>
      </c>
      <c r="AH76" s="19">
        <f>IF(AH12-AH74-AH75&lt;=0,0,AH12-AH74-AH75)</f>
        <v>10985.960252059993</v>
      </c>
      <c r="AI76" s="19">
        <f>IF(AI12-AI74-AI75&lt;=0,0,AI12-AI74-AI75)</f>
        <v>11160.819854580581</v>
      </c>
      <c r="AJ76" s="19">
        <f>IF(AJ12-AJ74-AJ75&lt;=0,0,AJ12-AJ74-AJ75)</f>
        <v>11337.428053126392</v>
      </c>
      <c r="AK76" s="27">
        <f>IF(AK12-AK74-AK75&lt;=0,0,AK12-AK74-AK75)</f>
        <v>11515.802333657657</v>
      </c>
    </row>
    <row r="77" spans="1:37" s="53" customFormat="1" ht="38.25" customHeight="1" x14ac:dyDescent="0.25">
      <c r="A77" s="5"/>
      <c r="B77" s="48"/>
      <c r="E77" s="37"/>
      <c r="F77" s="201"/>
      <c r="G77" s="41" t="s">
        <v>111</v>
      </c>
      <c r="H77" s="19">
        <f>H76+H38</f>
        <v>31500</v>
      </c>
      <c r="I77" s="19">
        <f>I76+I38</f>
        <v>32445</v>
      </c>
      <c r="J77" s="19">
        <f>J76+J38</f>
        <v>33418.35</v>
      </c>
      <c r="K77" s="19">
        <f>K76+K38</f>
        <v>34420.900500000003</v>
      </c>
      <c r="L77" s="19">
        <f>L76+L38</f>
        <v>35453.527515000002</v>
      </c>
      <c r="M77" s="19">
        <f>M76+M38</f>
        <v>36517.133340449996</v>
      </c>
      <c r="N77" s="19">
        <f>N76+N38</f>
        <v>37612.647340663498</v>
      </c>
      <c r="O77" s="19">
        <f>O76+O38</f>
        <v>38741.026760883404</v>
      </c>
      <c r="P77" s="19">
        <f>P76+P38</f>
        <v>39903.2575637099</v>
      </c>
      <c r="Q77" s="19">
        <f>Q76+Q38</f>
        <v>41100.355290621199</v>
      </c>
      <c r="R77" s="19">
        <f>R76+R38</f>
        <v>42333.365949339837</v>
      </c>
      <c r="S77" s="19">
        <f>S76+S38</f>
        <v>46815.533027044599</v>
      </c>
      <c r="T77" s="19">
        <f>T76+T38</f>
        <v>51504.088225172025</v>
      </c>
      <c r="U77" s="19">
        <f>U76+U38</f>
        <v>53141.21745957528</v>
      </c>
      <c r="V77" s="19">
        <f>V76+V38</f>
        <v>54822.227937372198</v>
      </c>
      <c r="W77" s="19">
        <f>W76+W38</f>
        <v>56548.37481118329</v>
      </c>
      <c r="X77" s="19">
        <f>X76+X38</f>
        <v>58320.950149136173</v>
      </c>
      <c r="Y77" s="19">
        <f>Y76+Y38</f>
        <v>60141.284033161479</v>
      </c>
      <c r="Z77" s="19">
        <f>Z76+Z38</f>
        <v>62010.745690121017</v>
      </c>
      <c r="AA77" s="19">
        <f>AA76+AA38</f>
        <v>63930.744656751333</v>
      </c>
      <c r="AB77" s="19">
        <f>AB76+AB38</f>
        <v>65902.731979436023</v>
      </c>
      <c r="AC77" s="19">
        <f>AC76+AC38</f>
        <v>67928.201449849541</v>
      </c>
      <c r="AD77" s="19">
        <f>AD76+AD38</f>
        <v>70008.690877547575</v>
      </c>
      <c r="AE77" s="19">
        <f>AE76+AE38</f>
        <v>72145.783400610526</v>
      </c>
      <c r="AF77" s="19">
        <f>AF76+AF38</f>
        <v>74341.10883548003</v>
      </c>
      <c r="AG77" s="19">
        <f>AG76+AG38</f>
        <v>76766.836716840407</v>
      </c>
      <c r="AH77" s="19">
        <f>AH76+AH38</f>
        <v>78918.58517969097</v>
      </c>
      <c r="AI77" s="19">
        <f>AI76+AI38</f>
        <v>81131.423530040483</v>
      </c>
      <c r="AJ77" s="19">
        <f>AJ76+AJ38</f>
        <v>83407.149838850091</v>
      </c>
      <c r="AK77" s="27">
        <f>AK76+AK38</f>
        <v>85747.615772953068</v>
      </c>
    </row>
    <row r="78" spans="1:37" s="53" customFormat="1" ht="38.25" customHeight="1" x14ac:dyDescent="0.25">
      <c r="A78" s="5"/>
      <c r="B78" s="48"/>
      <c r="E78" s="37"/>
      <c r="F78" s="201"/>
      <c r="G78" s="41" t="s">
        <v>112</v>
      </c>
      <c r="H78" s="19">
        <f>IF($C$32=0,H77,H77/2)</f>
        <v>31500</v>
      </c>
      <c r="I78" s="19">
        <f t="shared" ref="I78:AK78" si="56">IF($C$32=0,I77,I77/2)</f>
        <v>32445</v>
      </c>
      <c r="J78" s="19">
        <f t="shared" si="56"/>
        <v>33418.35</v>
      </c>
      <c r="K78" s="19">
        <f t="shared" si="56"/>
        <v>34420.900500000003</v>
      </c>
      <c r="L78" s="19">
        <f t="shared" si="56"/>
        <v>35453.527515000002</v>
      </c>
      <c r="M78" s="19">
        <f t="shared" si="56"/>
        <v>36517.133340449996</v>
      </c>
      <c r="N78" s="19">
        <f t="shared" si="56"/>
        <v>37612.647340663498</v>
      </c>
      <c r="O78" s="19">
        <f t="shared" si="56"/>
        <v>38741.026760883404</v>
      </c>
      <c r="P78" s="19">
        <f t="shared" si="56"/>
        <v>39903.2575637099</v>
      </c>
      <c r="Q78" s="19">
        <f t="shared" si="56"/>
        <v>41100.355290621199</v>
      </c>
      <c r="R78" s="19">
        <f t="shared" si="56"/>
        <v>42333.365949339837</v>
      </c>
      <c r="S78" s="19">
        <f t="shared" si="56"/>
        <v>46815.533027044599</v>
      </c>
      <c r="T78" s="19">
        <f t="shared" si="56"/>
        <v>51504.088225172025</v>
      </c>
      <c r="U78" s="19">
        <f t="shared" si="56"/>
        <v>53141.21745957528</v>
      </c>
      <c r="V78" s="19">
        <f t="shared" si="56"/>
        <v>54822.227937372198</v>
      </c>
      <c r="W78" s="19">
        <f t="shared" si="56"/>
        <v>56548.37481118329</v>
      </c>
      <c r="X78" s="19">
        <f t="shared" si="56"/>
        <v>58320.950149136173</v>
      </c>
      <c r="Y78" s="19">
        <f t="shared" si="56"/>
        <v>60141.284033161479</v>
      </c>
      <c r="Z78" s="19">
        <f t="shared" si="56"/>
        <v>62010.745690121017</v>
      </c>
      <c r="AA78" s="19">
        <f t="shared" si="56"/>
        <v>63930.744656751333</v>
      </c>
      <c r="AB78" s="19">
        <f t="shared" si="56"/>
        <v>65902.731979436023</v>
      </c>
      <c r="AC78" s="19">
        <f t="shared" si="56"/>
        <v>67928.201449849541</v>
      </c>
      <c r="AD78" s="19">
        <f t="shared" si="56"/>
        <v>70008.690877547575</v>
      </c>
      <c r="AE78" s="19">
        <f t="shared" si="56"/>
        <v>72145.783400610526</v>
      </c>
      <c r="AF78" s="19">
        <f t="shared" si="56"/>
        <v>74341.10883548003</v>
      </c>
      <c r="AG78" s="19">
        <f t="shared" si="56"/>
        <v>76766.836716840407</v>
      </c>
      <c r="AH78" s="19">
        <f t="shared" si="56"/>
        <v>78918.58517969097</v>
      </c>
      <c r="AI78" s="19">
        <f t="shared" si="56"/>
        <v>81131.423530040483</v>
      </c>
      <c r="AJ78" s="19">
        <f t="shared" si="56"/>
        <v>83407.149838850091</v>
      </c>
      <c r="AK78" s="27">
        <f t="shared" si="56"/>
        <v>85747.615772953068</v>
      </c>
    </row>
    <row r="79" spans="1:37" s="74" customFormat="1" ht="38.25" customHeight="1" x14ac:dyDescent="0.25">
      <c r="A79" s="76"/>
      <c r="B79" s="40"/>
      <c r="F79" s="201"/>
      <c r="G79" s="41" t="s">
        <v>113</v>
      </c>
      <c r="H79" s="19">
        <f>IF(H78&lt;10084,0,
IF(AND(H78&gt;10084,H78&lt;=25710),(H78-10084)*0.11,
IF(AND(H78&gt;25710,H78&lt;=73516),(H78-25710)*0.3+1721.06,
IF(AND(H78&gt;73516,H78&lt;=158122),(H78-73516)*0.41+16062.86,
IF(H78&gt;158122,(H78-158122)*0.45+50751.32,
0)))))</f>
        <v>3458.06</v>
      </c>
      <c r="I79" s="19">
        <f t="shared" ref="I79:AK79" si="57">IF(I78&lt;10084,0,
IF(AND(I78&gt;10084,I78&lt;=25710),(I78-10084)*0.11,
IF(AND(I78&gt;25710,I78&lt;=73516),(I78-25710)*0.3+1721.06,
IF(AND(I78&gt;73516,I78&lt;=158122),(I78-73516)*0.41+16062.86,
IF(I78&gt;158122,(I78-158122)*0.45+50751.32,
0)))))</f>
        <v>3741.56</v>
      </c>
      <c r="J79" s="19">
        <f t="shared" si="57"/>
        <v>4033.5649999999996</v>
      </c>
      <c r="K79" s="19">
        <f t="shared" si="57"/>
        <v>4334.3301500000007</v>
      </c>
      <c r="L79" s="19">
        <f t="shared" si="57"/>
        <v>4644.1182545000001</v>
      </c>
      <c r="M79" s="19">
        <f t="shared" si="57"/>
        <v>4963.2000021349986</v>
      </c>
      <c r="N79" s="19">
        <f t="shared" si="57"/>
        <v>5291.8542021990488</v>
      </c>
      <c r="O79" s="19">
        <f t="shared" si="57"/>
        <v>5630.3680282650203</v>
      </c>
      <c r="P79" s="19">
        <f t="shared" si="57"/>
        <v>5979.0372691129705</v>
      </c>
      <c r="Q79" s="19">
        <f t="shared" si="57"/>
        <v>6338.1665871863588</v>
      </c>
      <c r="R79" s="19">
        <f t="shared" si="57"/>
        <v>6708.0697848019518</v>
      </c>
      <c r="S79" s="19">
        <f t="shared" si="57"/>
        <v>8052.7199081133804</v>
      </c>
      <c r="T79" s="19">
        <f t="shared" si="57"/>
        <v>9459.2864675516066</v>
      </c>
      <c r="U79" s="19">
        <f t="shared" si="57"/>
        <v>9950.4252378725832</v>
      </c>
      <c r="V79" s="19">
        <f t="shared" si="57"/>
        <v>10454.728381211658</v>
      </c>
      <c r="W79" s="19">
        <f t="shared" si="57"/>
        <v>10972.572443354986</v>
      </c>
      <c r="X79" s="19">
        <f t="shared" si="57"/>
        <v>11504.34504474085</v>
      </c>
      <c r="Y79" s="19">
        <f t="shared" si="57"/>
        <v>12050.445209948442</v>
      </c>
      <c r="Z79" s="19">
        <f t="shared" si="57"/>
        <v>12611.283707036304</v>
      </c>
      <c r="AA79" s="19">
        <f t="shared" si="57"/>
        <v>13187.2833970254</v>
      </c>
      <c r="AB79" s="19">
        <f t="shared" si="57"/>
        <v>13778.879593830807</v>
      </c>
      <c r="AC79" s="19">
        <f t="shared" si="57"/>
        <v>14386.520434954862</v>
      </c>
      <c r="AD79" s="19">
        <f t="shared" si="57"/>
        <v>15010.667263264271</v>
      </c>
      <c r="AE79" s="19">
        <f t="shared" si="57"/>
        <v>15651.795020183157</v>
      </c>
      <c r="AF79" s="19">
        <f t="shared" si="57"/>
        <v>16401.154622546812</v>
      </c>
      <c r="AG79" s="19">
        <f t="shared" si="57"/>
        <v>17395.703053904566</v>
      </c>
      <c r="AH79" s="19">
        <f t="shared" si="57"/>
        <v>18277.919923673297</v>
      </c>
      <c r="AI79" s="19">
        <f t="shared" si="57"/>
        <v>19185.183647316597</v>
      </c>
      <c r="AJ79" s="19">
        <f t="shared" si="57"/>
        <v>20118.231433928537</v>
      </c>
      <c r="AK79" s="27">
        <f t="shared" si="57"/>
        <v>21077.822466910759</v>
      </c>
    </row>
    <row r="80" spans="1:37" s="74" customFormat="1" ht="38.25" customHeight="1" x14ac:dyDescent="0.25">
      <c r="A80" s="76"/>
      <c r="B80" s="40"/>
      <c r="F80" s="201"/>
      <c r="G80" s="41" t="s">
        <v>114</v>
      </c>
      <c r="H80" s="19">
        <f>IF($C$32=0,H79,H79*2)</f>
        <v>3458.06</v>
      </c>
      <c r="I80" s="19">
        <f t="shared" ref="I80:AK80" si="58">IF($C$32=0,I79,I79*2)</f>
        <v>3741.56</v>
      </c>
      <c r="J80" s="19">
        <f t="shared" si="58"/>
        <v>4033.5649999999996</v>
      </c>
      <c r="K80" s="19">
        <f t="shared" si="58"/>
        <v>4334.3301500000007</v>
      </c>
      <c r="L80" s="19">
        <f t="shared" si="58"/>
        <v>4644.1182545000001</v>
      </c>
      <c r="M80" s="19">
        <f t="shared" si="58"/>
        <v>4963.2000021349986</v>
      </c>
      <c r="N80" s="19">
        <f t="shared" si="58"/>
        <v>5291.8542021990488</v>
      </c>
      <c r="O80" s="19">
        <f t="shared" si="58"/>
        <v>5630.3680282650203</v>
      </c>
      <c r="P80" s="19">
        <f t="shared" si="58"/>
        <v>5979.0372691129705</v>
      </c>
      <c r="Q80" s="19">
        <f t="shared" si="58"/>
        <v>6338.1665871863588</v>
      </c>
      <c r="R80" s="19">
        <f t="shared" si="58"/>
        <v>6708.0697848019518</v>
      </c>
      <c r="S80" s="19">
        <f t="shared" si="58"/>
        <v>8052.7199081133804</v>
      </c>
      <c r="T80" s="19">
        <f t="shared" si="58"/>
        <v>9459.2864675516066</v>
      </c>
      <c r="U80" s="19">
        <f t="shared" si="58"/>
        <v>9950.4252378725832</v>
      </c>
      <c r="V80" s="19">
        <f t="shared" si="58"/>
        <v>10454.728381211658</v>
      </c>
      <c r="W80" s="19">
        <f t="shared" si="58"/>
        <v>10972.572443354986</v>
      </c>
      <c r="X80" s="19">
        <f t="shared" si="58"/>
        <v>11504.34504474085</v>
      </c>
      <c r="Y80" s="19">
        <f t="shared" si="58"/>
        <v>12050.445209948442</v>
      </c>
      <c r="Z80" s="19">
        <f t="shared" si="58"/>
        <v>12611.283707036304</v>
      </c>
      <c r="AA80" s="19">
        <f t="shared" si="58"/>
        <v>13187.2833970254</v>
      </c>
      <c r="AB80" s="19">
        <f t="shared" si="58"/>
        <v>13778.879593830807</v>
      </c>
      <c r="AC80" s="19">
        <f t="shared" si="58"/>
        <v>14386.520434954862</v>
      </c>
      <c r="AD80" s="19">
        <f t="shared" si="58"/>
        <v>15010.667263264271</v>
      </c>
      <c r="AE80" s="19">
        <f t="shared" si="58"/>
        <v>15651.795020183157</v>
      </c>
      <c r="AF80" s="19">
        <f t="shared" si="58"/>
        <v>16401.154622546812</v>
      </c>
      <c r="AG80" s="19">
        <f t="shared" si="58"/>
        <v>17395.703053904566</v>
      </c>
      <c r="AH80" s="19">
        <f t="shared" si="58"/>
        <v>18277.919923673297</v>
      </c>
      <c r="AI80" s="19">
        <f t="shared" si="58"/>
        <v>19185.183647316597</v>
      </c>
      <c r="AJ80" s="19">
        <f t="shared" si="58"/>
        <v>20118.231433928537</v>
      </c>
      <c r="AK80" s="27">
        <f t="shared" si="58"/>
        <v>21077.822466910759</v>
      </c>
    </row>
    <row r="81" spans="1:37" s="74" customFormat="1" ht="38.25" customHeight="1" x14ac:dyDescent="0.25">
      <c r="A81" s="76"/>
      <c r="B81" s="40"/>
      <c r="F81" s="201"/>
      <c r="G81" s="41" t="s">
        <v>115</v>
      </c>
      <c r="H81" s="19">
        <f>H77/$C$34</f>
        <v>31500</v>
      </c>
      <c r="I81" s="19">
        <f t="shared" ref="I81:AK81" si="59">I77/$C$34</f>
        <v>32445</v>
      </c>
      <c r="J81" s="19">
        <f t="shared" si="59"/>
        <v>33418.35</v>
      </c>
      <c r="K81" s="19">
        <f t="shared" si="59"/>
        <v>34420.900500000003</v>
      </c>
      <c r="L81" s="19">
        <f t="shared" si="59"/>
        <v>35453.527515000002</v>
      </c>
      <c r="M81" s="19">
        <f t="shared" si="59"/>
        <v>36517.133340449996</v>
      </c>
      <c r="N81" s="19">
        <f t="shared" si="59"/>
        <v>37612.647340663498</v>
      </c>
      <c r="O81" s="19">
        <f t="shared" si="59"/>
        <v>38741.026760883404</v>
      </c>
      <c r="P81" s="19">
        <f t="shared" si="59"/>
        <v>39903.2575637099</v>
      </c>
      <c r="Q81" s="19">
        <f t="shared" si="59"/>
        <v>41100.355290621199</v>
      </c>
      <c r="R81" s="19">
        <f t="shared" si="59"/>
        <v>42333.365949339837</v>
      </c>
      <c r="S81" s="19">
        <f t="shared" si="59"/>
        <v>46815.533027044599</v>
      </c>
      <c r="T81" s="19">
        <f t="shared" si="59"/>
        <v>51504.088225172025</v>
      </c>
      <c r="U81" s="19">
        <f t="shared" si="59"/>
        <v>53141.21745957528</v>
      </c>
      <c r="V81" s="19">
        <f t="shared" si="59"/>
        <v>54822.227937372198</v>
      </c>
      <c r="W81" s="19">
        <f t="shared" si="59"/>
        <v>56548.37481118329</v>
      </c>
      <c r="X81" s="19">
        <f t="shared" si="59"/>
        <v>58320.950149136173</v>
      </c>
      <c r="Y81" s="19">
        <f t="shared" si="59"/>
        <v>60141.284033161479</v>
      </c>
      <c r="Z81" s="19">
        <f t="shared" si="59"/>
        <v>62010.745690121017</v>
      </c>
      <c r="AA81" s="19">
        <f t="shared" si="59"/>
        <v>63930.744656751333</v>
      </c>
      <c r="AB81" s="19">
        <f t="shared" si="59"/>
        <v>65902.731979436023</v>
      </c>
      <c r="AC81" s="19">
        <f t="shared" si="59"/>
        <v>67928.201449849541</v>
      </c>
      <c r="AD81" s="19">
        <f t="shared" si="59"/>
        <v>70008.690877547575</v>
      </c>
      <c r="AE81" s="19">
        <f t="shared" si="59"/>
        <v>72145.783400610526</v>
      </c>
      <c r="AF81" s="19">
        <f t="shared" si="59"/>
        <v>74341.10883548003</v>
      </c>
      <c r="AG81" s="19">
        <f t="shared" si="59"/>
        <v>76766.836716840407</v>
      </c>
      <c r="AH81" s="19">
        <f t="shared" si="59"/>
        <v>78918.58517969097</v>
      </c>
      <c r="AI81" s="19">
        <f t="shared" si="59"/>
        <v>81131.423530040483</v>
      </c>
      <c r="AJ81" s="19">
        <f t="shared" si="59"/>
        <v>83407.149838850091</v>
      </c>
      <c r="AK81" s="27">
        <f t="shared" si="59"/>
        <v>85747.615772953068</v>
      </c>
    </row>
    <row r="82" spans="1:37" s="53" customFormat="1" ht="38.25" customHeight="1" x14ac:dyDescent="0.25">
      <c r="A82" s="5"/>
      <c r="B82" s="55"/>
      <c r="C82" s="24"/>
      <c r="D82" s="7"/>
      <c r="E82" s="36"/>
      <c r="F82" s="201"/>
      <c r="G82" s="41" t="s">
        <v>116</v>
      </c>
      <c r="H82" s="19">
        <f>IF(H81&lt;10084,0,
IF(AND(H81&gt;10084,H81&lt;=25710),(H81-10084)*0.11,
IF(AND(H81&gt;25710,H81&lt;=73516),(H81-25710)*0.3+1721.06,
IF(AND(H81&gt;73516,H81&lt;=158122),(H81-73516)*0.41+16062.86,
IF(H81&gt;158122,(H81-158122)*0.45+50751.32,
0)))))</f>
        <v>3458.06</v>
      </c>
      <c r="I82" s="19">
        <f t="shared" ref="I82:AK82" si="60">IF(I81&lt;10084,0,
IF(AND(I81&gt;10084,I81&lt;=25710),(I81-10084)*0.11,
IF(AND(I81&gt;25710,I81&lt;=73516),(I81-25710)*0.3+1721.06,
IF(AND(I81&gt;73516,I81&lt;=158122),(I81-73516)*0.41+16062.86,
IF(I81&gt;158122,(I81-158122)*0.45+50751.32,
0)))))</f>
        <v>3741.56</v>
      </c>
      <c r="J82" s="19">
        <f t="shared" si="60"/>
        <v>4033.5649999999996</v>
      </c>
      <c r="K82" s="19">
        <f t="shared" si="60"/>
        <v>4334.3301500000007</v>
      </c>
      <c r="L82" s="19">
        <f t="shared" si="60"/>
        <v>4644.1182545000001</v>
      </c>
      <c r="M82" s="19">
        <f t="shared" si="60"/>
        <v>4963.2000021349986</v>
      </c>
      <c r="N82" s="19">
        <f t="shared" si="60"/>
        <v>5291.8542021990488</v>
      </c>
      <c r="O82" s="19">
        <f t="shared" si="60"/>
        <v>5630.3680282650203</v>
      </c>
      <c r="P82" s="19">
        <f t="shared" si="60"/>
        <v>5979.0372691129705</v>
      </c>
      <c r="Q82" s="19">
        <f t="shared" si="60"/>
        <v>6338.1665871863588</v>
      </c>
      <c r="R82" s="19">
        <f t="shared" si="60"/>
        <v>6708.0697848019518</v>
      </c>
      <c r="S82" s="19">
        <f t="shared" si="60"/>
        <v>8052.7199081133804</v>
      </c>
      <c r="T82" s="19">
        <f t="shared" si="60"/>
        <v>9459.2864675516066</v>
      </c>
      <c r="U82" s="19">
        <f t="shared" si="60"/>
        <v>9950.4252378725832</v>
      </c>
      <c r="V82" s="19">
        <f t="shared" si="60"/>
        <v>10454.728381211658</v>
      </c>
      <c r="W82" s="19">
        <f t="shared" si="60"/>
        <v>10972.572443354986</v>
      </c>
      <c r="X82" s="19">
        <f t="shared" si="60"/>
        <v>11504.34504474085</v>
      </c>
      <c r="Y82" s="19">
        <f t="shared" si="60"/>
        <v>12050.445209948442</v>
      </c>
      <c r="Z82" s="19">
        <f t="shared" si="60"/>
        <v>12611.283707036304</v>
      </c>
      <c r="AA82" s="19">
        <f t="shared" si="60"/>
        <v>13187.2833970254</v>
      </c>
      <c r="AB82" s="19">
        <f t="shared" si="60"/>
        <v>13778.879593830807</v>
      </c>
      <c r="AC82" s="19">
        <f t="shared" si="60"/>
        <v>14386.520434954862</v>
      </c>
      <c r="AD82" s="19">
        <f t="shared" si="60"/>
        <v>15010.667263264271</v>
      </c>
      <c r="AE82" s="19">
        <f t="shared" si="60"/>
        <v>15651.795020183157</v>
      </c>
      <c r="AF82" s="19">
        <f t="shared" si="60"/>
        <v>16401.154622546812</v>
      </c>
      <c r="AG82" s="19">
        <f t="shared" si="60"/>
        <v>17395.703053904566</v>
      </c>
      <c r="AH82" s="19">
        <f t="shared" si="60"/>
        <v>18277.919923673297</v>
      </c>
      <c r="AI82" s="19">
        <f t="shared" si="60"/>
        <v>19185.183647316597</v>
      </c>
      <c r="AJ82" s="19">
        <f t="shared" si="60"/>
        <v>20118.231433928537</v>
      </c>
      <c r="AK82" s="27">
        <f t="shared" si="60"/>
        <v>21077.822466910759</v>
      </c>
    </row>
    <row r="83" spans="1:37" s="53" customFormat="1" ht="38.25" customHeight="1" x14ac:dyDescent="0.25">
      <c r="A83" s="5"/>
      <c r="B83" s="115"/>
      <c r="C83" s="24"/>
      <c r="D83" s="7"/>
      <c r="E83" s="36"/>
      <c r="F83" s="201"/>
      <c r="G83" s="41" t="s">
        <v>117</v>
      </c>
      <c r="H83" s="19">
        <f>H82*$C$34</f>
        <v>3458.06</v>
      </c>
      <c r="I83" s="19">
        <f t="shared" ref="I83:AK83" si="61">I82*$C$34</f>
        <v>3741.56</v>
      </c>
      <c r="J83" s="19">
        <f t="shared" si="61"/>
        <v>4033.5649999999996</v>
      </c>
      <c r="K83" s="19">
        <f t="shared" si="61"/>
        <v>4334.3301500000007</v>
      </c>
      <c r="L83" s="19">
        <f t="shared" si="61"/>
        <v>4644.1182545000001</v>
      </c>
      <c r="M83" s="19">
        <f t="shared" si="61"/>
        <v>4963.2000021349986</v>
      </c>
      <c r="N83" s="19">
        <f t="shared" si="61"/>
        <v>5291.8542021990488</v>
      </c>
      <c r="O83" s="19">
        <f t="shared" si="61"/>
        <v>5630.3680282650203</v>
      </c>
      <c r="P83" s="19">
        <f t="shared" si="61"/>
        <v>5979.0372691129705</v>
      </c>
      <c r="Q83" s="19">
        <f t="shared" si="61"/>
        <v>6338.1665871863588</v>
      </c>
      <c r="R83" s="19">
        <f t="shared" si="61"/>
        <v>6708.0697848019518</v>
      </c>
      <c r="S83" s="19">
        <f t="shared" si="61"/>
        <v>8052.7199081133804</v>
      </c>
      <c r="T83" s="19">
        <f t="shared" si="61"/>
        <v>9459.2864675516066</v>
      </c>
      <c r="U83" s="19">
        <f t="shared" si="61"/>
        <v>9950.4252378725832</v>
      </c>
      <c r="V83" s="19">
        <f t="shared" si="61"/>
        <v>10454.728381211658</v>
      </c>
      <c r="W83" s="19">
        <f t="shared" si="61"/>
        <v>10972.572443354986</v>
      </c>
      <c r="X83" s="19">
        <f t="shared" si="61"/>
        <v>11504.34504474085</v>
      </c>
      <c r="Y83" s="19">
        <f t="shared" si="61"/>
        <v>12050.445209948442</v>
      </c>
      <c r="Z83" s="19">
        <f t="shared" si="61"/>
        <v>12611.283707036304</v>
      </c>
      <c r="AA83" s="19">
        <f t="shared" si="61"/>
        <v>13187.2833970254</v>
      </c>
      <c r="AB83" s="19">
        <f t="shared" si="61"/>
        <v>13778.879593830807</v>
      </c>
      <c r="AC83" s="19">
        <f t="shared" si="61"/>
        <v>14386.520434954862</v>
      </c>
      <c r="AD83" s="19">
        <f t="shared" si="61"/>
        <v>15010.667263264271</v>
      </c>
      <c r="AE83" s="19">
        <f t="shared" si="61"/>
        <v>15651.795020183157</v>
      </c>
      <c r="AF83" s="19">
        <f t="shared" si="61"/>
        <v>16401.154622546812</v>
      </c>
      <c r="AG83" s="19">
        <f t="shared" si="61"/>
        <v>17395.703053904566</v>
      </c>
      <c r="AH83" s="19">
        <f t="shared" si="61"/>
        <v>18277.919923673297</v>
      </c>
      <c r="AI83" s="19">
        <f t="shared" si="61"/>
        <v>19185.183647316597</v>
      </c>
      <c r="AJ83" s="19">
        <f t="shared" si="61"/>
        <v>20118.231433928537</v>
      </c>
      <c r="AK83" s="27">
        <f t="shared" si="61"/>
        <v>21077.822466910759</v>
      </c>
    </row>
    <row r="84" spans="1:37" s="53" customFormat="1" ht="38.25" customHeight="1" x14ac:dyDescent="0.25">
      <c r="A84" s="5"/>
      <c r="B84" s="48"/>
      <c r="E84" s="37"/>
      <c r="F84" s="201"/>
      <c r="G84" s="41" t="s">
        <v>118</v>
      </c>
      <c r="H84" s="19">
        <f>IF(H80-H42&gt;H83,H80-H42,H83)</f>
        <v>3458.06</v>
      </c>
      <c r="I84" s="19">
        <f>IF(I80-I42&gt;I83,I80-I42,I83)</f>
        <v>3741.56</v>
      </c>
      <c r="J84" s="19">
        <f>IF(J80-J42&gt;J83,J80-J42,J83)</f>
        <v>4033.5649999999996</v>
      </c>
      <c r="K84" s="19">
        <f>IF(K80-K42&gt;K83,K80-K42,K83)</f>
        <v>4334.3301500000007</v>
      </c>
      <c r="L84" s="19">
        <f>IF(L80-L42&gt;L83,L80-L42,L83)</f>
        <v>4644.1182545000001</v>
      </c>
      <c r="M84" s="19">
        <f>IF(M80-M42&gt;M83,M80-M42,M83)</f>
        <v>4963.2000021349986</v>
      </c>
      <c r="N84" s="19">
        <f>IF(N80-N42&gt;N83,N80-N42,N83)</f>
        <v>5291.8542021990488</v>
      </c>
      <c r="O84" s="19">
        <f>IF(O80-O42&gt;O83,O80-O42,O83)</f>
        <v>5630.3680282650203</v>
      </c>
      <c r="P84" s="19">
        <f>IF(P80-P42&gt;P83,P80-P42,P83)</f>
        <v>5979.0372691129705</v>
      </c>
      <c r="Q84" s="19">
        <f>IF(Q80-Q42&gt;Q83,Q80-Q42,Q83)</f>
        <v>6338.1665871863588</v>
      </c>
      <c r="R84" s="19">
        <f>IF(R80-R42&gt;R83,R80-R42,R83)</f>
        <v>6708.0697848019518</v>
      </c>
      <c r="S84" s="19">
        <f>IF(S80-S42&gt;S83,S80-S42,S83)</f>
        <v>8052.7199081133804</v>
      </c>
      <c r="T84" s="19">
        <f>IF(T80-T42&gt;T83,T80-T42,T83)</f>
        <v>9459.2864675516066</v>
      </c>
      <c r="U84" s="19">
        <f>IF(U80-U42&gt;U83,U80-U42,U83)</f>
        <v>9950.4252378725832</v>
      </c>
      <c r="V84" s="19">
        <f>IF(V80-V42&gt;V83,V80-V42,V83)</f>
        <v>10454.728381211658</v>
      </c>
      <c r="W84" s="19">
        <f>IF(W80-W42&gt;W83,W80-W42,W83)</f>
        <v>10972.572443354986</v>
      </c>
      <c r="X84" s="19">
        <f>IF(X80-X42&gt;X83,X80-X42,X83)</f>
        <v>11504.34504474085</v>
      </c>
      <c r="Y84" s="19">
        <f>IF(Y80-Y42&gt;Y83,Y80-Y42,Y83)</f>
        <v>12050.445209948442</v>
      </c>
      <c r="Z84" s="19">
        <f>IF(Z80-Z42&gt;Z83,Z80-Z42,Z83)</f>
        <v>12611.283707036304</v>
      </c>
      <c r="AA84" s="19">
        <f>IF(AA80-AA42&gt;AA83,AA80-AA42,AA83)</f>
        <v>13187.2833970254</v>
      </c>
      <c r="AB84" s="19">
        <f>IF(AB80-AB42&gt;AB83,AB80-AB42,AB83)</f>
        <v>13778.879593830807</v>
      </c>
      <c r="AC84" s="19">
        <f>IF(AC80-AC42&gt;AC83,AC80-AC42,AC83)</f>
        <v>14386.520434954862</v>
      </c>
      <c r="AD84" s="19">
        <f>IF(AD80-AD42&gt;AD83,AD80-AD42,AD83)</f>
        <v>15010.667263264271</v>
      </c>
      <c r="AE84" s="19">
        <f>IF(AE80-AE42&gt;AE83,AE80-AE42,AE83)</f>
        <v>15651.795020183157</v>
      </c>
      <c r="AF84" s="19">
        <f>IF(AF80-AF42&gt;AF83,AF80-AF42,AF83)</f>
        <v>16401.154622546812</v>
      </c>
      <c r="AG84" s="19">
        <f>IF(AG80-AG42&gt;AG83,AG80-AG42,AG83)</f>
        <v>17395.703053904566</v>
      </c>
      <c r="AH84" s="19">
        <f>IF(AH80-AH42&gt;AH83,AH80-AH42,AH83)</f>
        <v>18277.919923673297</v>
      </c>
      <c r="AI84" s="19">
        <f>IF(AI80-AI42&gt;AI83,AI80-AI42,AI83)</f>
        <v>19185.183647316597</v>
      </c>
      <c r="AJ84" s="19">
        <f>IF(AJ80-AJ42&gt;AJ83,AJ80-AJ42,AJ83)</f>
        <v>20118.231433928537</v>
      </c>
      <c r="AK84" s="27">
        <f>IF(AK80-AK42&gt;AK83,AK80-AK42,AK83)</f>
        <v>21077.822466910759</v>
      </c>
    </row>
    <row r="85" spans="1:37" s="53" customFormat="1" ht="38.25" customHeight="1" x14ac:dyDescent="0.25">
      <c r="A85" s="5"/>
      <c r="B85" s="48"/>
      <c r="E85" s="37"/>
      <c r="F85" s="201"/>
      <c r="G85" s="41" t="s">
        <v>119</v>
      </c>
      <c r="H85" s="19">
        <f>H76*0.172</f>
        <v>0</v>
      </c>
      <c r="I85" s="19">
        <f t="shared" ref="I85:AK85" si="62">I76*0.172</f>
        <v>0</v>
      </c>
      <c r="J85" s="19">
        <f t="shared" si="62"/>
        <v>0</v>
      </c>
      <c r="K85" s="19">
        <f t="shared" si="62"/>
        <v>0</v>
      </c>
      <c r="L85" s="19">
        <f t="shared" si="62"/>
        <v>0</v>
      </c>
      <c r="M85" s="19">
        <f t="shared" si="62"/>
        <v>0</v>
      </c>
      <c r="N85" s="19">
        <f t="shared" si="62"/>
        <v>0</v>
      </c>
      <c r="O85" s="19">
        <f t="shared" si="62"/>
        <v>0</v>
      </c>
      <c r="P85" s="19">
        <f t="shared" si="62"/>
        <v>0</v>
      </c>
      <c r="Q85" s="19">
        <f t="shared" si="62"/>
        <v>0</v>
      </c>
      <c r="R85" s="19">
        <f t="shared" si="62"/>
        <v>0</v>
      </c>
      <c r="S85" s="19">
        <f t="shared" si="62"/>
        <v>552.49256906662515</v>
      </c>
      <c r="T85" s="19">
        <f t="shared" si="62"/>
        <v>1133.930689796993</v>
      </c>
      <c r="U85" s="19">
        <f t="shared" si="62"/>
        <v>1183.7737435663739</v>
      </c>
      <c r="V85" s="19">
        <f t="shared" si="62"/>
        <v>1234.2120759630266</v>
      </c>
      <c r="W85" s="19">
        <f t="shared" si="62"/>
        <v>1285.2530043805843</v>
      </c>
      <c r="X85" s="19">
        <f t="shared" si="62"/>
        <v>1336.9039386141924</v>
      </c>
      <c r="Y85" s="19">
        <f t="shared" si="62"/>
        <v>1389.1723820554287</v>
      </c>
      <c r="Z85" s="19">
        <f t="shared" si="62"/>
        <v>1442.0659329030175</v>
      </c>
      <c r="AA85" s="19">
        <f t="shared" si="62"/>
        <v>1495.5922853894999</v>
      </c>
      <c r="AB85" s="19">
        <f t="shared" si="62"/>
        <v>1549.7592310241141</v>
      </c>
      <c r="AC85" s="19">
        <f t="shared" si="62"/>
        <v>1604.5746598520732</v>
      </c>
      <c r="AD85" s="19">
        <f t="shared" si="62"/>
        <v>1660.0465617304751</v>
      </c>
      <c r="AE85" s="19">
        <f t="shared" si="62"/>
        <v>1716.1830276210699</v>
      </c>
      <c r="AF85" s="19">
        <f t="shared" si="62"/>
        <v>1772.9922509001069</v>
      </c>
      <c r="AG85" s="19">
        <f t="shared" si="62"/>
        <v>1859.8070924300177</v>
      </c>
      <c r="AH85" s="19">
        <f t="shared" si="62"/>
        <v>1889.5851633543186</v>
      </c>
      <c r="AI85" s="19">
        <f t="shared" si="62"/>
        <v>1919.6610149878597</v>
      </c>
      <c r="AJ85" s="19">
        <f t="shared" si="62"/>
        <v>1950.0376251377393</v>
      </c>
      <c r="AK85" s="27">
        <f t="shared" si="62"/>
        <v>1980.7180013891168</v>
      </c>
    </row>
    <row r="86" spans="1:37" s="53" customFormat="1" ht="38.25" customHeight="1" x14ac:dyDescent="0.25">
      <c r="A86" s="5"/>
      <c r="B86" s="48"/>
      <c r="E86" s="37"/>
      <c r="F86" s="201"/>
      <c r="G86" s="51" t="s">
        <v>108</v>
      </c>
      <c r="H86" s="19">
        <f>H84-H46</f>
        <v>0</v>
      </c>
      <c r="I86" s="19">
        <f>I84-I46</f>
        <v>0</v>
      </c>
      <c r="J86" s="19">
        <f>J84-J46</f>
        <v>0</v>
      </c>
      <c r="K86" s="19">
        <f>K84-K46</f>
        <v>0</v>
      </c>
      <c r="L86" s="19">
        <f>L84-L46</f>
        <v>0</v>
      </c>
      <c r="M86" s="19">
        <f>M84-M46</f>
        <v>0</v>
      </c>
      <c r="N86" s="19">
        <f>N84-N46</f>
        <v>0</v>
      </c>
      <c r="O86" s="19">
        <f>O84-O46</f>
        <v>0</v>
      </c>
      <c r="P86" s="19">
        <f>P84-P46</f>
        <v>0</v>
      </c>
      <c r="Q86" s="19">
        <f>Q84-Q46</f>
        <v>0</v>
      </c>
      <c r="R86" s="19">
        <f>R84-R46</f>
        <v>0</v>
      </c>
      <c r="S86" s="19">
        <f>S84-S46</f>
        <v>963.64982976737156</v>
      </c>
      <c r="T86" s="19">
        <f>T84-T46</f>
        <v>1977.7860868552198</v>
      </c>
      <c r="U86" s="19">
        <f>U84-U46</f>
        <v>2064.7216457553041</v>
      </c>
      <c r="V86" s="19">
        <f>V84-V46</f>
        <v>2152.6954813308585</v>
      </c>
      <c r="W86" s="19">
        <f>W84-W46</f>
        <v>2241.720356477761</v>
      </c>
      <c r="X86" s="19">
        <f>X84-X46</f>
        <v>2331.8091952573122</v>
      </c>
      <c r="Y86" s="19">
        <f>Y84-Y46</f>
        <v>2422.9750849803986</v>
      </c>
      <c r="Z86" s="19">
        <f>Z84-Z46</f>
        <v>2515.2312783192174</v>
      </c>
      <c r="AA86" s="19">
        <f>AA84-AA46</f>
        <v>2608.5911954468029</v>
      </c>
      <c r="AB86" s="19">
        <f>AB84-AB46</f>
        <v>2703.0684262048526</v>
      </c>
      <c r="AC86" s="19">
        <f>AC84-AC46</f>
        <v>2798.6767323001295</v>
      </c>
      <c r="AD86" s="19">
        <f>AD84-AD46</f>
        <v>2895.4300495298994</v>
      </c>
      <c r="AE86" s="19">
        <f>AE84-AE46</f>
        <v>2993.3424900367518</v>
      </c>
      <c r="AF86" s="19">
        <f>AF84-AF46</f>
        <v>3183.1903164960149</v>
      </c>
      <c r="AG86" s="19">
        <f>AG84-AG46</f>
        <v>3601.4416186722428</v>
      </c>
      <c r="AH86" s="19">
        <f>AH84-AH46</f>
        <v>3890.072445384003</v>
      </c>
      <c r="AI86" s="19">
        <f>AI84-AI46</f>
        <v>4185.9425446786263</v>
      </c>
      <c r="AJ86" s="19">
        <f>AJ84-AJ46</f>
        <v>4489.2548982114276</v>
      </c>
      <c r="AK86" s="27">
        <f>AK84-AK46</f>
        <v>4721.4789567996395</v>
      </c>
    </row>
    <row r="87" spans="1:37" s="53" customFormat="1" ht="38.25" customHeight="1" x14ac:dyDescent="0.25">
      <c r="A87" s="5"/>
      <c r="B87" s="48"/>
      <c r="E87" s="37"/>
      <c r="F87" s="201"/>
      <c r="G87" s="160" t="s">
        <v>120</v>
      </c>
      <c r="H87" s="162">
        <f>H12-H19-H26-H14-H86-H85</f>
        <v>1410.2890953167243</v>
      </c>
      <c r="I87" s="162">
        <f>I12-I19-I26-I14-I86-I85</f>
        <v>1545.2890953167243</v>
      </c>
      <c r="J87" s="162">
        <f>J12-J19-J26-J14-J86-J85</f>
        <v>1681.6390953167265</v>
      </c>
      <c r="K87" s="162">
        <f>K12-K19-K26-K14-K86-K85</f>
        <v>1819.3525953167227</v>
      </c>
      <c r="L87" s="162">
        <f>L12-L19-L26-L14-L86-L85</f>
        <v>1958.4432303167268</v>
      </c>
      <c r="M87" s="162">
        <f>M12-M19-M26-M14-M86-M85</f>
        <v>2098.9247716667232</v>
      </c>
      <c r="N87" s="162">
        <f>N12-N19-N26-N14-N86-N85</f>
        <v>2240.8111284302286</v>
      </c>
      <c r="O87" s="162">
        <f>O12-O19-O26-O14-O86-O85</f>
        <v>2384.1163487613576</v>
      </c>
      <c r="P87" s="162">
        <f>P12-P19-P26-P14-P86-P85</f>
        <v>2528.8546212958081</v>
      </c>
      <c r="Q87" s="162">
        <f>Q12-Q19-Q26-Q14-Q86-Q85</f>
        <v>2675.0402765555991</v>
      </c>
      <c r="R87" s="162">
        <f>R12-R19-R26-R14-R86-R85</f>
        <v>2822.6877883679863</v>
      </c>
      <c r="S87" s="162">
        <f>S12-S19-S26-S14-S86-S85</f>
        <v>1455.6693764645015</v>
      </c>
      <c r="T87" s="162">
        <f>T12-T19-T26-T14-T86-T85</f>
        <v>10.710225446102186</v>
      </c>
      <c r="U87" s="162">
        <f>U12-U19-U26-U14-U86-U85</f>
        <v>26.052991844454482</v>
      </c>
      <c r="V87" s="162">
        <f>V12-V19-V26-V14-V86-V85</f>
        <v>41.283416730743284</v>
      </c>
      <c r="W87" s="162">
        <f>W12-W19-W26-W14-W86-W85</f>
        <v>56.396631953360384</v>
      </c>
      <c r="X87" s="162">
        <f>X12-X19-X26-X14-X86-X85</f>
        <v>71.387667915154225</v>
      </c>
      <c r="Y87" s="162">
        <f>Y12-Y19-Y26-Y14-Y86-Y85</f>
        <v>86.251451815527844</v>
      </c>
      <c r="Z87" s="162">
        <f>Z12-Z19-Z26-Z14-Z86-Z85</f>
        <v>100.98280586447186</v>
      </c>
      <c r="AA87" s="162">
        <f>AA12-AA19-AA26-AA14-AA86-AA85</f>
        <v>115.57644546810025</v>
      </c>
      <c r="AB87" s="162">
        <f>AB12-AB19-AB26-AB14-AB86-AB85</f>
        <v>130.02697738531265</v>
      </c>
      <c r="AC87" s="162">
        <f>AC12-AC19-AC26-AC14-AC86-AC85</f>
        <v>144.32889785505131</v>
      </c>
      <c r="AD87" s="162">
        <f>AD12-AD19-AD26-AD14-AD86-AD85</f>
        <v>158.47659069378938</v>
      </c>
      <c r="AE87" s="162">
        <f>AE12-AE19-AE26-AE14-AE86-AE85</f>
        <v>172.46432536271232</v>
      </c>
      <c r="AF87" s="162">
        <f>AF12-AF19-AF26-AF14-AF86-AF85</f>
        <v>95.524283101452284</v>
      </c>
      <c r="AG87" s="162">
        <f>AG12-AG19-AG26-AG14-AG86-AG85</f>
        <v>11651.583221630401</v>
      </c>
      <c r="AH87" s="162">
        <f>AH12-AH19-AH26-AH14-AH86-AH85</f>
        <v>11506.302643321669</v>
      </c>
      <c r="AI87" s="162">
        <f>AI12-AI19-AI26-AI14-AI86-AI85</f>
        <v>11355.216294914093</v>
      </c>
      <c r="AJ87" s="162">
        <f>AJ12-AJ19-AJ26-AJ14-AJ86-AJ85</f>
        <v>11198.135529777228</v>
      </c>
      <c r="AK87" s="163">
        <f>AK12-AK19-AK26-AK14-AK86-AK85</f>
        <v>11113.605375468898</v>
      </c>
    </row>
    <row r="88" spans="1:37" s="53" customFormat="1" ht="38.25" customHeight="1" x14ac:dyDescent="0.25">
      <c r="A88" s="5"/>
      <c r="B88" s="48"/>
      <c r="E88" s="37"/>
      <c r="F88" s="201"/>
      <c r="G88" s="160" t="s">
        <v>121</v>
      </c>
      <c r="H88" s="162">
        <f>IF(H10=1,H87,H87+G88)</f>
        <v>1410.2890953167243</v>
      </c>
      <c r="I88" s="162">
        <f>IF(I10=1,I87,I87+H88)</f>
        <v>2955.5781906334487</v>
      </c>
      <c r="J88" s="162">
        <f>IF(J10=1,J87,J87+I88)</f>
        <v>4637.2172859501752</v>
      </c>
      <c r="K88" s="162">
        <f>IF(K10=1,K87,K87+J88)</f>
        <v>6456.5698812668979</v>
      </c>
      <c r="L88" s="162">
        <f>IF(L10=1,L87,L87+K88)</f>
        <v>8415.0131115836248</v>
      </c>
      <c r="M88" s="162">
        <f>IF(M10=1,M87,M87+L88)</f>
        <v>10513.937883250348</v>
      </c>
      <c r="N88" s="162">
        <f>IF(N10=1,N87,N87+M88)</f>
        <v>12754.749011680577</v>
      </c>
      <c r="O88" s="162">
        <f>IF(O10=1,O87,O87+N88)</f>
        <v>15138.865360441934</v>
      </c>
      <c r="P88" s="162">
        <f>IF(P10=1,P87,P87+O88)</f>
        <v>17667.71998173774</v>
      </c>
      <c r="Q88" s="162">
        <f>IF(Q10=1,Q87,Q87+P88)</f>
        <v>20342.76025829334</v>
      </c>
      <c r="R88" s="162">
        <f>IF(R10=1,R87,R87+Q88)</f>
        <v>23165.448046661324</v>
      </c>
      <c r="S88" s="162">
        <f>IF(S10=1,S87,S87+R88)</f>
        <v>24621.117423125826</v>
      </c>
      <c r="T88" s="162">
        <f>IF(T10=1,T87,T87+S88)</f>
        <v>24631.827648571929</v>
      </c>
      <c r="U88" s="162">
        <f>IF(U10=1,U87,U87+T88)</f>
        <v>24657.880640416384</v>
      </c>
      <c r="V88" s="162">
        <f>IF(V10=1,V87,V87+U88)</f>
        <v>24699.164057147129</v>
      </c>
      <c r="W88" s="162">
        <f>IF(W10=1,W87,W87+V88)</f>
        <v>24755.56068910049</v>
      </c>
      <c r="X88" s="162">
        <f>IF(X10=1,X87,X87+W88)</f>
        <v>24826.948357015644</v>
      </c>
      <c r="Y88" s="162">
        <f>IF(Y10=1,Y87,Y87+X88)</f>
        <v>24913.199808831174</v>
      </c>
      <c r="Z88" s="162">
        <f>IF(Z10=1,Z87,Z87+Y88)</f>
        <v>25014.182614695645</v>
      </c>
      <c r="AA88" s="162">
        <f>IF(AA10=1,AA87,AA87+Z88)</f>
        <v>25129.759060163746</v>
      </c>
      <c r="AB88" s="162">
        <f>IF(AB10=1,AB87,AB87+AA88)</f>
        <v>25259.78603754906</v>
      </c>
      <c r="AC88" s="162">
        <f>IF(AC10=1,AC87,AC87+AB88)</f>
        <v>25404.114935404112</v>
      </c>
      <c r="AD88" s="162">
        <f>IF(AD10=1,AD87,AD87+AC88)</f>
        <v>25562.591526097902</v>
      </c>
      <c r="AE88" s="162">
        <f>IF(AE10=1,AE87,AE87+AD88)</f>
        <v>25735.055851460613</v>
      </c>
      <c r="AF88" s="162">
        <f>IF(AF10=1,AF87,AF87+AE88)</f>
        <v>25830.580134562064</v>
      </c>
      <c r="AG88" s="162">
        <f>IF(AG10=1,AG87,AG87+AF88)</f>
        <v>37482.163356192468</v>
      </c>
      <c r="AH88" s="162">
        <f>IF(AH10=1,AH87,AH87+AG88)</f>
        <v>48988.465999514141</v>
      </c>
      <c r="AI88" s="162">
        <f>IF(AI10=1,AI87,AI87+AH88)</f>
        <v>60343.682294428232</v>
      </c>
      <c r="AJ88" s="162">
        <f>IF(AJ10=1,AJ87,AJ87+AI88)</f>
        <v>71541.817824205456</v>
      </c>
      <c r="AK88" s="163">
        <f>IF(AK10=1,AK87,AK87+AJ88)</f>
        <v>82655.423199674347</v>
      </c>
    </row>
    <row r="89" spans="1:37" s="53" customFormat="1" ht="38.25" customHeight="1" x14ac:dyDescent="0.25">
      <c r="A89" s="5"/>
      <c r="B89" s="48"/>
      <c r="E89" s="37"/>
      <c r="F89" s="201"/>
      <c r="G89" s="41" t="s">
        <v>166</v>
      </c>
      <c r="H89" s="19">
        <f>IF(H$10&lt;5,$C$13,
IF(AND(H$10&gt;=5,$C$13=0),$C$11*0.15,
IF(AND(H$10&gt;=5,$C$13&lt;&gt;0),$C$13)))</f>
        <v>10000</v>
      </c>
      <c r="I89" s="19">
        <f t="shared" ref="I89:AK89" si="63">IF(I$10&lt;5,$C$13,
IF(AND(I$10&gt;=5,$C$13=0),$C$11*0.15,
IF(AND(I$10&gt;=5,$C$13&lt;&gt;0),$C$13)))</f>
        <v>10000</v>
      </c>
      <c r="J89" s="19">
        <f t="shared" si="63"/>
        <v>10000</v>
      </c>
      <c r="K89" s="19">
        <f t="shared" si="63"/>
        <v>10000</v>
      </c>
      <c r="L89" s="19">
        <f t="shared" si="63"/>
        <v>10000</v>
      </c>
      <c r="M89" s="19">
        <f t="shared" si="63"/>
        <v>10000</v>
      </c>
      <c r="N89" s="19">
        <f t="shared" si="63"/>
        <v>10000</v>
      </c>
      <c r="O89" s="19">
        <f t="shared" si="63"/>
        <v>10000</v>
      </c>
      <c r="P89" s="19">
        <f t="shared" si="63"/>
        <v>10000</v>
      </c>
      <c r="Q89" s="19">
        <f t="shared" si="63"/>
        <v>10000</v>
      </c>
      <c r="R89" s="19">
        <f t="shared" si="63"/>
        <v>10000</v>
      </c>
      <c r="S89" s="19">
        <f t="shared" si="63"/>
        <v>10000</v>
      </c>
      <c r="T89" s="19">
        <f t="shared" si="63"/>
        <v>10000</v>
      </c>
      <c r="U89" s="19">
        <f t="shared" si="63"/>
        <v>10000</v>
      </c>
      <c r="V89" s="19">
        <f t="shared" si="63"/>
        <v>10000</v>
      </c>
      <c r="W89" s="19">
        <f t="shared" si="63"/>
        <v>10000</v>
      </c>
      <c r="X89" s="19">
        <f t="shared" si="63"/>
        <v>10000</v>
      </c>
      <c r="Y89" s="19">
        <f t="shared" si="63"/>
        <v>10000</v>
      </c>
      <c r="Z89" s="19">
        <f t="shared" si="63"/>
        <v>10000</v>
      </c>
      <c r="AA89" s="19">
        <f t="shared" si="63"/>
        <v>10000</v>
      </c>
      <c r="AB89" s="19">
        <f t="shared" si="63"/>
        <v>10000</v>
      </c>
      <c r="AC89" s="19">
        <f t="shared" si="63"/>
        <v>10000</v>
      </c>
      <c r="AD89" s="19">
        <f t="shared" si="63"/>
        <v>10000</v>
      </c>
      <c r="AE89" s="19">
        <f t="shared" si="63"/>
        <v>10000</v>
      </c>
      <c r="AF89" s="19">
        <f t="shared" si="63"/>
        <v>10000</v>
      </c>
      <c r="AG89" s="19">
        <f t="shared" si="63"/>
        <v>10000</v>
      </c>
      <c r="AH89" s="19">
        <f t="shared" si="63"/>
        <v>10000</v>
      </c>
      <c r="AI89" s="19">
        <f t="shared" si="63"/>
        <v>10000</v>
      </c>
      <c r="AJ89" s="19">
        <f t="shared" si="63"/>
        <v>10000</v>
      </c>
      <c r="AK89" s="27">
        <f t="shared" si="63"/>
        <v>10000</v>
      </c>
    </row>
    <row r="90" spans="1:37" s="53" customFormat="1" ht="38.25" customHeight="1" x14ac:dyDescent="0.25">
      <c r="A90" s="5"/>
      <c r="B90" s="48"/>
      <c r="E90" s="37"/>
      <c r="F90" s="201"/>
      <c r="G90" s="41" t="s">
        <v>165</v>
      </c>
      <c r="H90" s="15">
        <f>IF(H$48-($C$11+$C$15*$C$11+H$89)&lt;0,0,
IF(H$48-($C$11+$C$15*$C$11+H$89)&gt;0,H$48-($C$11+$C$15*$C$11+H$89)))</f>
        <v>0</v>
      </c>
      <c r="I90" s="15">
        <f>IF(I$48-($C$11+$C$15*$C$11+I$89)&lt;0,0,
IF(I$48-($C$11+$C$15*$C$11+I$89)&gt;0,I$48-($C$11+$C$15*$C$11+I$89)))</f>
        <v>0</v>
      </c>
      <c r="J90" s="15">
        <f>IF(J$48-($C$11+$C$15*$C$11+J$89)&lt;0,0,
IF(J$48-($C$11+$C$15*$C$11+J$89)&gt;0,J$48-($C$11+$C$15*$C$11+J$89)))</f>
        <v>0</v>
      </c>
      <c r="K90" s="15">
        <f>IF(K$48-($C$11+$C$15*$C$11+K$89)&lt;0,0,
IF(K$48-($C$11+$C$15*$C$11+K$89)&gt;0,K$48-($C$11+$C$15*$C$11+K$89)))</f>
        <v>0</v>
      </c>
      <c r="L90" s="15">
        <f>IF(L$48-($C$11+$C$15*$C$11+L$89)&lt;0,0,
IF(L$48-($C$11+$C$15*$C$11+L$89)&gt;0,L$48-($C$11+$C$15*$C$11+L$89)))</f>
        <v>0</v>
      </c>
      <c r="M90" s="15">
        <f>IF(M$48-($C$11+$C$15*$C$11+M$89)&lt;0,0,
IF(M$48-($C$11+$C$15*$C$11+M$89)&gt;0,M$48-($C$11+$C$15*$C$11+M$89)))</f>
        <v>0</v>
      </c>
      <c r="N90" s="15">
        <f>IF(N$48-($C$11+$C$15*$C$11+N$89)&lt;0,0,
IF(N$48-($C$11+$C$15*$C$11+N$89)&gt;0,N$48-($C$11+$C$15*$C$11+N$89)))</f>
        <v>91.130984612274915</v>
      </c>
      <c r="O90" s="15">
        <f>IF(O$48-($C$11+$C$15*$C$11+O$89)&lt;0,0,
IF(O$48-($C$11+$C$15*$C$11+O$89)&gt;0,O$48-($C$11+$C$15*$C$11+O$89)))</f>
        <v>2557.042294458457</v>
      </c>
      <c r="P90" s="15">
        <f>IF(P$48-($C$11+$C$15*$C$11+P$89)&lt;0,0,
IF(P$48-($C$11+$C$15*$C$11+P$89)&gt;0,P$48-($C$11+$C$15*$C$11+P$89)))</f>
        <v>5047.6127174030407</v>
      </c>
      <c r="Q90" s="15">
        <f>IF(Q$48-($C$11+$C$15*$C$11+Q$89)&lt;0,0,
IF(Q$48-($C$11+$C$15*$C$11+Q$89)&gt;0,Q$48-($C$11+$C$15*$C$11+Q$89)))</f>
        <v>7563.0888445770834</v>
      </c>
      <c r="R90" s="15">
        <f>IF(R$48-($C$11+$C$15*$C$11+R$89)&lt;0,0,
IF(R$48-($C$11+$C$15*$C$11+R$89)&gt;0,R$48-($C$11+$C$15*$C$11+R$89)))</f>
        <v>10103.719733022794</v>
      </c>
      <c r="S90" s="15">
        <f>IF(S$48-($C$11+$C$15*$C$11+S$89)&lt;0,0,
IF(S$48-($C$11+$C$15*$C$11+S$89)&gt;0,S$48-($C$11+$C$15*$C$11+S$89)))</f>
        <v>12669.756930353062</v>
      </c>
      <c r="T90" s="15">
        <f>IF(T$48-($C$11+$C$15*$C$11+T$89)&lt;0,0,
IF(T$48-($C$11+$C$15*$C$11+T$89)&gt;0,T$48-($C$11+$C$15*$C$11+T$89)))</f>
        <v>15261.454499656596</v>
      </c>
      <c r="U90" s="15">
        <f>IF(U$48-($C$11+$C$15*$C$11+U$89)&lt;0,0,
IF(U$48-($C$11+$C$15*$C$11+U$89)&gt;0,U$48-($C$11+$C$15*$C$11+U$89)))</f>
        <v>17879.06904465321</v>
      </c>
      <c r="V90" s="15">
        <f>IF(V$48-($C$11+$C$15*$C$11+V$89)&lt;0,0,
IF(V$48-($C$11+$C$15*$C$11+V$89)&gt;0,V$48-($C$11+$C$15*$C$11+V$89)))</f>
        <v>20522.859735099657</v>
      </c>
      <c r="W90" s="15">
        <f>IF(W$48-($C$11+$C$15*$C$11+W$89)&lt;0,0,
IF(W$48-($C$11+$C$15*$C$11+W$89)&gt;0,W$48-($C$11+$C$15*$C$11+W$89)))</f>
        <v>23193.088332450716</v>
      </c>
      <c r="X90" s="15">
        <f>IF(X$48-($C$11+$C$15*$C$11+X$89)&lt;0,0,
IF(X$48-($C$11+$C$15*$C$11+X$89)&gt;0,X$48-($C$11+$C$15*$C$11+X$89)))</f>
        <v>25890.019215775246</v>
      </c>
      <c r="Y90" s="15">
        <f>IF(Y$48-($C$11+$C$15*$C$11+Y$89)&lt;0,0,
IF(Y$48-($C$11+$C$15*$C$11+Y$89)&gt;0,Y$48-($C$11+$C$15*$C$11+Y$89)))</f>
        <v>28613.919407933019</v>
      </c>
      <c r="Z90" s="15">
        <f>IF(Z$48-($C$11+$C$15*$C$11+Z$89)&lt;0,0,
IF(Z$48-($C$11+$C$15*$C$11+Z$89)&gt;0,Z$48-($C$11+$C$15*$C$11+Z$89)))</f>
        <v>31365.058602012286</v>
      </c>
      <c r="AA90" s="15">
        <f>IF(AA$48-($C$11+$C$15*$C$11+AA$89)&lt;0,0,
IF(AA$48-($C$11+$C$15*$C$11+AA$89)&gt;0,AA$48-($C$11+$C$15*$C$11+AA$89)))</f>
        <v>34143.70918803243</v>
      </c>
      <c r="AB90" s="15">
        <f>IF(AB$48-($C$11+$C$15*$C$11+AB$89)&lt;0,0,
IF(AB$48-($C$11+$C$15*$C$11+AB$89)&gt;0,AB$48-($C$11+$C$15*$C$11+AB$89)))</f>
        <v>36950.146279912733</v>
      </c>
      <c r="AC90" s="15">
        <f>IF(AC$48-($C$11+$C$15*$C$11+AC$89)&lt;0,0,
IF(AC$48-($C$11+$C$15*$C$11+AC$89)&gt;0,AC$48-($C$11+$C$15*$C$11+AC$89)))</f>
        <v>39784.647742711939</v>
      </c>
      <c r="AD90" s="15">
        <f>IF(AD$48-($C$11+$C$15*$C$11+AD$89)&lt;0,0,
IF(AD$48-($C$11+$C$15*$C$11+AD$89)&gt;0,AD$48-($C$11+$C$15*$C$11+AD$89)))</f>
        <v>42647.494220138993</v>
      </c>
      <c r="AE90" s="15">
        <f>IF(AE$48-($C$11+$C$15*$C$11+AE$89)&lt;0,0,
IF(AE$48-($C$11+$C$15*$C$11+AE$89)&gt;0,AE$48-($C$11+$C$15*$C$11+AE$89)))</f>
        <v>45538.969162340451</v>
      </c>
      <c r="AF90" s="15">
        <f>IF(AF$48-($C$11+$C$15*$C$11+AF$89)&lt;0,0,
IF(AF$48-($C$11+$C$15*$C$11+AF$89)&gt;0,AF$48-($C$11+$C$15*$C$11+AF$89)))</f>
        <v>48459.358853963902</v>
      </c>
      <c r="AG90" s="15">
        <f>IF(AG$48-($C$11+$C$15*$C$11+AG$89)&lt;0,0,
IF(AG$48-($C$11+$C$15*$C$11+AG$89)&gt;0,AG$48-($C$11+$C$15*$C$11+AG$89)))</f>
        <v>51408.952442503534</v>
      </c>
      <c r="AH90" s="15">
        <f>IF(AH$48-($C$11+$C$15*$C$11+AH$89)&lt;0,0,
IF(AH$48-($C$11+$C$15*$C$11+AH$89)&gt;0,AH$48-($C$11+$C$15*$C$11+AH$89)))</f>
        <v>54388.04196692846</v>
      </c>
      <c r="AI90" s="15">
        <f>IF(AI$48-($C$11+$C$15*$C$11+AI$89)&lt;0,0,
IF(AI$48-($C$11+$C$15*$C$11+AI$89)&gt;0,AI$48-($C$11+$C$15*$C$11+AI$89)))</f>
        <v>57396.922386597726</v>
      </c>
      <c r="AJ90" s="15">
        <f>IF(AJ$48-($C$11+$C$15*$C$11+AJ$89)&lt;0,0,
IF(AJ$48-($C$11+$C$15*$C$11+AJ$89)&gt;0,AJ$48-($C$11+$C$15*$C$11+AJ$89)))</f>
        <v>60435.891610463732</v>
      </c>
      <c r="AK90" s="16">
        <f>IF(AK$48-($C$11+$C$15*$C$11+AK$89)&lt;0,0,
IF(AK$48-($C$11+$C$15*$C$11+AK$89)&gt;0,AK$48-($C$11+$C$15*$C$11+AK$89)))</f>
        <v>63505.250526568445</v>
      </c>
    </row>
    <row r="91" spans="1:37" s="53" customFormat="1" ht="38.25" customHeight="1" x14ac:dyDescent="0.25">
      <c r="A91" s="5"/>
      <c r="B91" s="48"/>
      <c r="E91" s="37"/>
      <c r="F91" s="201"/>
      <c r="G91" s="41" t="s">
        <v>122</v>
      </c>
      <c r="H91" s="64">
        <f>IF(H$10&lt;=5,0,IF(AND(H$10&gt;5,H$10&lt;=21),(((H$10-5)*0.06)),IF(H$10&gt;21,1)))</f>
        <v>0</v>
      </c>
      <c r="I91" s="64">
        <f t="shared" ref="I91:AK91" si="64">IF(I$10&lt;=5,0,IF(AND(I$10&gt;5,I$10&lt;=21),(((I$10-5)*0.06)),IF(I$10&gt;21,1)))</f>
        <v>0</v>
      </c>
      <c r="J91" s="64">
        <f t="shared" si="64"/>
        <v>0</v>
      </c>
      <c r="K91" s="64">
        <f t="shared" si="64"/>
        <v>0</v>
      </c>
      <c r="L91" s="64">
        <f t="shared" si="64"/>
        <v>0</v>
      </c>
      <c r="M91" s="64">
        <f t="shared" si="64"/>
        <v>0.06</v>
      </c>
      <c r="N91" s="64">
        <f t="shared" si="64"/>
        <v>0.12</v>
      </c>
      <c r="O91" s="64">
        <f t="shared" si="64"/>
        <v>0.18</v>
      </c>
      <c r="P91" s="64">
        <f t="shared" si="64"/>
        <v>0.24</v>
      </c>
      <c r="Q91" s="64">
        <f t="shared" si="64"/>
        <v>0.3</v>
      </c>
      <c r="R91" s="64">
        <f t="shared" si="64"/>
        <v>0.36</v>
      </c>
      <c r="S91" s="64">
        <f t="shared" si="64"/>
        <v>0.42</v>
      </c>
      <c r="T91" s="64">
        <f t="shared" si="64"/>
        <v>0.48</v>
      </c>
      <c r="U91" s="64">
        <f t="shared" si="64"/>
        <v>0.54</v>
      </c>
      <c r="V91" s="64">
        <f t="shared" si="64"/>
        <v>0.6</v>
      </c>
      <c r="W91" s="64">
        <f t="shared" si="64"/>
        <v>0.65999999999999992</v>
      </c>
      <c r="X91" s="64">
        <f t="shared" si="64"/>
        <v>0.72</v>
      </c>
      <c r="Y91" s="64">
        <f t="shared" si="64"/>
        <v>0.78</v>
      </c>
      <c r="Z91" s="64">
        <f t="shared" si="64"/>
        <v>0.84</v>
      </c>
      <c r="AA91" s="64">
        <f t="shared" si="64"/>
        <v>0.89999999999999991</v>
      </c>
      <c r="AB91" s="64">
        <f t="shared" si="64"/>
        <v>0.96</v>
      </c>
      <c r="AC91" s="64">
        <f t="shared" si="64"/>
        <v>1</v>
      </c>
      <c r="AD91" s="64">
        <f t="shared" si="64"/>
        <v>1</v>
      </c>
      <c r="AE91" s="64">
        <f t="shared" si="64"/>
        <v>1</v>
      </c>
      <c r="AF91" s="64">
        <f t="shared" si="64"/>
        <v>1</v>
      </c>
      <c r="AG91" s="64">
        <f t="shared" si="64"/>
        <v>1</v>
      </c>
      <c r="AH91" s="64">
        <f t="shared" si="64"/>
        <v>1</v>
      </c>
      <c r="AI91" s="64">
        <f t="shared" si="64"/>
        <v>1</v>
      </c>
      <c r="AJ91" s="64">
        <f t="shared" si="64"/>
        <v>1</v>
      </c>
      <c r="AK91" s="67">
        <f t="shared" si="64"/>
        <v>1</v>
      </c>
    </row>
    <row r="92" spans="1:37" s="53" customFormat="1" ht="38.25" customHeight="1" x14ac:dyDescent="0.25">
      <c r="A92" s="5"/>
      <c r="B92" s="5"/>
      <c r="C92" s="5"/>
      <c r="E92" s="37"/>
      <c r="F92" s="201"/>
      <c r="G92" s="41" t="s">
        <v>123</v>
      </c>
      <c r="H92" s="19">
        <f>H90*(1-H91)</f>
        <v>0</v>
      </c>
      <c r="I92" s="19">
        <f t="shared" ref="I92:AK92" si="65">I90*(1-I91)</f>
        <v>0</v>
      </c>
      <c r="J92" s="19">
        <f t="shared" si="65"/>
        <v>0</v>
      </c>
      <c r="K92" s="19">
        <f t="shared" si="65"/>
        <v>0</v>
      </c>
      <c r="L92" s="19">
        <f t="shared" si="65"/>
        <v>0</v>
      </c>
      <c r="M92" s="19">
        <f t="shared" si="65"/>
        <v>0</v>
      </c>
      <c r="N92" s="19">
        <f t="shared" si="65"/>
        <v>80.195266458801925</v>
      </c>
      <c r="O92" s="19">
        <f t="shared" si="65"/>
        <v>2096.774681455935</v>
      </c>
      <c r="P92" s="19">
        <f t="shared" si="65"/>
        <v>3836.1856652263109</v>
      </c>
      <c r="Q92" s="19">
        <f t="shared" si="65"/>
        <v>5294.1621912039582</v>
      </c>
      <c r="R92" s="19">
        <f t="shared" si="65"/>
        <v>6466.3806291345882</v>
      </c>
      <c r="S92" s="19">
        <f t="shared" si="65"/>
        <v>7348.4590196047766</v>
      </c>
      <c r="T92" s="19">
        <f t="shared" si="65"/>
        <v>7935.9563398214304</v>
      </c>
      <c r="U92" s="19">
        <f t="shared" si="65"/>
        <v>8224.3717605404763</v>
      </c>
      <c r="V92" s="19">
        <f t="shared" si="65"/>
        <v>8209.1438940398639</v>
      </c>
      <c r="W92" s="19">
        <f t="shared" si="65"/>
        <v>7885.6500330332456</v>
      </c>
      <c r="X92" s="19">
        <f t="shared" si="65"/>
        <v>7249.20538041707</v>
      </c>
      <c r="Y92" s="19">
        <f t="shared" si="65"/>
        <v>6295.0622697452636</v>
      </c>
      <c r="Z92" s="19">
        <f t="shared" si="65"/>
        <v>5018.4093763219671</v>
      </c>
      <c r="AA92" s="19">
        <f t="shared" si="65"/>
        <v>3414.3709188032458</v>
      </c>
      <c r="AB92" s="19">
        <f t="shared" si="65"/>
        <v>1478.0058511965105</v>
      </c>
      <c r="AC92" s="19">
        <f t="shared" si="65"/>
        <v>0</v>
      </c>
      <c r="AD92" s="19">
        <f t="shared" si="65"/>
        <v>0</v>
      </c>
      <c r="AE92" s="19">
        <f t="shared" si="65"/>
        <v>0</v>
      </c>
      <c r="AF92" s="19">
        <f t="shared" si="65"/>
        <v>0</v>
      </c>
      <c r="AG92" s="19">
        <f t="shared" si="65"/>
        <v>0</v>
      </c>
      <c r="AH92" s="19">
        <f t="shared" si="65"/>
        <v>0</v>
      </c>
      <c r="AI92" s="19">
        <f t="shared" si="65"/>
        <v>0</v>
      </c>
      <c r="AJ92" s="19">
        <f t="shared" si="65"/>
        <v>0</v>
      </c>
      <c r="AK92" s="27">
        <f t="shared" si="65"/>
        <v>0</v>
      </c>
    </row>
    <row r="93" spans="1:37" s="53" customFormat="1" ht="38.25" customHeight="1" x14ac:dyDescent="0.25">
      <c r="A93" s="5"/>
      <c r="B93" s="5"/>
      <c r="C93" s="5"/>
      <c r="E93" s="37"/>
      <c r="F93" s="201"/>
      <c r="G93" s="41" t="s">
        <v>124</v>
      </c>
      <c r="H93" s="38">
        <f t="shared" ref="H93:U93" si="66">IF(AND($C$32=0,H92&lt;=50000),H92*0.19,
IF(AND($C$32=0,H92&gt;50000,H92&lt;=100000),H92*0.21,
IF(AND($C$32=0,H92&gt;100000,H92&lt;=150000),H92*0.22,
IF(AND($C$32=0,H92&gt;150000,H92&lt;=200000),H92*0.23,
IF(AND($C$32=0,H92&gt;200000,H92&lt;=250000),H92*0.24,
IF(AND($C$32=0,H92&gt;250000),H92*0.25,
IF(AND($C$32&lt;&gt;0,H92&lt;=100000),H92*0.19,
IF(AND($C$32&lt;&gt;0,H92&gt;100000,H92&lt;=200000),H92*0.21,
IF(AND($C$32&lt;&gt;0,H92&gt;200000,H92&lt;=300000),H92*0.22,
IF(AND($C$32&lt;&gt;0,H92&gt;300000,H92&lt;=400000),H92*0.23,
IF(AND($C$32&lt;&gt;0,H92&gt;400000,H92&lt;=500000),H92*0.24,
IF(AND($C$32&lt;&gt;0,H92&gt;500000),H92*0.25))))))))))))</f>
        <v>0</v>
      </c>
      <c r="I93" s="38">
        <f t="shared" si="66"/>
        <v>0</v>
      </c>
      <c r="J93" s="38">
        <f t="shared" si="66"/>
        <v>0</v>
      </c>
      <c r="K93" s="38">
        <f t="shared" si="66"/>
        <v>0</v>
      </c>
      <c r="L93" s="38">
        <f t="shared" si="66"/>
        <v>0</v>
      </c>
      <c r="M93" s="38">
        <f t="shared" si="66"/>
        <v>0</v>
      </c>
      <c r="N93" s="38">
        <f t="shared" si="66"/>
        <v>15.237100627172365</v>
      </c>
      <c r="O93" s="38">
        <f t="shared" si="66"/>
        <v>398.38718947662767</v>
      </c>
      <c r="P93" s="38">
        <f t="shared" si="66"/>
        <v>728.87527639299913</v>
      </c>
      <c r="Q93" s="38">
        <f t="shared" si="66"/>
        <v>1005.8908163287521</v>
      </c>
      <c r="R93" s="38">
        <f t="shared" si="66"/>
        <v>1228.6123195355717</v>
      </c>
      <c r="S93" s="38">
        <f t="shared" si="66"/>
        <v>1396.2072137249077</v>
      </c>
      <c r="T93" s="38">
        <f t="shared" si="66"/>
        <v>1507.8317045660717</v>
      </c>
      <c r="U93" s="38">
        <f t="shared" si="66"/>
        <v>1562.6306345026906</v>
      </c>
      <c r="V93" s="38">
        <f>IF(AND($C$32=0,V92&lt;=50000),V92*0.19,
IF(AND($C$32=0,V92&gt;50000,V92&lt;=100000),V92*0.21,
IF(AND($C$32=0,V92&gt;100000,V92&lt;=150000),V92*0.22,
IF(AND($C$32=0,V92&gt;150000,V92&lt;=200000),V92*0.23,
IF(AND($C$32=0,V92&gt;200000,V92&lt;=250000),V92*0.24,
IF(AND($C$32=0,V92&gt;250000),V92*0.25,
IF(AND($C$32&lt;&gt;0,V92&lt;=100000),V92*0.19,
IF(AND($C$32&lt;&gt;0,V92&gt;100000,V92&lt;=200000),V92*0.21,
IF(AND($C$32&lt;&gt;0,V92&gt;200000,V92&lt;=300000),V92*0.22,
IF(AND($C$32&lt;&gt;0,V92&gt;300000,V92&lt;=400000),V92*0.23,
IF(AND($C$32&lt;&gt;0,V92&gt;400000,V92&lt;=500000),V92*0.24,
IF(AND($C$32&lt;&gt;0,V92&gt;500000),V92*0.25))))))))))))</f>
        <v>1559.7373398675741</v>
      </c>
      <c r="W93" s="38">
        <f t="shared" ref="W93:AK93" si="67">IF(AND($C$32=0,W92&lt;=50000),W92*0.19,
IF(AND($C$32=0,W92&gt;50000,W92&lt;=100000),W92*0.21,
IF(AND($C$32=0,W92&gt;100000,W92&lt;=150000),W92*0.22,
IF(AND($C$32=0,W92&gt;150000,W92&lt;=200000),W92*0.23,
IF(AND($C$32=0,W92&gt;200000,W92&lt;=250000),W92*0.24,
IF(AND($C$32=0,W92&gt;250000),W92*0.25,
IF(AND($C$32&lt;&gt;0,W92&lt;=100000),W92*0.19,
IF(AND($C$32&lt;&gt;0,W92&gt;100000,W92&lt;=200000),W92*0.21,
IF(AND($C$32&lt;&gt;0,W92&gt;200000,W92&lt;=300000),W92*0.22,
IF(AND($C$32&lt;&gt;0,W92&gt;300000,W92&lt;=400000),W92*0.23,
IF(AND($C$32&lt;&gt;0,W92&gt;400000,W92&lt;=500000),W92*0.24,
IF(AND($C$32&lt;&gt;0,W92&gt;500000),W92*0.25))))))))))))</f>
        <v>1498.2735062763168</v>
      </c>
      <c r="X93" s="38">
        <f t="shared" si="67"/>
        <v>1377.3490222792434</v>
      </c>
      <c r="Y93" s="38">
        <f t="shared" si="67"/>
        <v>1196.0618312516001</v>
      </c>
      <c r="Z93" s="38">
        <f t="shared" si="67"/>
        <v>953.49778150117379</v>
      </c>
      <c r="AA93" s="38">
        <f t="shared" si="67"/>
        <v>648.73047457261669</v>
      </c>
      <c r="AB93" s="38">
        <f t="shared" si="67"/>
        <v>280.82111172733698</v>
      </c>
      <c r="AC93" s="38">
        <f t="shared" si="67"/>
        <v>0</v>
      </c>
      <c r="AD93" s="38">
        <f t="shared" si="67"/>
        <v>0</v>
      </c>
      <c r="AE93" s="38">
        <f t="shared" si="67"/>
        <v>0</v>
      </c>
      <c r="AF93" s="38">
        <f t="shared" si="67"/>
        <v>0</v>
      </c>
      <c r="AG93" s="38">
        <f t="shared" si="67"/>
        <v>0</v>
      </c>
      <c r="AH93" s="38">
        <f t="shared" si="67"/>
        <v>0</v>
      </c>
      <c r="AI93" s="38">
        <f t="shared" si="67"/>
        <v>0</v>
      </c>
      <c r="AJ93" s="38">
        <f t="shared" si="67"/>
        <v>0</v>
      </c>
      <c r="AK93" s="39">
        <f t="shared" si="67"/>
        <v>0</v>
      </c>
    </row>
    <row r="94" spans="1:37" s="53" customFormat="1" ht="38.25" customHeight="1" x14ac:dyDescent="0.25">
      <c r="A94" s="5"/>
      <c r="B94" s="5"/>
      <c r="C94" s="5"/>
      <c r="E94" s="37"/>
      <c r="F94" s="201"/>
      <c r="G94" s="41" t="s">
        <v>125</v>
      </c>
      <c r="H94" s="31">
        <f>IF(H$10&lt;=5,0%,IF(AND(H$10&gt;5,H$10&lt;=21),(((H$10-5)*0.0165)),IF(H$10=22,(0.28),IF(H$10&gt;22,(((H$10-22)*0.09+0.28))))))</f>
        <v>0</v>
      </c>
      <c r="I94" s="31">
        <f t="shared" ref="I94:AK94" si="68">IF(I$10&lt;=5,0%,IF(AND(I$10&gt;5,I$10&lt;=21),(((I$10-5)*0.0165)),IF(I$10=22,(0.28),IF(I$10&gt;22,(((I$10-22)*0.09+0.28))))))</f>
        <v>0</v>
      </c>
      <c r="J94" s="31">
        <f t="shared" si="68"/>
        <v>0</v>
      </c>
      <c r="K94" s="31">
        <f t="shared" si="68"/>
        <v>0</v>
      </c>
      <c r="L94" s="31">
        <f t="shared" si="68"/>
        <v>0</v>
      </c>
      <c r="M94" s="31">
        <f t="shared" si="68"/>
        <v>1.6500000000000001E-2</v>
      </c>
      <c r="N94" s="31">
        <f t="shared" si="68"/>
        <v>3.3000000000000002E-2</v>
      </c>
      <c r="O94" s="96">
        <f t="shared" si="68"/>
        <v>4.9500000000000002E-2</v>
      </c>
      <c r="P94" s="96">
        <f t="shared" si="68"/>
        <v>6.6000000000000003E-2</v>
      </c>
      <c r="Q94" s="96">
        <f t="shared" si="68"/>
        <v>8.2500000000000004E-2</v>
      </c>
      <c r="R94" s="96">
        <f t="shared" si="68"/>
        <v>9.9000000000000005E-2</v>
      </c>
      <c r="S94" s="96">
        <f t="shared" si="68"/>
        <v>0.11550000000000001</v>
      </c>
      <c r="T94" s="96">
        <f t="shared" si="68"/>
        <v>0.13200000000000001</v>
      </c>
      <c r="U94" s="96">
        <f t="shared" si="68"/>
        <v>0.14850000000000002</v>
      </c>
      <c r="V94" s="96">
        <f t="shared" si="68"/>
        <v>0.16500000000000001</v>
      </c>
      <c r="W94" s="96">
        <f t="shared" si="68"/>
        <v>0.18149999999999999</v>
      </c>
      <c r="X94" s="96">
        <f t="shared" si="68"/>
        <v>0.19800000000000001</v>
      </c>
      <c r="Y94" s="96">
        <f t="shared" si="68"/>
        <v>0.21450000000000002</v>
      </c>
      <c r="Z94" s="96">
        <f t="shared" si="68"/>
        <v>0.23100000000000001</v>
      </c>
      <c r="AA94" s="96">
        <f t="shared" si="68"/>
        <v>0.2475</v>
      </c>
      <c r="AB94" s="22">
        <f t="shared" si="68"/>
        <v>0.26400000000000001</v>
      </c>
      <c r="AC94" s="31">
        <f t="shared" si="68"/>
        <v>0.28000000000000003</v>
      </c>
      <c r="AD94" s="31">
        <f t="shared" si="68"/>
        <v>0.37</v>
      </c>
      <c r="AE94" s="31">
        <f t="shared" si="68"/>
        <v>0.46</v>
      </c>
      <c r="AF94" s="31">
        <f t="shared" si="68"/>
        <v>0.55000000000000004</v>
      </c>
      <c r="AG94" s="31">
        <f t="shared" si="68"/>
        <v>0.64</v>
      </c>
      <c r="AH94" s="31">
        <f t="shared" si="68"/>
        <v>0.73</v>
      </c>
      <c r="AI94" s="31">
        <f t="shared" si="68"/>
        <v>0.82000000000000006</v>
      </c>
      <c r="AJ94" s="31">
        <f t="shared" si="68"/>
        <v>0.91</v>
      </c>
      <c r="AK94" s="23">
        <f t="shared" si="68"/>
        <v>1</v>
      </c>
    </row>
    <row r="95" spans="1:37" s="53" customFormat="1" ht="38.25" customHeight="1" x14ac:dyDescent="0.25">
      <c r="A95" s="5"/>
      <c r="B95" s="5"/>
      <c r="C95" s="5"/>
      <c r="E95" s="37"/>
      <c r="F95" s="201"/>
      <c r="G95" s="41" t="s">
        <v>126</v>
      </c>
      <c r="H95" s="19">
        <f>H90*(1-H94)</f>
        <v>0</v>
      </c>
      <c r="I95" s="19">
        <f t="shared" ref="I95:AK95" si="69">I90*(1-I94)</f>
        <v>0</v>
      </c>
      <c r="J95" s="19">
        <f t="shared" si="69"/>
        <v>0</v>
      </c>
      <c r="K95" s="19">
        <f t="shared" si="69"/>
        <v>0</v>
      </c>
      <c r="L95" s="19">
        <f t="shared" si="69"/>
        <v>0</v>
      </c>
      <c r="M95" s="19">
        <f t="shared" si="69"/>
        <v>0</v>
      </c>
      <c r="N95" s="19">
        <f t="shared" si="69"/>
        <v>88.123662120069838</v>
      </c>
      <c r="O95" s="19">
        <f t="shared" si="69"/>
        <v>2430.4687008827636</v>
      </c>
      <c r="P95" s="19">
        <f t="shared" si="69"/>
        <v>4714.4702780544394</v>
      </c>
      <c r="Q95" s="19">
        <f t="shared" si="69"/>
        <v>6939.1340148994741</v>
      </c>
      <c r="R95" s="19">
        <f t="shared" si="69"/>
        <v>9103.4514794535371</v>
      </c>
      <c r="S95" s="19">
        <f t="shared" si="69"/>
        <v>11206.400004897283</v>
      </c>
      <c r="T95" s="19">
        <f t="shared" si="69"/>
        <v>13246.942505701925</v>
      </c>
      <c r="U95" s="19">
        <f t="shared" si="69"/>
        <v>15224.027291522207</v>
      </c>
      <c r="V95" s="19">
        <f t="shared" si="69"/>
        <v>17136.587878808212</v>
      </c>
      <c r="W95" s="19">
        <f t="shared" si="69"/>
        <v>18983.54280011091</v>
      </c>
      <c r="X95" s="19">
        <f t="shared" si="69"/>
        <v>20763.795411051749</v>
      </c>
      <c r="Y95" s="19">
        <f t="shared" si="69"/>
        <v>22476.233694931387</v>
      </c>
      <c r="Z95" s="19">
        <f t="shared" si="69"/>
        <v>24119.730064947449</v>
      </c>
      <c r="AA95" s="19">
        <f t="shared" si="69"/>
        <v>25693.141163994402</v>
      </c>
      <c r="AB95" s="19">
        <f t="shared" si="69"/>
        <v>27195.30766201577</v>
      </c>
      <c r="AC95" s="19">
        <f t="shared" si="69"/>
        <v>28644.946374752595</v>
      </c>
      <c r="AD95" s="19">
        <f t="shared" si="69"/>
        <v>26867.921358687567</v>
      </c>
      <c r="AE95" s="19">
        <f t="shared" si="69"/>
        <v>24591.043347663846</v>
      </c>
      <c r="AF95" s="19">
        <f t="shared" si="69"/>
        <v>21806.711484283755</v>
      </c>
      <c r="AG95" s="19">
        <f t="shared" si="69"/>
        <v>18507.222879301273</v>
      </c>
      <c r="AH95" s="19">
        <f t="shared" si="69"/>
        <v>14684.771331070686</v>
      </c>
      <c r="AI95" s="19">
        <f t="shared" si="69"/>
        <v>10331.446029587587</v>
      </c>
      <c r="AJ95" s="19">
        <f t="shared" si="69"/>
        <v>5439.2302449417339</v>
      </c>
      <c r="AK95" s="27">
        <f t="shared" si="69"/>
        <v>0</v>
      </c>
    </row>
    <row r="96" spans="1:37" s="53" customFormat="1" ht="38.25" customHeight="1" x14ac:dyDescent="0.25">
      <c r="A96" s="5"/>
      <c r="B96" s="5"/>
      <c r="C96" s="5"/>
      <c r="E96" s="37"/>
      <c r="F96" s="201"/>
      <c r="G96" s="41" t="s">
        <v>127</v>
      </c>
      <c r="H96" s="19">
        <f>H95*0.172</f>
        <v>0</v>
      </c>
      <c r="I96" s="19">
        <f t="shared" ref="I96:AK96" si="70">I95*0.172</f>
        <v>0</v>
      </c>
      <c r="J96" s="19">
        <f t="shared" si="70"/>
        <v>0</v>
      </c>
      <c r="K96" s="19">
        <f t="shared" si="70"/>
        <v>0</v>
      </c>
      <c r="L96" s="19">
        <f t="shared" si="70"/>
        <v>0</v>
      </c>
      <c r="M96" s="19">
        <f t="shared" si="70"/>
        <v>0</v>
      </c>
      <c r="N96" s="19">
        <f t="shared" si="70"/>
        <v>15.157269884652012</v>
      </c>
      <c r="O96" s="19">
        <f t="shared" si="70"/>
        <v>418.04061655183529</v>
      </c>
      <c r="P96" s="19">
        <f t="shared" si="70"/>
        <v>810.88888782536355</v>
      </c>
      <c r="Q96" s="19">
        <f t="shared" si="70"/>
        <v>1193.5310505627094</v>
      </c>
      <c r="R96" s="19">
        <f t="shared" si="70"/>
        <v>1565.7936544660083</v>
      </c>
      <c r="S96" s="19">
        <f t="shared" si="70"/>
        <v>1927.5008008423324</v>
      </c>
      <c r="T96" s="19">
        <f t="shared" si="70"/>
        <v>2278.474110980731</v>
      </c>
      <c r="U96" s="19">
        <f t="shared" si="70"/>
        <v>2618.5326941418193</v>
      </c>
      <c r="V96" s="19">
        <f t="shared" si="70"/>
        <v>2947.4931151550122</v>
      </c>
      <c r="W96" s="19">
        <f t="shared" si="70"/>
        <v>3265.1693616190764</v>
      </c>
      <c r="X96" s="19">
        <f t="shared" si="70"/>
        <v>3571.3728107009006</v>
      </c>
      <c r="Y96" s="19">
        <f t="shared" si="70"/>
        <v>3865.912195528198</v>
      </c>
      <c r="Z96" s="19">
        <f t="shared" si="70"/>
        <v>4148.5935711709608</v>
      </c>
      <c r="AA96" s="19">
        <f t="shared" si="70"/>
        <v>4419.2202802070369</v>
      </c>
      <c r="AB96" s="19">
        <f t="shared" si="70"/>
        <v>4677.592917866712</v>
      </c>
      <c r="AC96" s="19">
        <f t="shared" si="70"/>
        <v>4926.930776457446</v>
      </c>
      <c r="AD96" s="19">
        <f t="shared" si="70"/>
        <v>4621.2824736942612</v>
      </c>
      <c r="AE96" s="19">
        <f t="shared" si="70"/>
        <v>4229.6594557981816</v>
      </c>
      <c r="AF96" s="19">
        <f t="shared" si="70"/>
        <v>3750.7543752968054</v>
      </c>
      <c r="AG96" s="19">
        <f t="shared" si="70"/>
        <v>3183.2423352398187</v>
      </c>
      <c r="AH96" s="19">
        <f t="shared" si="70"/>
        <v>2525.7806689441577</v>
      </c>
      <c r="AI96" s="19">
        <f t="shared" si="70"/>
        <v>1777.0087170890647</v>
      </c>
      <c r="AJ96" s="19">
        <f t="shared" si="70"/>
        <v>935.54760212997815</v>
      </c>
      <c r="AK96" s="27">
        <f t="shared" si="70"/>
        <v>0</v>
      </c>
    </row>
    <row r="97" spans="1:37" s="53" customFormat="1" ht="38.25" customHeight="1" x14ac:dyDescent="0.25">
      <c r="A97" s="5"/>
      <c r="B97" s="5"/>
      <c r="C97" s="5"/>
      <c r="E97" s="37"/>
      <c r="F97" s="201"/>
      <c r="G97" s="41" t="s">
        <v>128</v>
      </c>
      <c r="H97" s="19">
        <f>H96+H93</f>
        <v>0</v>
      </c>
      <c r="I97" s="19">
        <f t="shared" ref="I97:AK97" si="71">I96+I93</f>
        <v>0</v>
      </c>
      <c r="J97" s="19">
        <f t="shared" si="71"/>
        <v>0</v>
      </c>
      <c r="K97" s="19">
        <f t="shared" si="71"/>
        <v>0</v>
      </c>
      <c r="L97" s="19">
        <f t="shared" si="71"/>
        <v>0</v>
      </c>
      <c r="M97" s="19">
        <f t="shared" si="71"/>
        <v>0</v>
      </c>
      <c r="N97" s="19">
        <f t="shared" si="71"/>
        <v>30.394370511824377</v>
      </c>
      <c r="O97" s="19">
        <f t="shared" si="71"/>
        <v>816.42780602846301</v>
      </c>
      <c r="P97" s="19">
        <f t="shared" si="71"/>
        <v>1539.7641642183626</v>
      </c>
      <c r="Q97" s="19">
        <f t="shared" si="71"/>
        <v>2199.4218668914614</v>
      </c>
      <c r="R97" s="19">
        <f t="shared" si="71"/>
        <v>2794.40597400158</v>
      </c>
      <c r="S97" s="19">
        <f t="shared" si="71"/>
        <v>3323.7080145672398</v>
      </c>
      <c r="T97" s="19">
        <f t="shared" si="71"/>
        <v>3786.3058155468025</v>
      </c>
      <c r="U97" s="19">
        <f t="shared" si="71"/>
        <v>4181.1633286445103</v>
      </c>
      <c r="V97" s="19">
        <f t="shared" si="71"/>
        <v>4507.2304550225863</v>
      </c>
      <c r="W97" s="19">
        <f t="shared" si="71"/>
        <v>4763.4428678953936</v>
      </c>
      <c r="X97" s="19">
        <f t="shared" si="71"/>
        <v>4948.7218329801435</v>
      </c>
      <c r="Y97" s="19">
        <f t="shared" si="71"/>
        <v>5061.9740267797979</v>
      </c>
      <c r="Z97" s="19">
        <f t="shared" si="71"/>
        <v>5102.0913526721342</v>
      </c>
      <c r="AA97" s="19">
        <f t="shared" si="71"/>
        <v>5067.9507547796538</v>
      </c>
      <c r="AB97" s="19">
        <f t="shared" si="71"/>
        <v>4958.4140295940488</v>
      </c>
      <c r="AC97" s="19">
        <f t="shared" si="71"/>
        <v>4926.930776457446</v>
      </c>
      <c r="AD97" s="19">
        <f t="shared" si="71"/>
        <v>4621.2824736942612</v>
      </c>
      <c r="AE97" s="19">
        <f t="shared" si="71"/>
        <v>4229.6594557981816</v>
      </c>
      <c r="AF97" s="19">
        <f t="shared" si="71"/>
        <v>3750.7543752968054</v>
      </c>
      <c r="AG97" s="19">
        <f t="shared" si="71"/>
        <v>3183.2423352398187</v>
      </c>
      <c r="AH97" s="19">
        <f t="shared" si="71"/>
        <v>2525.7806689441577</v>
      </c>
      <c r="AI97" s="19">
        <f t="shared" si="71"/>
        <v>1777.0087170890647</v>
      </c>
      <c r="AJ97" s="19">
        <f t="shared" si="71"/>
        <v>935.54760212997815</v>
      </c>
      <c r="AK97" s="27">
        <f t="shared" si="71"/>
        <v>0</v>
      </c>
    </row>
    <row r="98" spans="1:37" s="53" customFormat="1" ht="38.25" customHeight="1" x14ac:dyDescent="0.25">
      <c r="A98" s="5"/>
      <c r="B98" s="5"/>
      <c r="C98" s="5"/>
      <c r="E98" s="37"/>
      <c r="F98" s="201"/>
      <c r="G98" s="41" t="s">
        <v>129</v>
      </c>
      <c r="H98" s="19">
        <f t="shared" ref="H98:AK98" si="72">H$48-H97</f>
        <v>232300</v>
      </c>
      <c r="I98" s="19">
        <f t="shared" si="72"/>
        <v>234623</v>
      </c>
      <c r="J98" s="19">
        <f t="shared" si="72"/>
        <v>236969.22999999998</v>
      </c>
      <c r="K98" s="19">
        <f t="shared" si="72"/>
        <v>239338.92230000001</v>
      </c>
      <c r="L98" s="19">
        <f t="shared" si="72"/>
        <v>241732.31152299998</v>
      </c>
      <c r="M98" s="19">
        <f t="shared" si="72"/>
        <v>244149.63463823003</v>
      </c>
      <c r="N98" s="19">
        <f t="shared" si="72"/>
        <v>246560.73661410046</v>
      </c>
      <c r="O98" s="19">
        <f t="shared" si="72"/>
        <v>248240.61448843</v>
      </c>
      <c r="P98" s="19">
        <f t="shared" si="72"/>
        <v>250007.84855318468</v>
      </c>
      <c r="Q98" s="19">
        <f t="shared" si="72"/>
        <v>251863.66697768561</v>
      </c>
      <c r="R98" s="19">
        <f t="shared" si="72"/>
        <v>253809.31375902123</v>
      </c>
      <c r="S98" s="19">
        <f t="shared" si="72"/>
        <v>255846.04891578582</v>
      </c>
      <c r="T98" s="19">
        <f t="shared" si="72"/>
        <v>257975.14868410979</v>
      </c>
      <c r="U98" s="19">
        <f t="shared" si="72"/>
        <v>260197.90571600871</v>
      </c>
      <c r="V98" s="19">
        <f t="shared" si="72"/>
        <v>262515.62928007706</v>
      </c>
      <c r="W98" s="19">
        <f t="shared" si="72"/>
        <v>264929.6454645553</v>
      </c>
      <c r="X98" s="19">
        <f t="shared" si="72"/>
        <v>267441.29738279508</v>
      </c>
      <c r="Y98" s="19">
        <f t="shared" si="72"/>
        <v>270051.9453811532</v>
      </c>
      <c r="Z98" s="19">
        <f t="shared" si="72"/>
        <v>272762.96724934014</v>
      </c>
      <c r="AA98" s="19">
        <f t="shared" si="72"/>
        <v>275575.75843325275</v>
      </c>
      <c r="AB98" s="19">
        <f t="shared" si="72"/>
        <v>278491.73225031869</v>
      </c>
      <c r="AC98" s="19">
        <f t="shared" si="72"/>
        <v>281357.71696625452</v>
      </c>
      <c r="AD98" s="19">
        <f t="shared" si="72"/>
        <v>284526.21174644475</v>
      </c>
      <c r="AE98" s="19">
        <f t="shared" si="72"/>
        <v>287809.30970654229</v>
      </c>
      <c r="AF98" s="19">
        <f t="shared" si="72"/>
        <v>291208.60447866708</v>
      </c>
      <c r="AG98" s="19">
        <f t="shared" si="72"/>
        <v>294725.7101072637</v>
      </c>
      <c r="AH98" s="19">
        <f t="shared" si="72"/>
        <v>298362.26129798428</v>
      </c>
      <c r="AI98" s="19">
        <f t="shared" si="72"/>
        <v>302119.91366950865</v>
      </c>
      <c r="AJ98" s="19">
        <f t="shared" si="72"/>
        <v>306000.34400833375</v>
      </c>
      <c r="AK98" s="27">
        <f t="shared" si="72"/>
        <v>310005.25052656844</v>
      </c>
    </row>
    <row r="99" spans="1:37" s="53" customFormat="1" ht="38.25" customHeight="1" x14ac:dyDescent="0.25">
      <c r="A99" s="5"/>
      <c r="B99" s="5"/>
      <c r="C99" s="5"/>
      <c r="E99" s="37"/>
      <c r="F99" s="201"/>
      <c r="G99" s="169" t="s">
        <v>352</v>
      </c>
      <c r="H99" s="162">
        <f>H98-H$16</f>
        <v>-4939.9208197635016</v>
      </c>
      <c r="I99" s="162">
        <f>I98-I$16</f>
        <v>5759.5443927056913</v>
      </c>
      <c r="J99" s="162">
        <f>J98-J$16</f>
        <v>16600.265537970641</v>
      </c>
      <c r="K99" s="162">
        <f>K98-K$16</f>
        <v>27584.137923094531</v>
      </c>
      <c r="L99" s="162">
        <f>L98-L$16</f>
        <v>38713.082610215235</v>
      </c>
      <c r="M99" s="162">
        <f>M98-M$16</f>
        <v>49989.046769937937</v>
      </c>
      <c r="N99" s="162">
        <f>N98-N$16</f>
        <v>61383.609669099387</v>
      </c>
      <c r="O99" s="162">
        <f>O98-O$16</f>
        <v>72173.527080528031</v>
      </c>
      <c r="P99" s="162">
        <f>P98-P$16</f>
        <v>83179.162812098773</v>
      </c>
      <c r="Q99" s="162">
        <f>Q98-Q$16</f>
        <v>94403.553679108183</v>
      </c>
      <c r="R99" s="162">
        <f>R98-R$16</f>
        <v>105849.77780877415</v>
      </c>
      <c r="S99" s="162">
        <f>S98-S$16</f>
        <v>117520.95519305053</v>
      </c>
      <c r="T99" s="162">
        <f>T98-T$16</f>
        <v>129420.24824879359</v>
      </c>
      <c r="U99" s="162">
        <f>U98-U$16</f>
        <v>141550.8623853774</v>
      </c>
      <c r="V99" s="162">
        <f>V98-V$16</f>
        <v>153916.0465798573</v>
      </c>
      <c r="W99" s="162">
        <f>W98-W$16</f>
        <v>166519.09395978306</v>
      </c>
      <c r="X99" s="162">
        <f>X98-X$16</f>
        <v>179363.34239376054</v>
      </c>
      <c r="Y99" s="162">
        <f>Y98-Y$16</f>
        <v>192452.17508986863</v>
      </c>
      <c r="Z99" s="162">
        <f>Z98-Z$16</f>
        <v>205789.02120203292</v>
      </c>
      <c r="AA99" s="162">
        <f>AA98-AA$16</f>
        <v>219377.3564444638</v>
      </c>
      <c r="AB99" s="162">
        <f>AB98-AB$16</f>
        <v>233220.70371426496</v>
      </c>
      <c r="AC99" s="162">
        <f>AC98-AC$16</f>
        <v>247168.03058119398</v>
      </c>
      <c r="AD99" s="162">
        <f>AD98-AD$16</f>
        <v>261574.00565786305</v>
      </c>
      <c r="AE99" s="162">
        <f>AE98-AE$16</f>
        <v>276252.92207506252</v>
      </c>
      <c r="AF99" s="162">
        <f>AF98-AF$16</f>
        <v>291208.60447866714</v>
      </c>
      <c r="AG99" s="162">
        <f>AG98-AG$16</f>
        <v>294725.7101072637</v>
      </c>
      <c r="AH99" s="162">
        <f>AH98-AH$16</f>
        <v>298362.26129798428</v>
      </c>
      <c r="AI99" s="162">
        <f>AI98-AI$16</f>
        <v>302119.91366950865</v>
      </c>
      <c r="AJ99" s="162">
        <f>AJ98-AJ$16</f>
        <v>306000.34400833375</v>
      </c>
      <c r="AK99" s="163">
        <f>AK98-AK$16</f>
        <v>310005.25052656844</v>
      </c>
    </row>
    <row r="100" spans="1:37" s="53" customFormat="1" ht="38.25" customHeight="1" x14ac:dyDescent="0.25">
      <c r="A100" s="5"/>
      <c r="B100" s="5"/>
      <c r="C100" s="5"/>
      <c r="E100" s="37"/>
      <c r="F100" s="201"/>
      <c r="G100" s="41" t="s">
        <v>299</v>
      </c>
      <c r="H100" s="19">
        <f>IF(H$10=1,($C$18*-1)+H87,H87)</f>
        <v>-18589.710904683277</v>
      </c>
      <c r="I100" s="19">
        <f>IF(I$10=1,($C$18*-1)+I87,I87)</f>
        <v>1545.2890953167243</v>
      </c>
      <c r="J100" s="19">
        <f>IF(J$10=1,($C$18*-1)+J87,J87)</f>
        <v>1681.6390953167265</v>
      </c>
      <c r="K100" s="19">
        <f>IF(K$10=1,($C$18*-1)+K87,K87)</f>
        <v>1819.3525953167227</v>
      </c>
      <c r="L100" s="19">
        <f>IF(L$10=1,($C$18*-1)+L87,L87)</f>
        <v>1958.4432303167268</v>
      </c>
      <c r="M100" s="19">
        <f>IF(M$10=1,($C$18*-1)+M87,M87)</f>
        <v>2098.9247716667232</v>
      </c>
      <c r="N100" s="19">
        <f>IF(N$10=1,($C$18*-1)+N87,N87)</f>
        <v>2240.8111284302286</v>
      </c>
      <c r="O100" s="19">
        <f>IF(O$10=1,($C$18*-1)+O87,O87)</f>
        <v>2384.1163487613576</v>
      </c>
      <c r="P100" s="19">
        <f>IF(P$10=1,($C$18*-1)+P87,P87)</f>
        <v>2528.8546212958081</v>
      </c>
      <c r="Q100" s="19">
        <f>IF(Q$10=1,($C$18*-1)+Q87,Q87)</f>
        <v>2675.0402765555991</v>
      </c>
      <c r="R100" s="19">
        <f>IF(R$10=1,($C$18*-1)+R87,R87)</f>
        <v>2822.6877883679863</v>
      </c>
      <c r="S100" s="19">
        <f>IF(S$10=1,($C$18*-1)+S87,S87)</f>
        <v>1455.6693764645015</v>
      </c>
      <c r="T100" s="19">
        <f>IF(T$10=1,($C$18*-1)+T87,T87)</f>
        <v>10.710225446102186</v>
      </c>
      <c r="U100" s="19">
        <f>IF(U$10=1,($C$18*-1)+U87,U87)</f>
        <v>26.052991844454482</v>
      </c>
      <c r="V100" s="19">
        <f>IF(V$10=1,($C$18*-1)+V87,V87)</f>
        <v>41.283416730743284</v>
      </c>
      <c r="W100" s="19">
        <f>IF(W$10=1,($C$18*-1)+W87,W87)</f>
        <v>56.396631953360384</v>
      </c>
      <c r="X100" s="19">
        <f>IF(X$10=1,($C$18*-1)+X87,X87)</f>
        <v>71.387667915154225</v>
      </c>
      <c r="Y100" s="19">
        <f>IF(Y$10=1,($C$18*-1)+Y87,Y87)</f>
        <v>86.251451815527844</v>
      </c>
      <c r="Z100" s="19">
        <f>IF(Z$10=1,($C$18*-1)+Z87,Z87)</f>
        <v>100.98280586447186</v>
      </c>
      <c r="AA100" s="19">
        <f>IF(AA$10=1,($C$18*-1)+AA87,AA87)</f>
        <v>115.57644546810025</v>
      </c>
      <c r="AB100" s="19">
        <f>IF(AB$10=1,($C$18*-1)+AB87,AB87)</f>
        <v>130.02697738531265</v>
      </c>
      <c r="AC100" s="19">
        <f>IF(AC$10=1,($C$18*-1)+AC87,AC87)</f>
        <v>144.32889785505131</v>
      </c>
      <c r="AD100" s="19">
        <f>IF(AD$10=1,($C$18*-1)+AD87,AD87)</f>
        <v>158.47659069378938</v>
      </c>
      <c r="AE100" s="19">
        <f>IF(AE$10=1,($C$18*-1)+AE87,AE87)</f>
        <v>172.46432536271232</v>
      </c>
      <c r="AF100" s="19">
        <f>IF(AF$10=1,($C$18*-1)+AF87,AF87)</f>
        <v>95.524283101452284</v>
      </c>
      <c r="AG100" s="19">
        <f>IF(AG$10=1,($C$18*-1)+AG87,AG87)</f>
        <v>11651.583221630401</v>
      </c>
      <c r="AH100" s="19">
        <f>IF(AH$10=1,($C$18*-1)+AH87,AH87)</f>
        <v>11506.302643321669</v>
      </c>
      <c r="AI100" s="19">
        <f>IF(AI$10=1,($C$18*-1)+AI87,AI87)</f>
        <v>11355.216294914093</v>
      </c>
      <c r="AJ100" s="19">
        <f>IF(AJ$10=1,($C$18*-1)+AJ87,AJ87)</f>
        <v>11198.135529777228</v>
      </c>
      <c r="AK100" s="27">
        <f>IF(AK$10=1,($C$18*-1)+AK87,AK87)</f>
        <v>11113.605375468898</v>
      </c>
    </row>
    <row r="101" spans="1:37" s="53" customFormat="1" ht="38.25" customHeight="1" x14ac:dyDescent="0.25">
      <c r="A101" s="5"/>
      <c r="B101" s="5"/>
      <c r="C101" s="5"/>
      <c r="E101" s="37"/>
      <c r="F101" s="201"/>
      <c r="G101" s="160" t="s">
        <v>298</v>
      </c>
      <c r="H101" s="165" t="str">
        <f>TRI!C87</f>
        <v>N/A</v>
      </c>
      <c r="I101" s="165">
        <f>TRI!D87</f>
        <v>-0.60704964560895236</v>
      </c>
      <c r="J101" s="165">
        <f>TRI!E87</f>
        <v>3.4120123300700467E-2</v>
      </c>
      <c r="K101" s="165">
        <f>TRI!F87</f>
        <v>0.2199872235415461</v>
      </c>
      <c r="L101" s="165">
        <f>TRI!G87</f>
        <v>0.27358498356082661</v>
      </c>
      <c r="M101" s="165">
        <f>TRI!H87</f>
        <v>0.28614757662038137</v>
      </c>
      <c r="N101" s="165">
        <f>TRI!I87</f>
        <v>0.28417759762807671</v>
      </c>
      <c r="O101" s="165">
        <f>TRI!J87</f>
        <v>0.27537135917305577</v>
      </c>
      <c r="P101" s="165">
        <f>TRI!K87</f>
        <v>0.26573674817597226</v>
      </c>
      <c r="Q101" s="165">
        <f>TRI!L87</f>
        <v>0.25624171965374587</v>
      </c>
      <c r="R101" s="165">
        <f>TRI!M87</f>
        <v>0.24726775486177943</v>
      </c>
      <c r="S101" s="165">
        <f>TRI!N87</f>
        <v>0.23780354099101575</v>
      </c>
      <c r="T101" s="165">
        <f>TRI!O87</f>
        <v>0.22821962049534616</v>
      </c>
      <c r="U101" s="165">
        <f>TRI!P87</f>
        <v>0.21949919353486402</v>
      </c>
      <c r="V101" s="165">
        <f>TRI!Q87</f>
        <v>0.21154100872621395</v>
      </c>
      <c r="W101" s="165">
        <f>TRI!R87</f>
        <v>0.2042546592537382</v>
      </c>
      <c r="X101" s="165">
        <f>TRI!S87</f>
        <v>0.19756108483245272</v>
      </c>
      <c r="Y101" s="165">
        <f>TRI!T87</f>
        <v>0.19139180065461736</v>
      </c>
      <c r="Z101" s="165">
        <f>TRI!U87</f>
        <v>0.18568769559978815</v>
      </c>
      <c r="AA101" s="165">
        <f>TRI!V87</f>
        <v>0.18039776668938612</v>
      </c>
      <c r="AB101" s="165">
        <f>TRI!W87</f>
        <v>0.17547794051374654</v>
      </c>
      <c r="AC101" s="165">
        <f>TRI!X87</f>
        <v>0.17086221616483344</v>
      </c>
      <c r="AD101" s="165">
        <f>TRI!Y87</f>
        <v>0.16658263294338904</v>
      </c>
      <c r="AE101" s="165">
        <f>TRI!Z87</f>
        <v>0.16257216996829005</v>
      </c>
      <c r="AF101" s="165">
        <f>TRI!AA87</f>
        <v>0.15879354738353801</v>
      </c>
      <c r="AG101" s="165">
        <f>TRI!AB87</f>
        <v>0.15521579126604634</v>
      </c>
      <c r="AH101" s="165">
        <f>TRI!AC87</f>
        <v>0.15200081964916956</v>
      </c>
      <c r="AI101" s="165">
        <f>TRI!AD87</f>
        <v>0.14910157871191698</v>
      </c>
      <c r="AJ101" s="165">
        <f>TRI!AE87</f>
        <v>0.14647839915869709</v>
      </c>
      <c r="AK101" s="166">
        <f>TRI!AF87</f>
        <v>0.14410419067889491</v>
      </c>
    </row>
    <row r="102" spans="1:37" s="53" customFormat="1" ht="38.25" customHeight="1" x14ac:dyDescent="0.25">
      <c r="A102" s="5"/>
      <c r="B102" s="5"/>
      <c r="C102" s="5"/>
      <c r="E102" s="37"/>
      <c r="F102" s="202"/>
      <c r="G102" s="147" t="s">
        <v>305</v>
      </c>
      <c r="H102" s="150">
        <f>H$99+H$88-$C$18</f>
        <v>-23529.631724446779</v>
      </c>
      <c r="I102" s="150">
        <f>I$99+I$88-$C$18</f>
        <v>-11284.87741666086</v>
      </c>
      <c r="J102" s="150">
        <f>J$99+J$88-$C$18</f>
        <v>1237.4828239208146</v>
      </c>
      <c r="K102" s="150">
        <f>K$99+K$88-$C$18</f>
        <v>14040.707804361431</v>
      </c>
      <c r="L102" s="150">
        <f>L$99+L$88-$C$18</f>
        <v>27128.095721798862</v>
      </c>
      <c r="M102" s="150">
        <f>M$99+M$88-$C$18</f>
        <v>40502.984653188287</v>
      </c>
      <c r="N102" s="150">
        <f>N$99+N$88-$C$18</f>
        <v>54138.358680779958</v>
      </c>
      <c r="O102" s="150">
        <f>O$99+O$88-$C$18</f>
        <v>67312.392440969968</v>
      </c>
      <c r="P102" s="150">
        <f>P$99+P$88-$C$18</f>
        <v>80846.882793836514</v>
      </c>
      <c r="Q102" s="150">
        <f>Q$99+Q$88-$C$18</f>
        <v>94746.313937401515</v>
      </c>
      <c r="R102" s="150">
        <f>R$99+R$88-$C$18</f>
        <v>109015.22585543548</v>
      </c>
      <c r="S102" s="150">
        <f>S$99+S$88-$C$18</f>
        <v>122142.07261617636</v>
      </c>
      <c r="T102" s="150">
        <f>T$99+T$88-$C$18</f>
        <v>134052.07589736552</v>
      </c>
      <c r="U102" s="150">
        <f>U$99+U$88-$C$18</f>
        <v>146208.74302579378</v>
      </c>
      <c r="V102" s="150">
        <f>V$99+V$88-$C$18</f>
        <v>158615.21063700443</v>
      </c>
      <c r="W102" s="150">
        <f>W$99+W$88-$C$18</f>
        <v>171274.65464888356</v>
      </c>
      <c r="X102" s="150">
        <f>X$99+X$88-$C$18</f>
        <v>184190.29075077618</v>
      </c>
      <c r="Y102" s="150">
        <f>Y$99+Y$88-$C$18</f>
        <v>197365.37489869981</v>
      </c>
      <c r="Z102" s="150">
        <f>Z$99+Z$88-$C$18</f>
        <v>210803.20381672855</v>
      </c>
      <c r="AA102" s="150">
        <f>AA$99+AA$88-$C$18</f>
        <v>224507.11550462755</v>
      </c>
      <c r="AB102" s="150">
        <f>AB$99+AB$88-$C$18</f>
        <v>238480.48975181402</v>
      </c>
      <c r="AC102" s="150">
        <f>AC$99+AC$88-$C$18</f>
        <v>252572.14551659807</v>
      </c>
      <c r="AD102" s="150">
        <f>AD$99+AD$88-$C$18</f>
        <v>267136.59718396096</v>
      </c>
      <c r="AE102" s="150">
        <f>AE$99+AE$88-$C$18</f>
        <v>281987.97792652313</v>
      </c>
      <c r="AF102" s="150">
        <f>AF$99+AF$88-$C$18</f>
        <v>297039.18461322918</v>
      </c>
      <c r="AG102" s="150">
        <f>AG$99+AG$88-$C$18</f>
        <v>312207.87346345617</v>
      </c>
      <c r="AH102" s="150">
        <f>AH$99+AH$88-$C$18</f>
        <v>327350.72729749844</v>
      </c>
      <c r="AI102" s="150">
        <f>AI$99+AI$88-$C$18</f>
        <v>342463.59596393688</v>
      </c>
      <c r="AJ102" s="150">
        <f>AJ$99+AJ$88-$C$18</f>
        <v>357542.16183253919</v>
      </c>
      <c r="AK102" s="151">
        <f>AK$99+AK$88-$C$18</f>
        <v>372660.67372624279</v>
      </c>
    </row>
    <row r="103" spans="1:37" s="53" customFormat="1" ht="38.25" customHeight="1" x14ac:dyDescent="0.25">
      <c r="A103" s="5"/>
      <c r="B103" s="5"/>
      <c r="C103" s="5"/>
      <c r="E103" s="37"/>
      <c r="F103" s="86"/>
      <c r="G103" s="54"/>
      <c r="H103" s="38"/>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row>
    <row r="104" spans="1:37" s="53" customFormat="1" ht="38.25" customHeight="1" x14ac:dyDescent="0.25">
      <c r="A104" s="5"/>
      <c r="B104" s="5"/>
      <c r="C104" s="5"/>
      <c r="E104" s="37"/>
      <c r="F104" s="203" t="s">
        <v>175</v>
      </c>
      <c r="G104" s="68" t="s">
        <v>107</v>
      </c>
      <c r="H104" s="57">
        <f>H12*0.5</f>
        <v>9000</v>
      </c>
      <c r="I104" s="29">
        <f>I12*0.5</f>
        <v>9090</v>
      </c>
      <c r="J104" s="29">
        <f>J12*0.5</f>
        <v>9180.9000000000015</v>
      </c>
      <c r="K104" s="29">
        <f>K12*0.5</f>
        <v>9272.7089999999989</v>
      </c>
      <c r="L104" s="29">
        <f>L12*0.5</f>
        <v>9365.4360900000011</v>
      </c>
      <c r="M104" s="29">
        <f>M12*0.5</f>
        <v>9459.0904508999993</v>
      </c>
      <c r="N104" s="29">
        <f>N12*0.5</f>
        <v>9553.6813554090022</v>
      </c>
      <c r="O104" s="29">
        <f>O12*0.5</f>
        <v>9649.2181689630888</v>
      </c>
      <c r="P104" s="29">
        <f>P12*0.5</f>
        <v>9745.7103506527219</v>
      </c>
      <c r="Q104" s="29">
        <f>Q12*0.5</f>
        <v>9843.1674541592511</v>
      </c>
      <c r="R104" s="29">
        <f>R12*0.5</f>
        <v>9941.5991287008419</v>
      </c>
      <c r="S104" s="29">
        <f>S12*0.5</f>
        <v>10041.015119987849</v>
      </c>
      <c r="T104" s="29">
        <f>T12*0.5</f>
        <v>10141.425271187727</v>
      </c>
      <c r="U104" s="29">
        <f>U12*0.5</f>
        <v>10242.839523899605</v>
      </c>
      <c r="V104" s="29">
        <f>V12*0.5</f>
        <v>10345.267919138603</v>
      </c>
      <c r="W104" s="29">
        <f>W12*0.5</f>
        <v>10448.720598329986</v>
      </c>
      <c r="X104" s="29">
        <f>X12*0.5</f>
        <v>10553.20780431329</v>
      </c>
      <c r="Y104" s="29">
        <f>Y12*0.5</f>
        <v>10658.739882356422</v>
      </c>
      <c r="Z104" s="29">
        <f>Z12*0.5</f>
        <v>10765.327281179987</v>
      </c>
      <c r="AA104" s="29">
        <f>AA12*0.5</f>
        <v>10872.980553991785</v>
      </c>
      <c r="AB104" s="29">
        <f>AB12*0.5</f>
        <v>10981.710359531702</v>
      </c>
      <c r="AC104" s="29">
        <f>AC12*0.5</f>
        <v>11091.52746312702</v>
      </c>
      <c r="AD104" s="29">
        <f>AD12*0.5</f>
        <v>11202.442737758292</v>
      </c>
      <c r="AE104" s="29">
        <f>AE12*0.5</f>
        <v>11314.467165135873</v>
      </c>
      <c r="AF104" s="29">
        <f>AF12*0.5</f>
        <v>11427.611836787233</v>
      </c>
      <c r="AG104" s="29">
        <f>AG12*0.5</f>
        <v>11541.887955155107</v>
      </c>
      <c r="AH104" s="29">
        <f>AH12*0.5</f>
        <v>11657.30683470666</v>
      </c>
      <c r="AI104" s="29">
        <f>AI12*0.5</f>
        <v>11773.879903053721</v>
      </c>
      <c r="AJ104" s="29">
        <f>AJ12*0.5</f>
        <v>11891.618702084261</v>
      </c>
      <c r="AK104" s="30">
        <f>AK12*0.5</f>
        <v>12010.534889105104</v>
      </c>
    </row>
    <row r="105" spans="1:37" s="53" customFormat="1" ht="38.25" customHeight="1" x14ac:dyDescent="0.25">
      <c r="A105" s="5"/>
      <c r="B105" s="5"/>
      <c r="C105" s="5"/>
      <c r="E105" s="37"/>
      <c r="F105" s="204"/>
      <c r="G105" s="69" t="s">
        <v>111</v>
      </c>
      <c r="H105" s="60">
        <f>H104+H38</f>
        <v>40500</v>
      </c>
      <c r="I105" s="19">
        <f>I104+I38</f>
        <v>41535</v>
      </c>
      <c r="J105" s="19">
        <f>J104+J38</f>
        <v>42599.25</v>
      </c>
      <c r="K105" s="19">
        <f>K104+K38</f>
        <v>43693.609500000006</v>
      </c>
      <c r="L105" s="19">
        <f>L104+L38</f>
        <v>44818.963605000004</v>
      </c>
      <c r="M105" s="19">
        <f>M104+M38</f>
        <v>45976.223791349999</v>
      </c>
      <c r="N105" s="19">
        <f>N104+N38</f>
        <v>47166.328696072502</v>
      </c>
      <c r="O105" s="19">
        <f>O104+O38</f>
        <v>48390.244929846493</v>
      </c>
      <c r="P105" s="19">
        <f>P104+P38</f>
        <v>49648.96791436262</v>
      </c>
      <c r="Q105" s="19">
        <f>Q104+Q38</f>
        <v>50943.52274478045</v>
      </c>
      <c r="R105" s="19">
        <f>R104+R38</f>
        <v>52274.965078040681</v>
      </c>
      <c r="S105" s="19">
        <f>S104+S38</f>
        <v>53644.382047807885</v>
      </c>
      <c r="T105" s="19">
        <f>T104+T38</f>
        <v>55052.893206842353</v>
      </c>
      <c r="U105" s="19">
        <f>U104+U38</f>
        <v>56501.651497623869</v>
      </c>
      <c r="V105" s="19">
        <f>V104+V38</f>
        <v>57991.844252074603</v>
      </c>
      <c r="W105" s="19">
        <f>W104+W38</f>
        <v>59524.694221254067</v>
      </c>
      <c r="X105" s="19">
        <f>X104+X38</f>
        <v>61101.46063592509</v>
      </c>
      <c r="Y105" s="19">
        <f>Y104+Y38</f>
        <v>62723.440298916568</v>
      </c>
      <c r="Z105" s="19">
        <f>Z104+Z38</f>
        <v>64391.96871023695</v>
      </c>
      <c r="AA105" s="19">
        <f>AA104+AA38</f>
        <v>66108.421225920436</v>
      </c>
      <c r="AB105" s="19">
        <f>AB104+AB38</f>
        <v>67874.214251618221</v>
      </c>
      <c r="AC105" s="19">
        <f>AC104+AC38</f>
        <v>69690.806471976131</v>
      </c>
      <c r="AD105" s="19">
        <f>AD104+AD38</f>
        <v>71559.700116872875</v>
      </c>
      <c r="AE105" s="19">
        <f>AE104+AE38</f>
        <v>73482.442265623889</v>
      </c>
      <c r="AF105" s="19">
        <f>AF104+AF38</f>
        <v>75460.626190289884</v>
      </c>
      <c r="AG105" s="19">
        <f>AG104+AG38</f>
        <v>77495.892739262854</v>
      </c>
      <c r="AH105" s="19">
        <f>AH104+AH38</f>
        <v>79589.931762337641</v>
      </c>
      <c r="AI105" s="19">
        <f>AI104+AI38</f>
        <v>81744.483578513624</v>
      </c>
      <c r="AJ105" s="19">
        <f>AJ104+AJ38</f>
        <v>83961.34048780796</v>
      </c>
      <c r="AK105" s="27">
        <f>AK104+AK38</f>
        <v>86242.34832840052</v>
      </c>
    </row>
    <row r="106" spans="1:37" s="53" customFormat="1" ht="38.25" customHeight="1" x14ac:dyDescent="0.25">
      <c r="A106" s="5"/>
      <c r="B106" s="5"/>
      <c r="C106" s="5"/>
      <c r="E106" s="37"/>
      <c r="F106" s="204"/>
      <c r="G106" s="69" t="s">
        <v>112</v>
      </c>
      <c r="H106" s="60">
        <f t="shared" ref="H106:N106" si="73">IF($C$32=0,H105,H105/2)</f>
        <v>40500</v>
      </c>
      <c r="I106" s="19">
        <f t="shared" si="73"/>
        <v>41535</v>
      </c>
      <c r="J106" s="19">
        <f t="shared" si="73"/>
        <v>42599.25</v>
      </c>
      <c r="K106" s="19">
        <f t="shared" si="73"/>
        <v>43693.609500000006</v>
      </c>
      <c r="L106" s="19">
        <f t="shared" si="73"/>
        <v>44818.963605000004</v>
      </c>
      <c r="M106" s="19">
        <f t="shared" si="73"/>
        <v>45976.223791349999</v>
      </c>
      <c r="N106" s="19">
        <f t="shared" si="73"/>
        <v>47166.328696072502</v>
      </c>
      <c r="O106" s="19">
        <f t="shared" ref="O106:AK106" si="74">IF($C$32=0,O105,O105/2)</f>
        <v>48390.244929846493</v>
      </c>
      <c r="P106" s="19">
        <f t="shared" si="74"/>
        <v>49648.96791436262</v>
      </c>
      <c r="Q106" s="19">
        <f t="shared" si="74"/>
        <v>50943.52274478045</v>
      </c>
      <c r="R106" s="19">
        <f t="shared" si="74"/>
        <v>52274.965078040681</v>
      </c>
      <c r="S106" s="19">
        <f t="shared" si="74"/>
        <v>53644.382047807885</v>
      </c>
      <c r="T106" s="19">
        <f t="shared" si="74"/>
        <v>55052.893206842353</v>
      </c>
      <c r="U106" s="19">
        <f t="shared" si="74"/>
        <v>56501.651497623869</v>
      </c>
      <c r="V106" s="19">
        <f t="shared" si="74"/>
        <v>57991.844252074603</v>
      </c>
      <c r="W106" s="19">
        <f t="shared" si="74"/>
        <v>59524.694221254067</v>
      </c>
      <c r="X106" s="19">
        <f t="shared" si="74"/>
        <v>61101.46063592509</v>
      </c>
      <c r="Y106" s="19">
        <f t="shared" si="74"/>
        <v>62723.440298916568</v>
      </c>
      <c r="Z106" s="19">
        <f t="shared" si="74"/>
        <v>64391.96871023695</v>
      </c>
      <c r="AA106" s="19">
        <f t="shared" si="74"/>
        <v>66108.421225920436</v>
      </c>
      <c r="AB106" s="19">
        <f t="shared" si="74"/>
        <v>67874.214251618221</v>
      </c>
      <c r="AC106" s="19">
        <f t="shared" si="74"/>
        <v>69690.806471976131</v>
      </c>
      <c r="AD106" s="19">
        <f t="shared" si="74"/>
        <v>71559.700116872875</v>
      </c>
      <c r="AE106" s="19">
        <f t="shared" si="74"/>
        <v>73482.442265623889</v>
      </c>
      <c r="AF106" s="19">
        <f t="shared" si="74"/>
        <v>75460.626190289884</v>
      </c>
      <c r="AG106" s="19">
        <f t="shared" si="74"/>
        <v>77495.892739262854</v>
      </c>
      <c r="AH106" s="19">
        <f t="shared" si="74"/>
        <v>79589.931762337641</v>
      </c>
      <c r="AI106" s="19">
        <f t="shared" si="74"/>
        <v>81744.483578513624</v>
      </c>
      <c r="AJ106" s="19">
        <f t="shared" si="74"/>
        <v>83961.34048780796</v>
      </c>
      <c r="AK106" s="27">
        <f t="shared" si="74"/>
        <v>86242.34832840052</v>
      </c>
    </row>
    <row r="107" spans="1:37" s="53" customFormat="1" ht="38.25" customHeight="1" x14ac:dyDescent="0.25">
      <c r="A107" s="5"/>
      <c r="B107" s="48"/>
      <c r="E107" s="37"/>
      <c r="F107" s="204"/>
      <c r="G107" s="69" t="s">
        <v>113</v>
      </c>
      <c r="H107" s="60">
        <f>IF(H106&lt;10084,0,
IF(AND(H106&gt;10084,H106&lt;=25710),(H106-10084)*0.11,
IF(AND(H106&gt;25710,H106&lt;=73516),(H106-25710)*0.3+1721.06,
IF(AND(H106&gt;73516,H106&lt;=158122),(H106-73516)*0.41+16062.86,
IF(H106&gt;158122,(H106-158122)*0.45+50751.32,
0)))))</f>
        <v>6158.0599999999995</v>
      </c>
      <c r="I107" s="19">
        <f t="shared" ref="I107:N107" si="75">IF(I106&lt;10084,0,
IF(AND(I106&gt;10084,I106&lt;=25710),(I106-10084)*0.11,
IF(AND(I106&gt;25710,I106&lt;=73516),(I106-25710)*0.3+1721.06,
IF(AND(I106&gt;73516,I106&lt;=158122),(I106-73516)*0.41+16062.86,
IF(I106&gt;158122,(I106-158122)*0.45+50751.32,
0)))))</f>
        <v>6468.5599999999995</v>
      </c>
      <c r="J107" s="19">
        <f t="shared" si="75"/>
        <v>6787.8349999999991</v>
      </c>
      <c r="K107" s="19">
        <f t="shared" si="75"/>
        <v>7116.142850000002</v>
      </c>
      <c r="L107" s="19">
        <f t="shared" si="75"/>
        <v>7453.7490815000019</v>
      </c>
      <c r="M107" s="19">
        <f t="shared" si="75"/>
        <v>7800.9271374050004</v>
      </c>
      <c r="N107" s="19">
        <f t="shared" si="75"/>
        <v>8157.9586088217511</v>
      </c>
      <c r="O107" s="19">
        <f t="shared" ref="O107:AK107" si="76">IF(O106&lt;10084,0,
IF(AND(O106&gt;10084,O106&lt;=25710),(O106-10084)*0.11,
IF(AND(O106&gt;25710,O106&lt;=73516),(O106-25710)*0.3+1721.06,
IF(AND(O106&gt;73516,O106&lt;=158122),(O106-73516)*0.41+16062.86,
IF(O106&gt;158122,(O106-158122)*0.45+50751.32,
0)))))</f>
        <v>8525.1334789539469</v>
      </c>
      <c r="P107" s="19">
        <f t="shared" si="76"/>
        <v>8902.7503743087855</v>
      </c>
      <c r="Q107" s="19">
        <f t="shared" si="76"/>
        <v>9291.1168234341349</v>
      </c>
      <c r="R107" s="19">
        <f t="shared" si="76"/>
        <v>9690.5495234122045</v>
      </c>
      <c r="S107" s="19">
        <f t="shared" si="76"/>
        <v>10101.374614342365</v>
      </c>
      <c r="T107" s="19">
        <f t="shared" si="76"/>
        <v>10523.927962052705</v>
      </c>
      <c r="U107" s="19">
        <f t="shared" si="76"/>
        <v>10958.55544928716</v>
      </c>
      <c r="V107" s="19">
        <f t="shared" si="76"/>
        <v>11405.61327562238</v>
      </c>
      <c r="W107" s="19">
        <f t="shared" si="76"/>
        <v>11865.46826637622</v>
      </c>
      <c r="X107" s="19">
        <f t="shared" si="76"/>
        <v>12338.498190777525</v>
      </c>
      <c r="Y107" s="19">
        <f t="shared" si="76"/>
        <v>12825.09208967497</v>
      </c>
      <c r="Z107" s="19">
        <f t="shared" si="76"/>
        <v>13325.650613071084</v>
      </c>
      <c r="AA107" s="19">
        <f t="shared" si="76"/>
        <v>13840.58636777613</v>
      </c>
      <c r="AB107" s="19">
        <f t="shared" si="76"/>
        <v>14370.324275485465</v>
      </c>
      <c r="AC107" s="19">
        <f t="shared" si="76"/>
        <v>14915.301941592839</v>
      </c>
      <c r="AD107" s="19">
        <f t="shared" si="76"/>
        <v>15475.970035061862</v>
      </c>
      <c r="AE107" s="19">
        <f t="shared" si="76"/>
        <v>16052.792679687165</v>
      </c>
      <c r="AF107" s="19">
        <f t="shared" si="76"/>
        <v>16860.156738018854</v>
      </c>
      <c r="AG107" s="19">
        <f t="shared" si="76"/>
        <v>17694.616023097769</v>
      </c>
      <c r="AH107" s="19">
        <f t="shared" si="76"/>
        <v>18553.172022558432</v>
      </c>
      <c r="AI107" s="19">
        <f t="shared" si="76"/>
        <v>19436.538267190586</v>
      </c>
      <c r="AJ107" s="19">
        <f t="shared" si="76"/>
        <v>20345.449600001266</v>
      </c>
      <c r="AK107" s="27">
        <f t="shared" si="76"/>
        <v>21280.662814644213</v>
      </c>
    </row>
    <row r="108" spans="1:37" s="53" customFormat="1" ht="38.25" customHeight="1" x14ac:dyDescent="0.25">
      <c r="A108" s="5"/>
      <c r="B108" s="48"/>
      <c r="E108" s="37"/>
      <c r="F108" s="204"/>
      <c r="G108" s="69" t="s">
        <v>114</v>
      </c>
      <c r="H108" s="60">
        <f t="shared" ref="H108:N108" si="77">IF($C$32=0,H107,H107*2)</f>
        <v>6158.0599999999995</v>
      </c>
      <c r="I108" s="19">
        <f t="shared" si="77"/>
        <v>6468.5599999999995</v>
      </c>
      <c r="J108" s="19">
        <f t="shared" si="77"/>
        <v>6787.8349999999991</v>
      </c>
      <c r="K108" s="19">
        <f t="shared" si="77"/>
        <v>7116.142850000002</v>
      </c>
      <c r="L108" s="19">
        <f t="shared" si="77"/>
        <v>7453.7490815000019</v>
      </c>
      <c r="M108" s="19">
        <f t="shared" si="77"/>
        <v>7800.9271374050004</v>
      </c>
      <c r="N108" s="19">
        <f t="shared" si="77"/>
        <v>8157.9586088217511</v>
      </c>
      <c r="O108" s="19">
        <f t="shared" ref="O108:AK108" si="78">IF($C$32=0,O107,O107*2)</f>
        <v>8525.1334789539469</v>
      </c>
      <c r="P108" s="19">
        <f t="shared" si="78"/>
        <v>8902.7503743087855</v>
      </c>
      <c r="Q108" s="19">
        <f t="shared" si="78"/>
        <v>9291.1168234341349</v>
      </c>
      <c r="R108" s="19">
        <f t="shared" si="78"/>
        <v>9690.5495234122045</v>
      </c>
      <c r="S108" s="19">
        <f t="shared" si="78"/>
        <v>10101.374614342365</v>
      </c>
      <c r="T108" s="19">
        <f t="shared" si="78"/>
        <v>10523.927962052705</v>
      </c>
      <c r="U108" s="19">
        <f t="shared" si="78"/>
        <v>10958.55544928716</v>
      </c>
      <c r="V108" s="19">
        <f t="shared" si="78"/>
        <v>11405.61327562238</v>
      </c>
      <c r="W108" s="19">
        <f t="shared" si="78"/>
        <v>11865.46826637622</v>
      </c>
      <c r="X108" s="19">
        <f t="shared" si="78"/>
        <v>12338.498190777525</v>
      </c>
      <c r="Y108" s="19">
        <f t="shared" si="78"/>
        <v>12825.09208967497</v>
      </c>
      <c r="Z108" s="19">
        <f t="shared" si="78"/>
        <v>13325.650613071084</v>
      </c>
      <c r="AA108" s="19">
        <f t="shared" si="78"/>
        <v>13840.58636777613</v>
      </c>
      <c r="AB108" s="19">
        <f t="shared" si="78"/>
        <v>14370.324275485465</v>
      </c>
      <c r="AC108" s="19">
        <f t="shared" si="78"/>
        <v>14915.301941592839</v>
      </c>
      <c r="AD108" s="19">
        <f t="shared" si="78"/>
        <v>15475.970035061862</v>
      </c>
      <c r="AE108" s="19">
        <f t="shared" si="78"/>
        <v>16052.792679687165</v>
      </c>
      <c r="AF108" s="19">
        <f t="shared" si="78"/>
        <v>16860.156738018854</v>
      </c>
      <c r="AG108" s="19">
        <f t="shared" si="78"/>
        <v>17694.616023097769</v>
      </c>
      <c r="AH108" s="19">
        <f t="shared" si="78"/>
        <v>18553.172022558432</v>
      </c>
      <c r="AI108" s="19">
        <f t="shared" si="78"/>
        <v>19436.538267190586</v>
      </c>
      <c r="AJ108" s="19">
        <f t="shared" si="78"/>
        <v>20345.449600001266</v>
      </c>
      <c r="AK108" s="27">
        <f t="shared" si="78"/>
        <v>21280.662814644213</v>
      </c>
    </row>
    <row r="109" spans="1:37" s="74" customFormat="1" ht="38.25" customHeight="1" x14ac:dyDescent="0.25">
      <c r="A109" s="76"/>
      <c r="B109" s="40"/>
      <c r="F109" s="204"/>
      <c r="G109" s="69" t="s">
        <v>115</v>
      </c>
      <c r="H109" s="60">
        <f t="shared" ref="H109:N109" si="79">H105/$C$34</f>
        <v>40500</v>
      </c>
      <c r="I109" s="19">
        <f t="shared" si="79"/>
        <v>41535</v>
      </c>
      <c r="J109" s="19">
        <f t="shared" si="79"/>
        <v>42599.25</v>
      </c>
      <c r="K109" s="19">
        <f t="shared" si="79"/>
        <v>43693.609500000006</v>
      </c>
      <c r="L109" s="19">
        <f t="shared" si="79"/>
        <v>44818.963605000004</v>
      </c>
      <c r="M109" s="19">
        <f t="shared" si="79"/>
        <v>45976.223791349999</v>
      </c>
      <c r="N109" s="19">
        <f t="shared" si="79"/>
        <v>47166.328696072502</v>
      </c>
      <c r="O109" s="19">
        <f t="shared" ref="O109:AK109" si="80">O105/$C$34</f>
        <v>48390.244929846493</v>
      </c>
      <c r="P109" s="19">
        <f t="shared" si="80"/>
        <v>49648.96791436262</v>
      </c>
      <c r="Q109" s="19">
        <f t="shared" si="80"/>
        <v>50943.52274478045</v>
      </c>
      <c r="R109" s="19">
        <f t="shared" si="80"/>
        <v>52274.965078040681</v>
      </c>
      <c r="S109" s="19">
        <f t="shared" si="80"/>
        <v>53644.382047807885</v>
      </c>
      <c r="T109" s="19">
        <f t="shared" si="80"/>
        <v>55052.893206842353</v>
      </c>
      <c r="U109" s="19">
        <f t="shared" si="80"/>
        <v>56501.651497623869</v>
      </c>
      <c r="V109" s="19">
        <f t="shared" si="80"/>
        <v>57991.844252074603</v>
      </c>
      <c r="W109" s="19">
        <f t="shared" si="80"/>
        <v>59524.694221254067</v>
      </c>
      <c r="X109" s="19">
        <f t="shared" si="80"/>
        <v>61101.46063592509</v>
      </c>
      <c r="Y109" s="19">
        <f t="shared" si="80"/>
        <v>62723.440298916568</v>
      </c>
      <c r="Z109" s="19">
        <f t="shared" si="80"/>
        <v>64391.96871023695</v>
      </c>
      <c r="AA109" s="19">
        <f t="shared" si="80"/>
        <v>66108.421225920436</v>
      </c>
      <c r="AB109" s="19">
        <f t="shared" si="80"/>
        <v>67874.214251618221</v>
      </c>
      <c r="AC109" s="19">
        <f t="shared" si="80"/>
        <v>69690.806471976131</v>
      </c>
      <c r="AD109" s="19">
        <f t="shared" si="80"/>
        <v>71559.700116872875</v>
      </c>
      <c r="AE109" s="19">
        <f t="shared" si="80"/>
        <v>73482.442265623889</v>
      </c>
      <c r="AF109" s="19">
        <f t="shared" si="80"/>
        <v>75460.626190289884</v>
      </c>
      <c r="AG109" s="19">
        <f t="shared" si="80"/>
        <v>77495.892739262854</v>
      </c>
      <c r="AH109" s="19">
        <f t="shared" si="80"/>
        <v>79589.931762337641</v>
      </c>
      <c r="AI109" s="19">
        <f t="shared" si="80"/>
        <v>81744.483578513624</v>
      </c>
      <c r="AJ109" s="19">
        <f t="shared" si="80"/>
        <v>83961.34048780796</v>
      </c>
      <c r="AK109" s="27">
        <f t="shared" si="80"/>
        <v>86242.34832840052</v>
      </c>
    </row>
    <row r="110" spans="1:37" s="53" customFormat="1" ht="38.25" customHeight="1" x14ac:dyDescent="0.25">
      <c r="A110" s="5"/>
      <c r="B110" s="48"/>
      <c r="E110" s="37"/>
      <c r="F110" s="204"/>
      <c r="G110" s="69" t="s">
        <v>116</v>
      </c>
      <c r="H110" s="60">
        <f>IF(H109&lt;10084,0,
IF(AND(H109&gt;10084,H109&lt;=25710),(H109-10084)*0.11,
IF(AND(H109&gt;25710,H109&lt;=73516),(H109-25710)*0.3+1721.06,
IF(AND(H109&gt;73516,H109&lt;=158122),(H109-73516)*0.41+16062.86,
IF(H109&gt;158122,(H109-158122)*0.45+50751.32,
0)))))</f>
        <v>6158.0599999999995</v>
      </c>
      <c r="I110" s="19">
        <f t="shared" ref="I110:N110" si="81">IF(I109&lt;10084,0,
IF(AND(I109&gt;10084,I109&lt;=25710),(I109-10084)*0.11,
IF(AND(I109&gt;25710,I109&lt;=73516),(I109-25710)*0.3+1721.06,
IF(AND(I109&gt;73516,I109&lt;=158122),(I109-73516)*0.41+16062.86,
IF(I109&gt;158122,(I109-158122)*0.45+50751.32,
0)))))</f>
        <v>6468.5599999999995</v>
      </c>
      <c r="J110" s="19">
        <f t="shared" si="81"/>
        <v>6787.8349999999991</v>
      </c>
      <c r="K110" s="19">
        <f t="shared" si="81"/>
        <v>7116.142850000002</v>
      </c>
      <c r="L110" s="19">
        <f t="shared" si="81"/>
        <v>7453.7490815000019</v>
      </c>
      <c r="M110" s="19">
        <f t="shared" si="81"/>
        <v>7800.9271374050004</v>
      </c>
      <c r="N110" s="19">
        <f t="shared" si="81"/>
        <v>8157.9586088217511</v>
      </c>
      <c r="O110" s="19">
        <f t="shared" ref="O110:AK110" si="82">IF(O109&lt;10084,0,
IF(AND(O109&gt;10084,O109&lt;=25710),(O109-10084)*0.11,
IF(AND(O109&gt;25710,O109&lt;=73516),(O109-25710)*0.3+1721.06,
IF(AND(O109&gt;73516,O109&lt;=158122),(O109-73516)*0.41+16062.86,
IF(O109&gt;158122,(O109-158122)*0.45+50751.32,
0)))))</f>
        <v>8525.1334789539469</v>
      </c>
      <c r="P110" s="19">
        <f t="shared" si="82"/>
        <v>8902.7503743087855</v>
      </c>
      <c r="Q110" s="19">
        <f t="shared" si="82"/>
        <v>9291.1168234341349</v>
      </c>
      <c r="R110" s="19">
        <f t="shared" si="82"/>
        <v>9690.5495234122045</v>
      </c>
      <c r="S110" s="19">
        <f t="shared" si="82"/>
        <v>10101.374614342365</v>
      </c>
      <c r="T110" s="19">
        <f t="shared" si="82"/>
        <v>10523.927962052705</v>
      </c>
      <c r="U110" s="19">
        <f t="shared" si="82"/>
        <v>10958.55544928716</v>
      </c>
      <c r="V110" s="19">
        <f t="shared" si="82"/>
        <v>11405.61327562238</v>
      </c>
      <c r="W110" s="19">
        <f t="shared" si="82"/>
        <v>11865.46826637622</v>
      </c>
      <c r="X110" s="19">
        <f t="shared" si="82"/>
        <v>12338.498190777525</v>
      </c>
      <c r="Y110" s="19">
        <f t="shared" si="82"/>
        <v>12825.09208967497</v>
      </c>
      <c r="Z110" s="19">
        <f t="shared" si="82"/>
        <v>13325.650613071084</v>
      </c>
      <c r="AA110" s="19">
        <f t="shared" si="82"/>
        <v>13840.58636777613</v>
      </c>
      <c r="AB110" s="19">
        <f t="shared" si="82"/>
        <v>14370.324275485465</v>
      </c>
      <c r="AC110" s="19">
        <f t="shared" si="82"/>
        <v>14915.301941592839</v>
      </c>
      <c r="AD110" s="19">
        <f t="shared" si="82"/>
        <v>15475.970035061862</v>
      </c>
      <c r="AE110" s="19">
        <f t="shared" si="82"/>
        <v>16052.792679687165</v>
      </c>
      <c r="AF110" s="19">
        <f t="shared" si="82"/>
        <v>16860.156738018854</v>
      </c>
      <c r="AG110" s="19">
        <f t="shared" si="82"/>
        <v>17694.616023097769</v>
      </c>
      <c r="AH110" s="19">
        <f t="shared" si="82"/>
        <v>18553.172022558432</v>
      </c>
      <c r="AI110" s="19">
        <f t="shared" si="82"/>
        <v>19436.538267190586</v>
      </c>
      <c r="AJ110" s="19">
        <f t="shared" si="82"/>
        <v>20345.449600001266</v>
      </c>
      <c r="AK110" s="27">
        <f t="shared" si="82"/>
        <v>21280.662814644213</v>
      </c>
    </row>
    <row r="111" spans="1:37" s="53" customFormat="1" ht="38.25" customHeight="1" x14ac:dyDescent="0.25">
      <c r="A111" s="5"/>
      <c r="B111" s="48"/>
      <c r="E111" s="37"/>
      <c r="F111" s="204"/>
      <c r="G111" s="69" t="s">
        <v>117</v>
      </c>
      <c r="H111" s="60">
        <f t="shared" ref="H111:N111" si="83">H110*$C$34</f>
        <v>6158.0599999999995</v>
      </c>
      <c r="I111" s="19">
        <f t="shared" si="83"/>
        <v>6468.5599999999995</v>
      </c>
      <c r="J111" s="19">
        <f t="shared" si="83"/>
        <v>6787.8349999999991</v>
      </c>
      <c r="K111" s="19">
        <f t="shared" si="83"/>
        <v>7116.142850000002</v>
      </c>
      <c r="L111" s="19">
        <f t="shared" si="83"/>
        <v>7453.7490815000019</v>
      </c>
      <c r="M111" s="19">
        <f t="shared" si="83"/>
        <v>7800.9271374050004</v>
      </c>
      <c r="N111" s="19">
        <f t="shared" si="83"/>
        <v>8157.9586088217511</v>
      </c>
      <c r="O111" s="19">
        <f t="shared" ref="O111:AK111" si="84">O110*$C$34</f>
        <v>8525.1334789539469</v>
      </c>
      <c r="P111" s="19">
        <f t="shared" si="84"/>
        <v>8902.7503743087855</v>
      </c>
      <c r="Q111" s="19">
        <f t="shared" si="84"/>
        <v>9291.1168234341349</v>
      </c>
      <c r="R111" s="19">
        <f t="shared" si="84"/>
        <v>9690.5495234122045</v>
      </c>
      <c r="S111" s="19">
        <f t="shared" si="84"/>
        <v>10101.374614342365</v>
      </c>
      <c r="T111" s="19">
        <f t="shared" si="84"/>
        <v>10523.927962052705</v>
      </c>
      <c r="U111" s="19">
        <f t="shared" si="84"/>
        <v>10958.55544928716</v>
      </c>
      <c r="V111" s="19">
        <f t="shared" si="84"/>
        <v>11405.61327562238</v>
      </c>
      <c r="W111" s="19">
        <f t="shared" si="84"/>
        <v>11865.46826637622</v>
      </c>
      <c r="X111" s="19">
        <f t="shared" si="84"/>
        <v>12338.498190777525</v>
      </c>
      <c r="Y111" s="19">
        <f t="shared" si="84"/>
        <v>12825.09208967497</v>
      </c>
      <c r="Z111" s="19">
        <f t="shared" si="84"/>
        <v>13325.650613071084</v>
      </c>
      <c r="AA111" s="19">
        <f t="shared" si="84"/>
        <v>13840.58636777613</v>
      </c>
      <c r="AB111" s="19">
        <f t="shared" si="84"/>
        <v>14370.324275485465</v>
      </c>
      <c r="AC111" s="19">
        <f t="shared" si="84"/>
        <v>14915.301941592839</v>
      </c>
      <c r="AD111" s="19">
        <f t="shared" si="84"/>
        <v>15475.970035061862</v>
      </c>
      <c r="AE111" s="19">
        <f t="shared" si="84"/>
        <v>16052.792679687165</v>
      </c>
      <c r="AF111" s="19">
        <f t="shared" si="84"/>
        <v>16860.156738018854</v>
      </c>
      <c r="AG111" s="19">
        <f t="shared" si="84"/>
        <v>17694.616023097769</v>
      </c>
      <c r="AH111" s="19">
        <f t="shared" si="84"/>
        <v>18553.172022558432</v>
      </c>
      <c r="AI111" s="19">
        <f t="shared" si="84"/>
        <v>19436.538267190586</v>
      </c>
      <c r="AJ111" s="19">
        <f t="shared" si="84"/>
        <v>20345.449600001266</v>
      </c>
      <c r="AK111" s="27">
        <f t="shared" si="84"/>
        <v>21280.662814644213</v>
      </c>
    </row>
    <row r="112" spans="1:37" s="53" customFormat="1" ht="38.25" customHeight="1" x14ac:dyDescent="0.25">
      <c r="A112" s="5"/>
      <c r="B112" s="48"/>
      <c r="E112" s="37"/>
      <c r="F112" s="204"/>
      <c r="G112" s="69" t="s">
        <v>118</v>
      </c>
      <c r="H112" s="60">
        <f>IF(H108-H42&gt;H111,H108-H42,H111)</f>
        <v>6158.0599999999995</v>
      </c>
      <c r="I112" s="19">
        <f>IF(I108-I42&gt;I111,I108-I42,I111)</f>
        <v>6468.5599999999995</v>
      </c>
      <c r="J112" s="19">
        <f>IF(J108-J42&gt;J111,J108-J42,J111)</f>
        <v>6787.8349999999991</v>
      </c>
      <c r="K112" s="19">
        <f>IF(K108-K42&gt;K111,K108-K42,K111)</f>
        <v>7116.142850000002</v>
      </c>
      <c r="L112" s="19">
        <f>IF(L108-L42&gt;L111,L108-L42,L111)</f>
        <v>7453.7490815000019</v>
      </c>
      <c r="M112" s="19">
        <f>IF(M108-M42&gt;M111,M108-M42,M111)</f>
        <v>7800.9271374050004</v>
      </c>
      <c r="N112" s="19">
        <f>IF(N108-N42&gt;N111,N108-N42,N111)</f>
        <v>8157.9586088217511</v>
      </c>
      <c r="O112" s="19">
        <f>IF(O108-O42&gt;O111,O108-O42,O111)</f>
        <v>8525.1334789539469</v>
      </c>
      <c r="P112" s="19">
        <f>IF(P108-P42&gt;P111,P108-P42,P111)</f>
        <v>8902.7503743087855</v>
      </c>
      <c r="Q112" s="19">
        <f>IF(Q108-Q42&gt;Q111,Q108-Q42,Q111)</f>
        <v>9291.1168234341349</v>
      </c>
      <c r="R112" s="19">
        <f>IF(R108-R42&gt;R111,R108-R42,R111)</f>
        <v>9690.5495234122045</v>
      </c>
      <c r="S112" s="19">
        <f>IF(S108-S42&gt;S111,S108-S42,S111)</f>
        <v>10101.374614342365</v>
      </c>
      <c r="T112" s="19">
        <f>IF(T108-T42&gt;T111,T108-T42,T111)</f>
        <v>10523.927962052705</v>
      </c>
      <c r="U112" s="19">
        <f>IF(U108-U42&gt;U111,U108-U42,U111)</f>
        <v>10958.55544928716</v>
      </c>
      <c r="V112" s="19">
        <f>IF(V108-V42&gt;V111,V108-V42,V111)</f>
        <v>11405.61327562238</v>
      </c>
      <c r="W112" s="19">
        <f>IF(W108-W42&gt;W111,W108-W42,W111)</f>
        <v>11865.46826637622</v>
      </c>
      <c r="X112" s="19">
        <f>IF(X108-X42&gt;X111,X108-X42,X111)</f>
        <v>12338.498190777525</v>
      </c>
      <c r="Y112" s="19">
        <f>IF(Y108-Y42&gt;Y111,Y108-Y42,Y111)</f>
        <v>12825.09208967497</v>
      </c>
      <c r="Z112" s="19">
        <f>IF(Z108-Z42&gt;Z111,Z108-Z42,Z111)</f>
        <v>13325.650613071084</v>
      </c>
      <c r="AA112" s="19">
        <f>IF(AA108-AA42&gt;AA111,AA108-AA42,AA111)</f>
        <v>13840.58636777613</v>
      </c>
      <c r="AB112" s="19">
        <f>IF(AB108-AB42&gt;AB111,AB108-AB42,AB111)</f>
        <v>14370.324275485465</v>
      </c>
      <c r="AC112" s="19">
        <f>IF(AC108-AC42&gt;AC111,AC108-AC42,AC111)</f>
        <v>14915.301941592839</v>
      </c>
      <c r="AD112" s="19">
        <f>IF(AD108-AD42&gt;AD111,AD108-AD42,AD111)</f>
        <v>15475.970035061862</v>
      </c>
      <c r="AE112" s="19">
        <f>IF(AE108-AE42&gt;AE111,AE108-AE42,AE111)</f>
        <v>16052.792679687165</v>
      </c>
      <c r="AF112" s="19">
        <f>IF(AF108-AF42&gt;AF111,AF108-AF42,AF111)</f>
        <v>16860.156738018854</v>
      </c>
      <c r="AG112" s="19">
        <f>IF(AG108-AG42&gt;AG111,AG108-AG42,AG111)</f>
        <v>17694.616023097769</v>
      </c>
      <c r="AH112" s="19">
        <f>IF(AH108-AH42&gt;AH111,AH108-AH42,AH111)</f>
        <v>18553.172022558432</v>
      </c>
      <c r="AI112" s="19">
        <f>IF(AI108-AI42&gt;AI111,AI108-AI42,AI111)</f>
        <v>19436.538267190586</v>
      </c>
      <c r="AJ112" s="19">
        <f>IF(AJ108-AJ42&gt;AJ111,AJ108-AJ42,AJ111)</f>
        <v>20345.449600001266</v>
      </c>
      <c r="AK112" s="27">
        <f>IF(AK108-AK42&gt;AK111,AK108-AK42,AK111)</f>
        <v>21280.662814644213</v>
      </c>
    </row>
    <row r="113" spans="1:37" s="53" customFormat="1" ht="38.25" customHeight="1" x14ac:dyDescent="0.25">
      <c r="A113" s="5"/>
      <c r="B113" s="48"/>
      <c r="E113" s="37"/>
      <c r="F113" s="204"/>
      <c r="G113" s="69" t="s">
        <v>119</v>
      </c>
      <c r="H113" s="60">
        <f>H104*0.172</f>
        <v>1547.9999999999998</v>
      </c>
      <c r="I113" s="19">
        <f t="shared" ref="I113:N113" si="85">I104*0.172</f>
        <v>1563.4799999999998</v>
      </c>
      <c r="J113" s="19">
        <f t="shared" si="85"/>
        <v>1579.1148000000001</v>
      </c>
      <c r="K113" s="19">
        <f t="shared" si="85"/>
        <v>1594.9059479999996</v>
      </c>
      <c r="L113" s="19">
        <f t="shared" si="85"/>
        <v>1610.85500748</v>
      </c>
      <c r="M113" s="19">
        <f t="shared" si="85"/>
        <v>1626.9635575547998</v>
      </c>
      <c r="N113" s="19">
        <f t="shared" si="85"/>
        <v>1643.2331931303484</v>
      </c>
      <c r="O113" s="19">
        <f t="shared" ref="O113:AK113" si="86">O104*0.172</f>
        <v>1659.6655250616511</v>
      </c>
      <c r="P113" s="19">
        <f t="shared" si="86"/>
        <v>1676.2621803122681</v>
      </c>
      <c r="Q113" s="19">
        <f t="shared" si="86"/>
        <v>1693.0248021153911</v>
      </c>
      <c r="R113" s="19">
        <f t="shared" si="86"/>
        <v>1709.9550501365447</v>
      </c>
      <c r="S113" s="19">
        <f t="shared" si="86"/>
        <v>1727.05460063791</v>
      </c>
      <c r="T113" s="19">
        <f t="shared" si="86"/>
        <v>1744.3251466442889</v>
      </c>
      <c r="U113" s="19">
        <f t="shared" si="86"/>
        <v>1761.7683981107321</v>
      </c>
      <c r="V113" s="19">
        <f t="shared" si="86"/>
        <v>1779.3860820918396</v>
      </c>
      <c r="W113" s="19">
        <f t="shared" si="86"/>
        <v>1797.1799429127575</v>
      </c>
      <c r="X113" s="19">
        <f t="shared" si="86"/>
        <v>1815.1517423418857</v>
      </c>
      <c r="Y113" s="19">
        <f t="shared" si="86"/>
        <v>1833.3032597653043</v>
      </c>
      <c r="Z113" s="19">
        <f t="shared" si="86"/>
        <v>1851.6362923629576</v>
      </c>
      <c r="AA113" s="19">
        <f t="shared" si="86"/>
        <v>1870.1526552865869</v>
      </c>
      <c r="AB113" s="19">
        <f t="shared" si="86"/>
        <v>1888.8541818394526</v>
      </c>
      <c r="AC113" s="19">
        <f t="shared" si="86"/>
        <v>1907.7427236578474</v>
      </c>
      <c r="AD113" s="19">
        <f t="shared" si="86"/>
        <v>1926.8201508944262</v>
      </c>
      <c r="AE113" s="19">
        <f t="shared" si="86"/>
        <v>1946.08835240337</v>
      </c>
      <c r="AF113" s="19">
        <f t="shared" si="86"/>
        <v>1965.549235927404</v>
      </c>
      <c r="AG113" s="19">
        <f t="shared" si="86"/>
        <v>1985.2047282866783</v>
      </c>
      <c r="AH113" s="19">
        <f t="shared" si="86"/>
        <v>2005.0567755695454</v>
      </c>
      <c r="AI113" s="19">
        <f t="shared" si="86"/>
        <v>2025.10734332524</v>
      </c>
      <c r="AJ113" s="19">
        <f t="shared" si="86"/>
        <v>2045.3584167584927</v>
      </c>
      <c r="AK113" s="27">
        <f t="shared" si="86"/>
        <v>2065.8120009260774</v>
      </c>
    </row>
    <row r="114" spans="1:37" s="53" customFormat="1" ht="38.25" customHeight="1" x14ac:dyDescent="0.25">
      <c r="A114" s="5"/>
      <c r="B114" s="48"/>
      <c r="E114" s="37"/>
      <c r="F114" s="204"/>
      <c r="G114" s="70" t="s">
        <v>108</v>
      </c>
      <c r="H114" s="60">
        <f>H112-H46</f>
        <v>2699.9999999999995</v>
      </c>
      <c r="I114" s="19">
        <f>I112-I46</f>
        <v>2726.9999999999995</v>
      </c>
      <c r="J114" s="19">
        <f>J112-J46</f>
        <v>2754.2699999999995</v>
      </c>
      <c r="K114" s="19">
        <f>K112-K46</f>
        <v>2781.8127000000013</v>
      </c>
      <c r="L114" s="19">
        <f>L112-L46</f>
        <v>2809.6308270000018</v>
      </c>
      <c r="M114" s="19">
        <f>M112-M46</f>
        <v>2837.7271352700018</v>
      </c>
      <c r="N114" s="19">
        <f>N112-N46</f>
        <v>2866.1044066227023</v>
      </c>
      <c r="O114" s="19">
        <f>O112-O46</f>
        <v>2894.7654506889266</v>
      </c>
      <c r="P114" s="19">
        <f>P112-P46</f>
        <v>2923.7131051958149</v>
      </c>
      <c r="Q114" s="19">
        <f>Q112-Q46</f>
        <v>2952.950236247776</v>
      </c>
      <c r="R114" s="19">
        <f>R112-R46</f>
        <v>2982.4797386102528</v>
      </c>
      <c r="S114" s="19">
        <f>S112-S46</f>
        <v>3012.3045359963562</v>
      </c>
      <c r="T114" s="19">
        <f>T112-T46</f>
        <v>3042.4275813563181</v>
      </c>
      <c r="U114" s="19">
        <f>U112-U46</f>
        <v>3072.8518571698805</v>
      </c>
      <c r="V114" s="19">
        <f>V112-V46</f>
        <v>3103.5803757415797</v>
      </c>
      <c r="W114" s="19">
        <f>W112-W46</f>
        <v>3134.6161794989948</v>
      </c>
      <c r="X114" s="19">
        <f>X112-X46</f>
        <v>3165.9623412939873</v>
      </c>
      <c r="Y114" s="19">
        <f>Y112-Y46</f>
        <v>3197.6219647069265</v>
      </c>
      <c r="Z114" s="19">
        <f>Z112-Z46</f>
        <v>3229.5981843539976</v>
      </c>
      <c r="AA114" s="19">
        <f>AA112-AA46</f>
        <v>3261.8941661975332</v>
      </c>
      <c r="AB114" s="19">
        <f>AB112-AB46</f>
        <v>3294.5131078595114</v>
      </c>
      <c r="AC114" s="19">
        <f>AC112-AC46</f>
        <v>3327.4582389381067</v>
      </c>
      <c r="AD114" s="19">
        <f>AD112-AD46</f>
        <v>3360.7328213274905</v>
      </c>
      <c r="AE114" s="19">
        <f>AE112-AE46</f>
        <v>3394.3401495407597</v>
      </c>
      <c r="AF114" s="19">
        <f>AF112-AF46</f>
        <v>3642.1924319680566</v>
      </c>
      <c r="AG114" s="19">
        <f>AG112-AG46</f>
        <v>3900.3545878654459</v>
      </c>
      <c r="AH114" s="19">
        <f>AH112-AH46</f>
        <v>4165.3245442691386</v>
      </c>
      <c r="AI114" s="19">
        <f>AI112-AI46</f>
        <v>4437.2971645526159</v>
      </c>
      <c r="AJ114" s="19">
        <f>AJ112-AJ46</f>
        <v>4716.4730642841569</v>
      </c>
      <c r="AK114" s="27">
        <f>AK112-AK46</f>
        <v>4924.3193045330936</v>
      </c>
    </row>
    <row r="115" spans="1:37" s="53" customFormat="1" ht="38.25" customHeight="1" x14ac:dyDescent="0.25">
      <c r="A115" s="5"/>
      <c r="B115" s="48"/>
      <c r="E115" s="37"/>
      <c r="F115" s="204"/>
      <c r="G115" s="167" t="s">
        <v>120</v>
      </c>
      <c r="H115" s="161">
        <f>H12-H19-H26-H14-H114-H113</f>
        <v>-2837.7109046832747</v>
      </c>
      <c r="I115" s="162">
        <f>I12-I19-I26-I14-I114-I113</f>
        <v>-2745.1909046832752</v>
      </c>
      <c r="J115" s="162">
        <f>J12-J19-J26-J14-J114-J113</f>
        <v>-2651.7457046832733</v>
      </c>
      <c r="K115" s="162">
        <f>K12-K19-K26-K14-K114-K113</f>
        <v>-2557.3660526832782</v>
      </c>
      <c r="L115" s="162">
        <f>L12-L19-L26-L14-L114-L113</f>
        <v>-2462.042604163275</v>
      </c>
      <c r="M115" s="162">
        <f>M12-M19-M26-M14-M114-M113</f>
        <v>-2365.7659211580785</v>
      </c>
      <c r="N115" s="162">
        <f>N12-N19-N26-N14-N114-N113</f>
        <v>-2268.5264713228221</v>
      </c>
      <c r="O115" s="162">
        <f>O12-O19-O26-O14-O114-O113</f>
        <v>-2170.3146269892204</v>
      </c>
      <c r="P115" s="162">
        <f>P12-P19-P26-P14-P114-P113</f>
        <v>-2071.1206642122752</v>
      </c>
      <c r="Q115" s="162">
        <f>Q12-Q19-Q26-Q14-Q114-Q113</f>
        <v>-1970.9347618075681</v>
      </c>
      <c r="R115" s="162">
        <f>R12-R19-R26-R14-R114-R113</f>
        <v>-1869.7470003788112</v>
      </c>
      <c r="S115" s="162">
        <f>S12-S19-S26-S14-S114-S113</f>
        <v>-1767.5473613357681</v>
      </c>
      <c r="T115" s="162">
        <f>T12-T19-T26-T14-T114-T113</f>
        <v>-1664.3257259022921</v>
      </c>
      <c r="U115" s="162">
        <f>U12-U19-U26-U14-U114-U113</f>
        <v>-1560.0718741144801</v>
      </c>
      <c r="V115" s="162">
        <f>V12-V19-V26-V14-V114-V113</f>
        <v>-1454.775483808791</v>
      </c>
      <c r="W115" s="162">
        <f>W12-W19-W26-W14-W114-W113</f>
        <v>-1348.4261296000466</v>
      </c>
      <c r="X115" s="162">
        <f>X12-X19-X26-X14-X114-X113</f>
        <v>-1241.0132818492141</v>
      </c>
      <c r="Y115" s="162">
        <f>Y12-Y19-Y26-Y14-Y114-Y113</f>
        <v>-1132.5263056208757</v>
      </c>
      <c r="Z115" s="162">
        <f>Z12-Z19-Z26-Z14-Z114-Z113</f>
        <v>-1022.9544596302485</v>
      </c>
      <c r="AA115" s="162">
        <f>AA12-AA19-AA26-AA14-AA114-AA113</f>
        <v>-912.28689517971702</v>
      </c>
      <c r="AB115" s="162">
        <f>AB12-AB19-AB26-AB14-AB114-AB113</f>
        <v>-800.51265508468464</v>
      </c>
      <c r="AC115" s="162">
        <f>AC12-AC19-AC26-AC14-AC114-AC113</f>
        <v>-687.62067258870002</v>
      </c>
      <c r="AD115" s="162">
        <f>AD12-AD19-AD26-AD14-AD114-AD113</f>
        <v>-573.59977026775277</v>
      </c>
      <c r="AE115" s="162">
        <f>AE12-AE19-AE26-AE14-AE114-AE113</f>
        <v>-458.43865892359577</v>
      </c>
      <c r="AF115" s="162">
        <f>AF12-AF19-AF26-AF14-AF114-AF113</f>
        <v>-556.0348173978864</v>
      </c>
      <c r="AG115" s="162">
        <f>AG12-AG19-AG26-AG14-AG114-AG113</f>
        <v>11227.272616580536</v>
      </c>
      <c r="AH115" s="162">
        <f>AH12-AH19-AH26-AH14-AH114-AH113</f>
        <v>11115.578932221308</v>
      </c>
      <c r="AI115" s="162">
        <f>AI12-AI19-AI26-AI14-AI114-AI113</f>
        <v>10998.415346702723</v>
      </c>
      <c r="AJ115" s="162">
        <f>AJ12-AJ19-AJ26-AJ14-AJ114-AJ113</f>
        <v>10875.596572083745</v>
      </c>
      <c r="AK115" s="163">
        <f>AK12-AK19-AK26-AK14-AK114-AK113</f>
        <v>10825.671028198485</v>
      </c>
    </row>
    <row r="116" spans="1:37" s="53" customFormat="1" ht="38.25" customHeight="1" x14ac:dyDescent="0.25">
      <c r="A116" s="5"/>
      <c r="B116" s="48"/>
      <c r="E116" s="37"/>
      <c r="F116" s="204"/>
      <c r="G116" s="167" t="s">
        <v>121</v>
      </c>
      <c r="H116" s="161">
        <f>IF(H10=1,H115,H115+G116)</f>
        <v>-2837.7109046832747</v>
      </c>
      <c r="I116" s="162">
        <f>IF(I10=1,I115,I115+H116)</f>
        <v>-5582.90180936655</v>
      </c>
      <c r="J116" s="162">
        <f>IF(J10=1,J115,J115+I116)</f>
        <v>-8234.6475140498223</v>
      </c>
      <c r="K116" s="162">
        <f>IF(K10=1,K115,K115+J116)</f>
        <v>-10792.013566733101</v>
      </c>
      <c r="L116" s="162">
        <f>IF(L10=1,L115,L115+K116)</f>
        <v>-13254.056170896376</v>
      </c>
      <c r="M116" s="162">
        <f>IF(M10=1,M115,M115+L116)</f>
        <v>-15619.822092054455</v>
      </c>
      <c r="N116" s="162">
        <f>IF(N10=1,N115,N115+M116)</f>
        <v>-17888.348563377276</v>
      </c>
      <c r="O116" s="162">
        <f>IF(O10=1,O115,O115+N116)</f>
        <v>-20058.663190366497</v>
      </c>
      <c r="P116" s="162">
        <f>IF(P10=1,P115,P115+O116)</f>
        <v>-22129.783854578771</v>
      </c>
      <c r="Q116" s="162">
        <f>IF(Q10=1,Q115,Q115+P116)</f>
        <v>-24100.718616386337</v>
      </c>
      <c r="R116" s="162">
        <f>IF(R10=1,R115,R115+Q116)</f>
        <v>-25970.465616765148</v>
      </c>
      <c r="S116" s="162">
        <f>IF(S10=1,S115,S115+R116)</f>
        <v>-27738.012978100916</v>
      </c>
      <c r="T116" s="162">
        <f>IF(T10=1,T115,T115+S116)</f>
        <v>-29402.33870400321</v>
      </c>
      <c r="U116" s="162">
        <f>IF(U10=1,U115,U115+T116)</f>
        <v>-30962.410578117691</v>
      </c>
      <c r="V116" s="162">
        <f>IF(V10=1,V115,V115+U116)</f>
        <v>-32417.186061926481</v>
      </c>
      <c r="W116" s="162">
        <f>IF(W10=1,W115,W115+V116)</f>
        <v>-33765.612191526525</v>
      </c>
      <c r="X116" s="162">
        <f>IF(X10=1,X115,X115+W116)</f>
        <v>-35006.625473375738</v>
      </c>
      <c r="Y116" s="162">
        <f>IF(Y10=1,Y115,Y115+X116)</f>
        <v>-36139.151778996616</v>
      </c>
      <c r="Z116" s="162">
        <f>IF(Z10=1,Z115,Z115+Y116)</f>
        <v>-37162.106238626868</v>
      </c>
      <c r="AA116" s="162">
        <f>IF(AA10=1,AA115,AA115+Z116)</f>
        <v>-38074.393133806581</v>
      </c>
      <c r="AB116" s="162">
        <f>IF(AB10=1,AB115,AB115+AA116)</f>
        <v>-38874.905788891265</v>
      </c>
      <c r="AC116" s="162">
        <f>IF(AC10=1,AC115,AC115+AB116)</f>
        <v>-39562.526461479967</v>
      </c>
      <c r="AD116" s="162">
        <f>IF(AD10=1,AD115,AD115+AC116)</f>
        <v>-40136.126231747723</v>
      </c>
      <c r="AE116" s="162">
        <f>IF(AE10=1,AE115,AE115+AD116)</f>
        <v>-40594.564890671318</v>
      </c>
      <c r="AF116" s="162">
        <f>IF(AF10=1,AF115,AF115+AE116)</f>
        <v>-41150.599708069203</v>
      </c>
      <c r="AG116" s="162">
        <f>IF(AG10=1,AG115,AG115+AF116)</f>
        <v>-29923.327091488667</v>
      </c>
      <c r="AH116" s="162">
        <f>IF(AH10=1,AH115,AH115+AG116)</f>
        <v>-18807.748159267358</v>
      </c>
      <c r="AI116" s="162">
        <f>IF(AI10=1,AI115,AI115+AH116)</f>
        <v>-7809.3328125646349</v>
      </c>
      <c r="AJ116" s="162">
        <f>IF(AJ10=1,AJ115,AJ115+AI116)</f>
        <v>3066.26375951911</v>
      </c>
      <c r="AK116" s="163">
        <f>IF(AK10=1,AK115,AK115+AJ116)</f>
        <v>13891.934787717595</v>
      </c>
    </row>
    <row r="117" spans="1:37" s="53" customFormat="1" ht="38.25" customHeight="1" x14ac:dyDescent="0.25">
      <c r="A117" s="5"/>
      <c r="B117" s="48"/>
      <c r="E117" s="37"/>
      <c r="F117" s="204"/>
      <c r="G117" s="69" t="s">
        <v>166</v>
      </c>
      <c r="H117" s="60">
        <f>IF(H$10&lt;5,$C$13,
IF(AND(H$10&gt;=5,$C$13&gt;$C$11*0.15),$C$13,
IF(AND(H$10&gt;=5,$C$13&lt;=$C$11*0.15),$C$11*0.15)))</f>
        <v>10000</v>
      </c>
      <c r="I117" s="19">
        <f t="shared" ref="I117:AK117" si="87">IF(I$10&lt;5,$C$13,
IF(AND(I$10&gt;=5,$C$13&gt;$C$11*0.15),$C$13,
IF(AND(I$10&gt;=5,$C$13&lt;=$C$11*0.15),$C$11*0.15)))</f>
        <v>10000</v>
      </c>
      <c r="J117" s="19">
        <f t="shared" si="87"/>
        <v>10000</v>
      </c>
      <c r="K117" s="19">
        <f t="shared" si="87"/>
        <v>10000</v>
      </c>
      <c r="L117" s="19">
        <f t="shared" si="87"/>
        <v>33000</v>
      </c>
      <c r="M117" s="19">
        <f t="shared" si="87"/>
        <v>33000</v>
      </c>
      <c r="N117" s="19">
        <f t="shared" si="87"/>
        <v>33000</v>
      </c>
      <c r="O117" s="19">
        <f t="shared" si="87"/>
        <v>33000</v>
      </c>
      <c r="P117" s="19">
        <f t="shared" si="87"/>
        <v>33000</v>
      </c>
      <c r="Q117" s="19">
        <f t="shared" si="87"/>
        <v>33000</v>
      </c>
      <c r="R117" s="19">
        <f t="shared" si="87"/>
        <v>33000</v>
      </c>
      <c r="S117" s="19">
        <f t="shared" si="87"/>
        <v>33000</v>
      </c>
      <c r="T117" s="19">
        <f t="shared" si="87"/>
        <v>33000</v>
      </c>
      <c r="U117" s="19">
        <f t="shared" si="87"/>
        <v>33000</v>
      </c>
      <c r="V117" s="19">
        <f t="shared" si="87"/>
        <v>33000</v>
      </c>
      <c r="W117" s="19">
        <f t="shared" si="87"/>
        <v>33000</v>
      </c>
      <c r="X117" s="19">
        <f t="shared" si="87"/>
        <v>33000</v>
      </c>
      <c r="Y117" s="19">
        <f t="shared" si="87"/>
        <v>33000</v>
      </c>
      <c r="Z117" s="19">
        <f t="shared" si="87"/>
        <v>33000</v>
      </c>
      <c r="AA117" s="19">
        <f t="shared" si="87"/>
        <v>33000</v>
      </c>
      <c r="AB117" s="19">
        <f t="shared" si="87"/>
        <v>33000</v>
      </c>
      <c r="AC117" s="19">
        <f t="shared" si="87"/>
        <v>33000</v>
      </c>
      <c r="AD117" s="19">
        <f t="shared" si="87"/>
        <v>33000</v>
      </c>
      <c r="AE117" s="19">
        <f t="shared" si="87"/>
        <v>33000</v>
      </c>
      <c r="AF117" s="19">
        <f t="shared" si="87"/>
        <v>33000</v>
      </c>
      <c r="AG117" s="19">
        <f t="shared" si="87"/>
        <v>33000</v>
      </c>
      <c r="AH117" s="19">
        <f t="shared" si="87"/>
        <v>33000</v>
      </c>
      <c r="AI117" s="19">
        <f t="shared" si="87"/>
        <v>33000</v>
      </c>
      <c r="AJ117" s="19">
        <f t="shared" si="87"/>
        <v>33000</v>
      </c>
      <c r="AK117" s="27">
        <f t="shared" si="87"/>
        <v>33000</v>
      </c>
    </row>
    <row r="118" spans="1:37" s="53" customFormat="1" ht="38.25" customHeight="1" x14ac:dyDescent="0.25">
      <c r="A118" s="5"/>
      <c r="B118" s="48"/>
      <c r="E118" s="37"/>
      <c r="F118" s="204"/>
      <c r="G118" s="69" t="s">
        <v>209</v>
      </c>
      <c r="H118" s="60">
        <f>IF(H$48-($C$11+$C$15*$C$11+H$117)&lt;0,0,
IF(H$48-($C$11+$C$15*$C$11+H$117)&gt;0,H$48-($C$11+$C$15*$C$11+H$117)))</f>
        <v>0</v>
      </c>
      <c r="I118" s="19">
        <f>IF(I$48-($C$11+$C$15*$C$11+I$117)&lt;0,0,
IF(I$48-($C$11+$C$15*$C$11+I$117)&gt;0,I$48-($C$11+$C$15*$C$11+I$117)))</f>
        <v>0</v>
      </c>
      <c r="J118" s="19">
        <f>IF(J$48-($C$11+$C$15*$C$11+J$117)&lt;0,0,
IF(J$48-($C$11+$C$15*$C$11+J$117)&gt;0,J$48-($C$11+$C$15*$C$11+J$117)))</f>
        <v>0</v>
      </c>
      <c r="K118" s="19">
        <f>IF(K$48-($C$11+$C$15*$C$11+K$117)&lt;0,0,
IF(K$48-($C$11+$C$15*$C$11+K$117)&gt;0,K$48-($C$11+$C$15*$C$11+K$117)))</f>
        <v>0</v>
      </c>
      <c r="L118" s="19">
        <f>IF(L$48-($C$11+$C$15*$C$11+L$117)&lt;0,0,
IF(L$48-($C$11+$C$15*$C$11+L$117)&gt;0,L$48-($C$11+$C$15*$C$11+L$117)))</f>
        <v>0</v>
      </c>
      <c r="M118" s="19">
        <f>IF(M$48-($C$11+$C$15*$C$11+M$117)&lt;0,0,
IF(M$48-($C$11+$C$15*$C$11+M$117)&gt;0,M$48-($C$11+$C$15*$C$11+M$117)))</f>
        <v>0</v>
      </c>
      <c r="N118" s="19">
        <f>IF(N$48-($C$11+$C$15*$C$11+N$117)&lt;0,0,
IF(N$48-($C$11+$C$15*$C$11+N$117)&gt;0,N$48-($C$11+$C$15*$C$11+N$117)))</f>
        <v>0</v>
      </c>
      <c r="O118" s="19">
        <f>IF(O$48-($C$11+$C$15*$C$11+O$117)&lt;0,0,
IF(O$48-($C$11+$C$15*$C$11+O$117)&gt;0,O$48-($C$11+$C$15*$C$11+O$117)))</f>
        <v>0</v>
      </c>
      <c r="P118" s="19">
        <f>IF(P$48-($C$11+$C$15*$C$11+P$117)&lt;0,0,
IF(P$48-($C$11+$C$15*$C$11+P$117)&gt;0,P$48-($C$11+$C$15*$C$11+P$117)))</f>
        <v>0</v>
      </c>
      <c r="Q118" s="19">
        <f>IF(Q$48-($C$11+$C$15*$C$11+Q$117)&lt;0,0,
IF(Q$48-($C$11+$C$15*$C$11+Q$117)&gt;0,Q$48-($C$11+$C$15*$C$11+Q$117)))</f>
        <v>0</v>
      </c>
      <c r="R118" s="19">
        <f>IF(R$48-($C$11+$C$15*$C$11+R$117)&lt;0,0,
IF(R$48-($C$11+$C$15*$C$11+R$117)&gt;0,R$48-($C$11+$C$15*$C$11+R$117)))</f>
        <v>0</v>
      </c>
      <c r="S118" s="19">
        <f>IF(S$48-($C$11+$C$15*$C$11+S$117)&lt;0,0,
IF(S$48-($C$11+$C$15*$C$11+S$117)&gt;0,S$48-($C$11+$C$15*$C$11+S$117)))</f>
        <v>0</v>
      </c>
      <c r="T118" s="19">
        <f>IF(T$48-($C$11+$C$15*$C$11+T$117)&lt;0,0,
IF(T$48-($C$11+$C$15*$C$11+T$117)&gt;0,T$48-($C$11+$C$15*$C$11+T$117)))</f>
        <v>0</v>
      </c>
      <c r="U118" s="19">
        <f>IF(U$48-($C$11+$C$15*$C$11+U$117)&lt;0,0,
IF(U$48-($C$11+$C$15*$C$11+U$117)&gt;0,U$48-($C$11+$C$15*$C$11+U$117)))</f>
        <v>0</v>
      </c>
      <c r="V118" s="19">
        <f>IF(V$48-($C$11+$C$15*$C$11+V$117)&lt;0,0,
IF(V$48-($C$11+$C$15*$C$11+V$117)&gt;0,V$48-($C$11+$C$15*$C$11+V$117)))</f>
        <v>0</v>
      </c>
      <c r="W118" s="19">
        <f>IF(W$48-($C$11+$C$15*$C$11+W$117)&lt;0,0,
IF(W$48-($C$11+$C$15*$C$11+W$117)&gt;0,W$48-($C$11+$C$15*$C$11+W$117)))</f>
        <v>193.08833245071582</v>
      </c>
      <c r="X118" s="19">
        <f>IF(X$48-($C$11+$C$15*$C$11+X$117)&lt;0,0,
IF(X$48-($C$11+$C$15*$C$11+X$117)&gt;0,X$48-($C$11+$C$15*$C$11+X$117)))</f>
        <v>2890.0192157752463</v>
      </c>
      <c r="Y118" s="19">
        <f>IF(Y$48-($C$11+$C$15*$C$11+Y$117)&lt;0,0,
IF(Y$48-($C$11+$C$15*$C$11+Y$117)&gt;0,Y$48-($C$11+$C$15*$C$11+Y$117)))</f>
        <v>5613.9194079330191</v>
      </c>
      <c r="Z118" s="19">
        <f>IF(Z$48-($C$11+$C$15*$C$11+Z$117)&lt;0,0,
IF(Z$48-($C$11+$C$15*$C$11+Z$117)&gt;0,Z$48-($C$11+$C$15*$C$11+Z$117)))</f>
        <v>8365.0586020122864</v>
      </c>
      <c r="AA118" s="19">
        <f>IF(AA$48-($C$11+$C$15*$C$11+AA$117)&lt;0,0,
IF(AA$48-($C$11+$C$15*$C$11+AA$117)&gt;0,AA$48-($C$11+$C$15*$C$11+AA$117)))</f>
        <v>11143.70918803243</v>
      </c>
      <c r="AB118" s="19">
        <f>IF(AB$48-($C$11+$C$15*$C$11+AB$117)&lt;0,0,
IF(AB$48-($C$11+$C$15*$C$11+AB$117)&gt;0,AB$48-($C$11+$C$15*$C$11+AB$117)))</f>
        <v>13950.146279912733</v>
      </c>
      <c r="AC118" s="19">
        <f>IF(AC$48-($C$11+$C$15*$C$11+AC$117)&lt;0,0,
IF(AC$48-($C$11+$C$15*$C$11+AC$117)&gt;0,AC$48-($C$11+$C$15*$C$11+AC$117)))</f>
        <v>16784.647742711939</v>
      </c>
      <c r="AD118" s="19">
        <f>IF(AD$48-($C$11+$C$15*$C$11+AD$117)&lt;0,0,
IF(AD$48-($C$11+$C$15*$C$11+AD$117)&gt;0,AD$48-($C$11+$C$15*$C$11+AD$117)))</f>
        <v>19647.494220138993</v>
      </c>
      <c r="AE118" s="19">
        <f>IF(AE$48-($C$11+$C$15*$C$11+AE$117)&lt;0,0,
IF(AE$48-($C$11+$C$15*$C$11+AE$117)&gt;0,AE$48-($C$11+$C$15*$C$11+AE$117)))</f>
        <v>22538.969162340451</v>
      </c>
      <c r="AF118" s="19">
        <f>IF(AF$48-($C$11+$C$15*$C$11+AF$117)&lt;0,0,
IF(AF$48-($C$11+$C$15*$C$11+AF$117)&gt;0,AF$48-($C$11+$C$15*$C$11+AF$117)))</f>
        <v>25459.358853963902</v>
      </c>
      <c r="AG118" s="19">
        <f>IF(AG$48-($C$11+$C$15*$C$11+AG$117)&lt;0,0,
IF(AG$48-($C$11+$C$15*$C$11+AG$117)&gt;0,AG$48-($C$11+$C$15*$C$11+AG$117)))</f>
        <v>28408.952442503534</v>
      </c>
      <c r="AH118" s="19">
        <f>IF(AH$48-($C$11+$C$15*$C$11+AH$117)&lt;0,0,
IF(AH$48-($C$11+$C$15*$C$11+AH$117)&gt;0,AH$48-($C$11+$C$15*$C$11+AH$117)))</f>
        <v>31388.04196692846</v>
      </c>
      <c r="AI118" s="19">
        <f>IF(AI$48-($C$11+$C$15*$C$11+AI$117)&lt;0,0,
IF(AI$48-($C$11+$C$15*$C$11+AI$117)&gt;0,AI$48-($C$11+$C$15*$C$11+AI$117)))</f>
        <v>34396.922386597726</v>
      </c>
      <c r="AJ118" s="19">
        <f>IF(AJ$48-($C$11+$C$15*$C$11+AJ$117)&lt;0,0,
IF(AJ$48-($C$11+$C$15*$C$11+AJ$117)&gt;0,AJ$48-($C$11+$C$15*$C$11+AJ$117)))</f>
        <v>37435.891610463732</v>
      </c>
      <c r="AK118" s="27">
        <f>IF(AK$48-($C$11+$C$15*$C$11+AK$117)&lt;0,0,
IF(AK$48-($C$11+$C$15*$C$11+AK$117)&gt;0,AK$48-($C$11+$C$15*$C$11+AK$117)))</f>
        <v>40505.250526568445</v>
      </c>
    </row>
    <row r="119" spans="1:37" s="53" customFormat="1" ht="38.25" customHeight="1" x14ac:dyDescent="0.25">
      <c r="A119" s="5"/>
      <c r="B119" s="48"/>
      <c r="E119" s="37"/>
      <c r="F119" s="204"/>
      <c r="G119" s="69" t="s">
        <v>122</v>
      </c>
      <c r="H119" s="114">
        <f>IF(H$10&lt;=5,0,IF(AND(H$10&gt;5,H$10&lt;=21),(((H$10-5)*0.06)),IF(H$10&gt;21,1)))</f>
        <v>0</v>
      </c>
      <c r="I119" s="64">
        <f t="shared" ref="I119:AK119" si="88">IF(I$10&lt;=5,0,IF(AND(I$10&gt;5,I$10&lt;=21),(((I$10-5)*0.06)),IF(I$10&gt;21,1)))</f>
        <v>0</v>
      </c>
      <c r="J119" s="64">
        <f t="shared" si="88"/>
        <v>0</v>
      </c>
      <c r="K119" s="64">
        <f t="shared" si="88"/>
        <v>0</v>
      </c>
      <c r="L119" s="64">
        <f t="shared" si="88"/>
        <v>0</v>
      </c>
      <c r="M119" s="64">
        <f t="shared" si="88"/>
        <v>0.06</v>
      </c>
      <c r="N119" s="64">
        <f t="shared" si="88"/>
        <v>0.12</v>
      </c>
      <c r="O119" s="64">
        <f t="shared" si="88"/>
        <v>0.18</v>
      </c>
      <c r="P119" s="64">
        <f t="shared" si="88"/>
        <v>0.24</v>
      </c>
      <c r="Q119" s="64">
        <f t="shared" si="88"/>
        <v>0.3</v>
      </c>
      <c r="R119" s="64">
        <f t="shared" si="88"/>
        <v>0.36</v>
      </c>
      <c r="S119" s="64">
        <f t="shared" si="88"/>
        <v>0.42</v>
      </c>
      <c r="T119" s="64">
        <f t="shared" si="88"/>
        <v>0.48</v>
      </c>
      <c r="U119" s="64">
        <f t="shared" si="88"/>
        <v>0.54</v>
      </c>
      <c r="V119" s="64">
        <f t="shared" si="88"/>
        <v>0.6</v>
      </c>
      <c r="W119" s="64">
        <f t="shared" si="88"/>
        <v>0.65999999999999992</v>
      </c>
      <c r="X119" s="64">
        <f t="shared" si="88"/>
        <v>0.72</v>
      </c>
      <c r="Y119" s="64">
        <f t="shared" si="88"/>
        <v>0.78</v>
      </c>
      <c r="Z119" s="64">
        <f t="shared" si="88"/>
        <v>0.84</v>
      </c>
      <c r="AA119" s="64">
        <f t="shared" si="88"/>
        <v>0.89999999999999991</v>
      </c>
      <c r="AB119" s="64">
        <f t="shared" si="88"/>
        <v>0.96</v>
      </c>
      <c r="AC119" s="64">
        <f t="shared" si="88"/>
        <v>1</v>
      </c>
      <c r="AD119" s="64">
        <f t="shared" si="88"/>
        <v>1</v>
      </c>
      <c r="AE119" s="64">
        <f t="shared" si="88"/>
        <v>1</v>
      </c>
      <c r="AF119" s="64">
        <f t="shared" si="88"/>
        <v>1</v>
      </c>
      <c r="AG119" s="64">
        <f t="shared" si="88"/>
        <v>1</v>
      </c>
      <c r="AH119" s="64">
        <f t="shared" si="88"/>
        <v>1</v>
      </c>
      <c r="AI119" s="64">
        <f t="shared" si="88"/>
        <v>1</v>
      </c>
      <c r="AJ119" s="64">
        <f t="shared" si="88"/>
        <v>1</v>
      </c>
      <c r="AK119" s="67">
        <f t="shared" si="88"/>
        <v>1</v>
      </c>
    </row>
    <row r="120" spans="1:37" s="53" customFormat="1" ht="38.25" customHeight="1" x14ac:dyDescent="0.25">
      <c r="A120" s="5"/>
      <c r="B120" s="48"/>
      <c r="E120" s="37"/>
      <c r="F120" s="204"/>
      <c r="G120" s="69" t="s">
        <v>123</v>
      </c>
      <c r="H120" s="60">
        <f t="shared" ref="H120:AK120" si="89">H118*(1-H119)</f>
        <v>0</v>
      </c>
      <c r="I120" s="19">
        <f t="shared" si="89"/>
        <v>0</v>
      </c>
      <c r="J120" s="19">
        <f t="shared" si="89"/>
        <v>0</v>
      </c>
      <c r="K120" s="19">
        <f t="shared" si="89"/>
        <v>0</v>
      </c>
      <c r="L120" s="19">
        <f t="shared" si="89"/>
        <v>0</v>
      </c>
      <c r="M120" s="19">
        <f t="shared" si="89"/>
        <v>0</v>
      </c>
      <c r="N120" s="19">
        <f t="shared" si="89"/>
        <v>0</v>
      </c>
      <c r="O120" s="19">
        <f t="shared" si="89"/>
        <v>0</v>
      </c>
      <c r="P120" s="19">
        <f t="shared" si="89"/>
        <v>0</v>
      </c>
      <c r="Q120" s="19">
        <f t="shared" si="89"/>
        <v>0</v>
      </c>
      <c r="R120" s="19">
        <f t="shared" si="89"/>
        <v>0</v>
      </c>
      <c r="S120" s="19">
        <f t="shared" si="89"/>
        <v>0</v>
      </c>
      <c r="T120" s="19">
        <f t="shared" si="89"/>
        <v>0</v>
      </c>
      <c r="U120" s="19">
        <f t="shared" si="89"/>
        <v>0</v>
      </c>
      <c r="V120" s="19">
        <f t="shared" si="89"/>
        <v>0</v>
      </c>
      <c r="W120" s="19">
        <f t="shared" si="89"/>
        <v>65.650033033243389</v>
      </c>
      <c r="X120" s="19">
        <f t="shared" si="89"/>
        <v>809.20538041706902</v>
      </c>
      <c r="Y120" s="19">
        <f t="shared" si="89"/>
        <v>1235.0622697452641</v>
      </c>
      <c r="Z120" s="19">
        <f t="shared" si="89"/>
        <v>1338.4093763219662</v>
      </c>
      <c r="AA120" s="19">
        <f t="shared" si="89"/>
        <v>1114.370918803244</v>
      </c>
      <c r="AB120" s="19">
        <f t="shared" si="89"/>
        <v>558.00585119650987</v>
      </c>
      <c r="AC120" s="19">
        <f t="shared" si="89"/>
        <v>0</v>
      </c>
      <c r="AD120" s="19">
        <f t="shared" si="89"/>
        <v>0</v>
      </c>
      <c r="AE120" s="19">
        <f t="shared" si="89"/>
        <v>0</v>
      </c>
      <c r="AF120" s="19">
        <f t="shared" si="89"/>
        <v>0</v>
      </c>
      <c r="AG120" s="19">
        <f t="shared" si="89"/>
        <v>0</v>
      </c>
      <c r="AH120" s="19">
        <f t="shared" si="89"/>
        <v>0</v>
      </c>
      <c r="AI120" s="19">
        <f t="shared" si="89"/>
        <v>0</v>
      </c>
      <c r="AJ120" s="19">
        <f t="shared" si="89"/>
        <v>0</v>
      </c>
      <c r="AK120" s="27">
        <f t="shared" si="89"/>
        <v>0</v>
      </c>
    </row>
    <row r="121" spans="1:37" s="53" customFormat="1" ht="38.25" customHeight="1" x14ac:dyDescent="0.25">
      <c r="A121" s="5"/>
      <c r="B121" s="48"/>
      <c r="E121" s="37"/>
      <c r="F121" s="204"/>
      <c r="G121" s="69" t="s">
        <v>124</v>
      </c>
      <c r="H121" s="60">
        <f t="shared" ref="H121:AK121" si="90">IF(AND($C$32=0,H120&lt;=50000),H120*0.19,
IF(AND($C$32&lt;&gt;0,H120&lt;=100000),H120*0.19,
IF(AND($C$32=0,H120&gt;50000,H120&lt;=100000),H120*0.21,
IF(AND($C$32=0,H120&gt;=100000,H120&lt;=150000),H120*0.22,
IF(AND($C$32=0,H120&gt;=150000,H120&lt;=200000),H120*0.23,
IF(AND($C$32=0,H120&gt;=200000,H120&lt;=250000),H120*0.24,
IF(AND($C$32=0,H120&gt;250000),H120*0.25,
IF(AND($C$32&lt;&gt;0,H120&gt;100000,H120&lt;=200000),H120*0.21,
IF(AND($C$32&lt;&gt;0,H120&gt;=200000,H120&lt;=300000),H120*0.22,
IF(AND($C$32&lt;&gt;0,H120&gt;=300000,H120&lt;=400000),H120*0.23,
IF(AND($C$32&lt;&gt;0,H120&gt;=400000,H120&lt;=500000),H120*0.24,
IF(AND($C$32&lt;&gt;0,H120&gt;500000),H120*0.25))))))))))))</f>
        <v>0</v>
      </c>
      <c r="I121" s="19">
        <f t="shared" si="90"/>
        <v>0</v>
      </c>
      <c r="J121" s="19">
        <f t="shared" si="90"/>
        <v>0</v>
      </c>
      <c r="K121" s="19">
        <f t="shared" si="90"/>
        <v>0</v>
      </c>
      <c r="L121" s="19">
        <f t="shared" si="90"/>
        <v>0</v>
      </c>
      <c r="M121" s="19">
        <f t="shared" si="90"/>
        <v>0</v>
      </c>
      <c r="N121" s="19">
        <f t="shared" si="90"/>
        <v>0</v>
      </c>
      <c r="O121" s="19">
        <f t="shared" si="90"/>
        <v>0</v>
      </c>
      <c r="P121" s="19">
        <f t="shared" si="90"/>
        <v>0</v>
      </c>
      <c r="Q121" s="19">
        <f t="shared" si="90"/>
        <v>0</v>
      </c>
      <c r="R121" s="19">
        <f t="shared" si="90"/>
        <v>0</v>
      </c>
      <c r="S121" s="19">
        <f t="shared" si="90"/>
        <v>0</v>
      </c>
      <c r="T121" s="19">
        <f t="shared" si="90"/>
        <v>0</v>
      </c>
      <c r="U121" s="19">
        <f t="shared" si="90"/>
        <v>0</v>
      </c>
      <c r="V121" s="19">
        <f t="shared" si="90"/>
        <v>0</v>
      </c>
      <c r="W121" s="19">
        <f t="shared" si="90"/>
        <v>12.473506276316243</v>
      </c>
      <c r="X121" s="19">
        <f t="shared" si="90"/>
        <v>153.74902227924312</v>
      </c>
      <c r="Y121" s="19">
        <f t="shared" si="90"/>
        <v>234.66183125160018</v>
      </c>
      <c r="Z121" s="19">
        <f t="shared" si="90"/>
        <v>254.29778150117357</v>
      </c>
      <c r="AA121" s="19">
        <f t="shared" si="90"/>
        <v>211.73047457261634</v>
      </c>
      <c r="AB121" s="19">
        <f t="shared" si="90"/>
        <v>106.02111172733687</v>
      </c>
      <c r="AC121" s="19">
        <f t="shared" si="90"/>
        <v>0</v>
      </c>
      <c r="AD121" s="19">
        <f t="shared" si="90"/>
        <v>0</v>
      </c>
      <c r="AE121" s="19">
        <f t="shared" si="90"/>
        <v>0</v>
      </c>
      <c r="AF121" s="19">
        <f t="shared" si="90"/>
        <v>0</v>
      </c>
      <c r="AG121" s="19">
        <f t="shared" si="90"/>
        <v>0</v>
      </c>
      <c r="AH121" s="19">
        <f t="shared" si="90"/>
        <v>0</v>
      </c>
      <c r="AI121" s="19">
        <f t="shared" si="90"/>
        <v>0</v>
      </c>
      <c r="AJ121" s="19">
        <f t="shared" si="90"/>
        <v>0</v>
      </c>
      <c r="AK121" s="27">
        <f t="shared" si="90"/>
        <v>0</v>
      </c>
    </row>
    <row r="122" spans="1:37" s="53" customFormat="1" ht="38.25" customHeight="1" x14ac:dyDescent="0.25">
      <c r="A122" s="5"/>
      <c r="B122" s="48"/>
      <c r="E122" s="37"/>
      <c r="F122" s="204"/>
      <c r="G122" s="69" t="s">
        <v>125</v>
      </c>
      <c r="H122" s="114">
        <f t="shared" ref="H122:AK122" si="91">IF(H$10&lt;=5,0%,IF(AND(H$10&gt;5,H$10&lt;=21),(((H$10-5)*0.0165)),IF(H$10=22,(0.28),IF(H$10&gt;22,(((H$10-22)*0.09+0.28))))))</f>
        <v>0</v>
      </c>
      <c r="I122" s="64">
        <f t="shared" si="91"/>
        <v>0</v>
      </c>
      <c r="J122" s="64">
        <f t="shared" si="91"/>
        <v>0</v>
      </c>
      <c r="K122" s="64">
        <f t="shared" si="91"/>
        <v>0</v>
      </c>
      <c r="L122" s="64">
        <f t="shared" si="91"/>
        <v>0</v>
      </c>
      <c r="M122" s="64">
        <f t="shared" si="91"/>
        <v>1.6500000000000001E-2</v>
      </c>
      <c r="N122" s="64">
        <f t="shared" si="91"/>
        <v>3.3000000000000002E-2</v>
      </c>
      <c r="O122" s="64">
        <f t="shared" si="91"/>
        <v>4.9500000000000002E-2</v>
      </c>
      <c r="P122" s="64">
        <f t="shared" si="91"/>
        <v>6.6000000000000003E-2</v>
      </c>
      <c r="Q122" s="64">
        <f t="shared" si="91"/>
        <v>8.2500000000000004E-2</v>
      </c>
      <c r="R122" s="64">
        <f t="shared" si="91"/>
        <v>9.9000000000000005E-2</v>
      </c>
      <c r="S122" s="64">
        <f t="shared" si="91"/>
        <v>0.11550000000000001</v>
      </c>
      <c r="T122" s="64">
        <f t="shared" si="91"/>
        <v>0.13200000000000001</v>
      </c>
      <c r="U122" s="64">
        <f t="shared" si="91"/>
        <v>0.14850000000000002</v>
      </c>
      <c r="V122" s="64">
        <f t="shared" si="91"/>
        <v>0.16500000000000001</v>
      </c>
      <c r="W122" s="64">
        <f t="shared" si="91"/>
        <v>0.18149999999999999</v>
      </c>
      <c r="X122" s="64">
        <f t="shared" si="91"/>
        <v>0.19800000000000001</v>
      </c>
      <c r="Y122" s="64">
        <f t="shared" si="91"/>
        <v>0.21450000000000002</v>
      </c>
      <c r="Z122" s="64">
        <f t="shared" si="91"/>
        <v>0.23100000000000001</v>
      </c>
      <c r="AA122" s="64">
        <f t="shared" si="91"/>
        <v>0.2475</v>
      </c>
      <c r="AB122" s="64">
        <f t="shared" si="91"/>
        <v>0.26400000000000001</v>
      </c>
      <c r="AC122" s="64">
        <f t="shared" si="91"/>
        <v>0.28000000000000003</v>
      </c>
      <c r="AD122" s="64">
        <f t="shared" si="91"/>
        <v>0.37</v>
      </c>
      <c r="AE122" s="64">
        <f t="shared" si="91"/>
        <v>0.46</v>
      </c>
      <c r="AF122" s="64">
        <f t="shared" si="91"/>
        <v>0.55000000000000004</v>
      </c>
      <c r="AG122" s="64">
        <f t="shared" si="91"/>
        <v>0.64</v>
      </c>
      <c r="AH122" s="64">
        <f t="shared" si="91"/>
        <v>0.73</v>
      </c>
      <c r="AI122" s="64">
        <f t="shared" si="91"/>
        <v>0.82000000000000006</v>
      </c>
      <c r="AJ122" s="64">
        <f t="shared" si="91"/>
        <v>0.91</v>
      </c>
      <c r="AK122" s="67">
        <f t="shared" si="91"/>
        <v>1</v>
      </c>
    </row>
    <row r="123" spans="1:37" s="53" customFormat="1" ht="38.25" customHeight="1" x14ac:dyDescent="0.25">
      <c r="A123" s="5"/>
      <c r="B123" s="48"/>
      <c r="E123" s="37"/>
      <c r="F123" s="204"/>
      <c r="G123" s="69" t="s">
        <v>126</v>
      </c>
      <c r="H123" s="60">
        <f t="shared" ref="H123:AK123" si="92">H118*(1-H122)</f>
        <v>0</v>
      </c>
      <c r="I123" s="19">
        <f t="shared" si="92"/>
        <v>0</v>
      </c>
      <c r="J123" s="19">
        <f t="shared" si="92"/>
        <v>0</v>
      </c>
      <c r="K123" s="19">
        <f t="shared" si="92"/>
        <v>0</v>
      </c>
      <c r="L123" s="19">
        <f t="shared" si="92"/>
        <v>0</v>
      </c>
      <c r="M123" s="19">
        <f t="shared" si="92"/>
        <v>0</v>
      </c>
      <c r="N123" s="19">
        <f t="shared" si="92"/>
        <v>0</v>
      </c>
      <c r="O123" s="19">
        <f t="shared" si="92"/>
        <v>0</v>
      </c>
      <c r="P123" s="19">
        <f t="shared" si="92"/>
        <v>0</v>
      </c>
      <c r="Q123" s="19">
        <f t="shared" si="92"/>
        <v>0</v>
      </c>
      <c r="R123" s="19">
        <f t="shared" si="92"/>
        <v>0</v>
      </c>
      <c r="S123" s="19">
        <f t="shared" si="92"/>
        <v>0</v>
      </c>
      <c r="T123" s="19">
        <f t="shared" si="92"/>
        <v>0</v>
      </c>
      <c r="U123" s="19">
        <f t="shared" si="92"/>
        <v>0</v>
      </c>
      <c r="V123" s="19">
        <f t="shared" si="92"/>
        <v>0</v>
      </c>
      <c r="W123" s="19">
        <f t="shared" si="92"/>
        <v>158.04280011091092</v>
      </c>
      <c r="X123" s="19">
        <f t="shared" si="92"/>
        <v>2317.7954110517476</v>
      </c>
      <c r="Y123" s="19">
        <f t="shared" si="92"/>
        <v>4409.7336949313867</v>
      </c>
      <c r="Z123" s="19">
        <f t="shared" si="92"/>
        <v>6432.7300649474482</v>
      </c>
      <c r="AA123" s="19">
        <f t="shared" si="92"/>
        <v>8385.6411639944035</v>
      </c>
      <c r="AB123" s="19">
        <f t="shared" si="92"/>
        <v>10267.307662015772</v>
      </c>
      <c r="AC123" s="19">
        <f t="shared" si="92"/>
        <v>12084.946374752595</v>
      </c>
      <c r="AD123" s="19">
        <f t="shared" si="92"/>
        <v>12377.921358687565</v>
      </c>
      <c r="AE123" s="19">
        <f t="shared" si="92"/>
        <v>12171.043347663845</v>
      </c>
      <c r="AF123" s="19">
        <f t="shared" si="92"/>
        <v>11456.711484283755</v>
      </c>
      <c r="AG123" s="19">
        <f t="shared" si="92"/>
        <v>10227.222879301273</v>
      </c>
      <c r="AH123" s="19">
        <f t="shared" si="92"/>
        <v>8474.771331070684</v>
      </c>
      <c r="AI123" s="19">
        <f t="shared" si="92"/>
        <v>6191.4460295875888</v>
      </c>
      <c r="AJ123" s="19">
        <f t="shared" si="92"/>
        <v>3369.2302449417348</v>
      </c>
      <c r="AK123" s="27">
        <f t="shared" si="92"/>
        <v>0</v>
      </c>
    </row>
    <row r="124" spans="1:37" s="53" customFormat="1" ht="38.25" customHeight="1" x14ac:dyDescent="0.25">
      <c r="A124" s="5"/>
      <c r="B124" s="48"/>
      <c r="E124" s="37"/>
      <c r="F124" s="204"/>
      <c r="G124" s="69" t="s">
        <v>127</v>
      </c>
      <c r="H124" s="60">
        <f t="shared" ref="H124:AK124" si="93">H123*0.172</f>
        <v>0</v>
      </c>
      <c r="I124" s="19">
        <f t="shared" si="93"/>
        <v>0</v>
      </c>
      <c r="J124" s="19">
        <f t="shared" si="93"/>
        <v>0</v>
      </c>
      <c r="K124" s="19">
        <f t="shared" si="93"/>
        <v>0</v>
      </c>
      <c r="L124" s="19">
        <f t="shared" si="93"/>
        <v>0</v>
      </c>
      <c r="M124" s="19">
        <f t="shared" si="93"/>
        <v>0</v>
      </c>
      <c r="N124" s="19">
        <f t="shared" si="93"/>
        <v>0</v>
      </c>
      <c r="O124" s="19">
        <f t="shared" si="93"/>
        <v>0</v>
      </c>
      <c r="P124" s="19">
        <f t="shared" si="93"/>
        <v>0</v>
      </c>
      <c r="Q124" s="19">
        <f t="shared" si="93"/>
        <v>0</v>
      </c>
      <c r="R124" s="19">
        <f t="shared" si="93"/>
        <v>0</v>
      </c>
      <c r="S124" s="19">
        <f t="shared" si="93"/>
        <v>0</v>
      </c>
      <c r="T124" s="19">
        <f t="shared" si="93"/>
        <v>0</v>
      </c>
      <c r="U124" s="19">
        <f t="shared" si="93"/>
        <v>0</v>
      </c>
      <c r="V124" s="19">
        <f t="shared" si="93"/>
        <v>0</v>
      </c>
      <c r="W124" s="19">
        <f t="shared" si="93"/>
        <v>27.183361619076674</v>
      </c>
      <c r="X124" s="19">
        <f t="shared" si="93"/>
        <v>398.66081070090053</v>
      </c>
      <c r="Y124" s="19">
        <f t="shared" si="93"/>
        <v>758.47419552819849</v>
      </c>
      <c r="Z124" s="19">
        <f t="shared" si="93"/>
        <v>1106.429571170961</v>
      </c>
      <c r="AA124" s="19">
        <f t="shared" si="93"/>
        <v>1442.3302802070373</v>
      </c>
      <c r="AB124" s="19">
        <f t="shared" si="93"/>
        <v>1765.9769178667125</v>
      </c>
      <c r="AC124" s="19">
        <f t="shared" si="93"/>
        <v>2078.6107764574463</v>
      </c>
      <c r="AD124" s="19">
        <f t="shared" si="93"/>
        <v>2129.002473694261</v>
      </c>
      <c r="AE124" s="19">
        <f t="shared" si="93"/>
        <v>2093.4194557981809</v>
      </c>
      <c r="AF124" s="19">
        <f t="shared" si="93"/>
        <v>1970.5543752968056</v>
      </c>
      <c r="AG124" s="19">
        <f t="shared" si="93"/>
        <v>1759.0823352398188</v>
      </c>
      <c r="AH124" s="19">
        <f t="shared" si="93"/>
        <v>1457.6606689441576</v>
      </c>
      <c r="AI124" s="19">
        <f t="shared" si="93"/>
        <v>1064.9287170890652</v>
      </c>
      <c r="AJ124" s="19">
        <f t="shared" si="93"/>
        <v>579.5076021299783</v>
      </c>
      <c r="AK124" s="27">
        <f t="shared" si="93"/>
        <v>0</v>
      </c>
    </row>
    <row r="125" spans="1:37" s="53" customFormat="1" ht="38.25" customHeight="1" x14ac:dyDescent="0.25">
      <c r="A125" s="5"/>
      <c r="B125" s="48"/>
      <c r="E125" s="37"/>
      <c r="F125" s="204"/>
      <c r="G125" s="69" t="s">
        <v>128</v>
      </c>
      <c r="H125" s="60">
        <f t="shared" ref="H125:AK125" si="94">H124+H121</f>
        <v>0</v>
      </c>
      <c r="I125" s="19">
        <f t="shared" si="94"/>
        <v>0</v>
      </c>
      <c r="J125" s="19">
        <f t="shared" si="94"/>
        <v>0</v>
      </c>
      <c r="K125" s="19">
        <f t="shared" si="94"/>
        <v>0</v>
      </c>
      <c r="L125" s="19">
        <f t="shared" si="94"/>
        <v>0</v>
      </c>
      <c r="M125" s="19">
        <f t="shared" si="94"/>
        <v>0</v>
      </c>
      <c r="N125" s="19">
        <f t="shared" si="94"/>
        <v>0</v>
      </c>
      <c r="O125" s="19">
        <f t="shared" si="94"/>
        <v>0</v>
      </c>
      <c r="P125" s="19">
        <f t="shared" si="94"/>
        <v>0</v>
      </c>
      <c r="Q125" s="19">
        <f t="shared" si="94"/>
        <v>0</v>
      </c>
      <c r="R125" s="19">
        <f t="shared" si="94"/>
        <v>0</v>
      </c>
      <c r="S125" s="19">
        <f t="shared" si="94"/>
        <v>0</v>
      </c>
      <c r="T125" s="19">
        <f t="shared" si="94"/>
        <v>0</v>
      </c>
      <c r="U125" s="19">
        <f t="shared" si="94"/>
        <v>0</v>
      </c>
      <c r="V125" s="19">
        <f t="shared" si="94"/>
        <v>0</v>
      </c>
      <c r="W125" s="19">
        <f t="shared" si="94"/>
        <v>39.656867895392921</v>
      </c>
      <c r="X125" s="19">
        <f t="shared" si="94"/>
        <v>552.40983298014362</v>
      </c>
      <c r="Y125" s="19">
        <f t="shared" si="94"/>
        <v>993.13602677979861</v>
      </c>
      <c r="Z125" s="19">
        <f t="shared" si="94"/>
        <v>1360.7273526721347</v>
      </c>
      <c r="AA125" s="19">
        <f t="shared" si="94"/>
        <v>1654.0607547796535</v>
      </c>
      <c r="AB125" s="19">
        <f t="shared" si="94"/>
        <v>1871.9980295940493</v>
      </c>
      <c r="AC125" s="19">
        <f t="shared" si="94"/>
        <v>2078.6107764574463</v>
      </c>
      <c r="AD125" s="19">
        <f t="shared" si="94"/>
        <v>2129.002473694261</v>
      </c>
      <c r="AE125" s="19">
        <f t="shared" si="94"/>
        <v>2093.4194557981809</v>
      </c>
      <c r="AF125" s="19">
        <f t="shared" si="94"/>
        <v>1970.5543752968056</v>
      </c>
      <c r="AG125" s="19">
        <f t="shared" si="94"/>
        <v>1759.0823352398188</v>
      </c>
      <c r="AH125" s="19">
        <f t="shared" si="94"/>
        <v>1457.6606689441576</v>
      </c>
      <c r="AI125" s="19">
        <f t="shared" si="94"/>
        <v>1064.9287170890652</v>
      </c>
      <c r="AJ125" s="19">
        <f t="shared" si="94"/>
        <v>579.5076021299783</v>
      </c>
      <c r="AK125" s="27">
        <f t="shared" si="94"/>
        <v>0</v>
      </c>
    </row>
    <row r="126" spans="1:37" s="53" customFormat="1" ht="38.25" customHeight="1" x14ac:dyDescent="0.25">
      <c r="A126" s="5"/>
      <c r="B126" s="48"/>
      <c r="E126" s="37"/>
      <c r="F126" s="204"/>
      <c r="G126" s="69" t="s">
        <v>129</v>
      </c>
      <c r="H126" s="60">
        <f t="shared" ref="H126:AK126" si="95">H$48-H125</f>
        <v>232300</v>
      </c>
      <c r="I126" s="19">
        <f t="shared" si="95"/>
        <v>234623</v>
      </c>
      <c r="J126" s="19">
        <f t="shared" si="95"/>
        <v>236969.22999999998</v>
      </c>
      <c r="K126" s="19">
        <f t="shared" si="95"/>
        <v>239338.92230000001</v>
      </c>
      <c r="L126" s="19">
        <f t="shared" si="95"/>
        <v>241732.31152299998</v>
      </c>
      <c r="M126" s="19">
        <f t="shared" si="95"/>
        <v>244149.63463823003</v>
      </c>
      <c r="N126" s="19">
        <f t="shared" si="95"/>
        <v>246591.13098461227</v>
      </c>
      <c r="O126" s="19">
        <f t="shared" si="95"/>
        <v>249057.04229445846</v>
      </c>
      <c r="P126" s="19">
        <f t="shared" si="95"/>
        <v>251547.61271740304</v>
      </c>
      <c r="Q126" s="19">
        <f t="shared" si="95"/>
        <v>254063.08884457708</v>
      </c>
      <c r="R126" s="19">
        <f t="shared" si="95"/>
        <v>256603.71973302279</v>
      </c>
      <c r="S126" s="19">
        <f t="shared" si="95"/>
        <v>259169.75693035306</v>
      </c>
      <c r="T126" s="19">
        <f t="shared" si="95"/>
        <v>261761.4544996566</v>
      </c>
      <c r="U126" s="19">
        <f t="shared" si="95"/>
        <v>264379.06904465321</v>
      </c>
      <c r="V126" s="19">
        <f t="shared" si="95"/>
        <v>267022.85973509966</v>
      </c>
      <c r="W126" s="19">
        <f t="shared" si="95"/>
        <v>269653.43146455532</v>
      </c>
      <c r="X126" s="19">
        <f t="shared" si="95"/>
        <v>271837.60938279511</v>
      </c>
      <c r="Y126" s="19">
        <f t="shared" si="95"/>
        <v>274120.78338115325</v>
      </c>
      <c r="Z126" s="19">
        <f t="shared" si="95"/>
        <v>276504.33124934015</v>
      </c>
      <c r="AA126" s="19">
        <f t="shared" si="95"/>
        <v>278989.64843325276</v>
      </c>
      <c r="AB126" s="19">
        <f t="shared" si="95"/>
        <v>281578.14825031866</v>
      </c>
      <c r="AC126" s="19">
        <f t="shared" si="95"/>
        <v>284206.03696625447</v>
      </c>
      <c r="AD126" s="19">
        <f t="shared" si="95"/>
        <v>287018.49174644472</v>
      </c>
      <c r="AE126" s="19">
        <f t="shared" si="95"/>
        <v>289945.54970654228</v>
      </c>
      <c r="AF126" s="19">
        <f t="shared" si="95"/>
        <v>292988.80447866709</v>
      </c>
      <c r="AG126" s="19">
        <f t="shared" si="95"/>
        <v>296149.87010726373</v>
      </c>
      <c r="AH126" s="19">
        <f t="shared" si="95"/>
        <v>299430.38129798428</v>
      </c>
      <c r="AI126" s="19">
        <f t="shared" si="95"/>
        <v>302831.99366950867</v>
      </c>
      <c r="AJ126" s="19">
        <f t="shared" si="95"/>
        <v>306356.38400833373</v>
      </c>
      <c r="AK126" s="27">
        <f t="shared" si="95"/>
        <v>310005.25052656844</v>
      </c>
    </row>
    <row r="127" spans="1:37" s="53" customFormat="1" ht="38.25" customHeight="1" x14ac:dyDescent="0.25">
      <c r="A127" s="5"/>
      <c r="B127" s="48"/>
      <c r="E127" s="37"/>
      <c r="F127" s="204"/>
      <c r="G127" s="169" t="s">
        <v>352</v>
      </c>
      <c r="H127" s="161">
        <f t="shared" ref="H127:AK127" si="96">H126-H$16</f>
        <v>-4939.9208197635016</v>
      </c>
      <c r="I127" s="162">
        <f t="shared" si="96"/>
        <v>5759.5443927056913</v>
      </c>
      <c r="J127" s="162">
        <f t="shared" si="96"/>
        <v>16600.265537970641</v>
      </c>
      <c r="K127" s="162">
        <f t="shared" si="96"/>
        <v>27584.137923094531</v>
      </c>
      <c r="L127" s="162">
        <f t="shared" si="96"/>
        <v>38713.082610215235</v>
      </c>
      <c r="M127" s="162">
        <f t="shared" si="96"/>
        <v>49989.046769937937</v>
      </c>
      <c r="N127" s="162">
        <f t="shared" si="96"/>
        <v>61414.004039611202</v>
      </c>
      <c r="O127" s="162">
        <f t="shared" si="96"/>
        <v>72989.954886556487</v>
      </c>
      <c r="P127" s="162">
        <f t="shared" si="96"/>
        <v>84718.926976317132</v>
      </c>
      <c r="Q127" s="162">
        <f t="shared" si="96"/>
        <v>96602.975545999652</v>
      </c>
      <c r="R127" s="162">
        <f t="shared" si="96"/>
        <v>108644.18378277571</v>
      </c>
      <c r="S127" s="162">
        <f t="shared" si="96"/>
        <v>120844.66320761776</v>
      </c>
      <c r="T127" s="162">
        <f t="shared" si="96"/>
        <v>133206.55406434039</v>
      </c>
      <c r="U127" s="162">
        <f t="shared" si="96"/>
        <v>145732.02571402187</v>
      </c>
      <c r="V127" s="162">
        <f t="shared" si="96"/>
        <v>158423.27703487989</v>
      </c>
      <c r="W127" s="162">
        <f t="shared" si="96"/>
        <v>171242.87995978308</v>
      </c>
      <c r="X127" s="162">
        <f t="shared" si="96"/>
        <v>183759.65439376057</v>
      </c>
      <c r="Y127" s="162">
        <f t="shared" si="96"/>
        <v>196521.01308986868</v>
      </c>
      <c r="Z127" s="162">
        <f t="shared" si="96"/>
        <v>209530.38520203292</v>
      </c>
      <c r="AA127" s="162">
        <f t="shared" si="96"/>
        <v>222791.24644446382</v>
      </c>
      <c r="AB127" s="162">
        <f t="shared" si="96"/>
        <v>236307.11971426493</v>
      </c>
      <c r="AC127" s="162">
        <f t="shared" si="96"/>
        <v>250016.35058119392</v>
      </c>
      <c r="AD127" s="162">
        <f t="shared" si="96"/>
        <v>264066.28565786302</v>
      </c>
      <c r="AE127" s="162">
        <f t="shared" si="96"/>
        <v>278389.16207506252</v>
      </c>
      <c r="AF127" s="162">
        <f t="shared" si="96"/>
        <v>292988.80447866715</v>
      </c>
      <c r="AG127" s="162">
        <f t="shared" si="96"/>
        <v>296149.87010726373</v>
      </c>
      <c r="AH127" s="162">
        <f t="shared" si="96"/>
        <v>299430.38129798428</v>
      </c>
      <c r="AI127" s="162">
        <f t="shared" si="96"/>
        <v>302831.99366950867</v>
      </c>
      <c r="AJ127" s="162">
        <f t="shared" si="96"/>
        <v>306356.38400833373</v>
      </c>
      <c r="AK127" s="163">
        <f t="shared" si="96"/>
        <v>310005.25052656844</v>
      </c>
    </row>
    <row r="128" spans="1:37" s="53" customFormat="1" ht="38.25" customHeight="1" x14ac:dyDescent="0.25">
      <c r="A128" s="5"/>
      <c r="B128" s="48"/>
      <c r="E128" s="37"/>
      <c r="F128" s="204"/>
      <c r="G128" s="69" t="s">
        <v>299</v>
      </c>
      <c r="H128" s="60">
        <f t="shared" ref="H128:AK128" si="97">IF(H$10=1,($C$18*-1)+H115,H115)</f>
        <v>-22837.710904683274</v>
      </c>
      <c r="I128" s="19">
        <f t="shared" si="97"/>
        <v>-2745.1909046832752</v>
      </c>
      <c r="J128" s="19">
        <f t="shared" si="97"/>
        <v>-2651.7457046832733</v>
      </c>
      <c r="K128" s="19">
        <f t="shared" si="97"/>
        <v>-2557.3660526832782</v>
      </c>
      <c r="L128" s="19">
        <f t="shared" si="97"/>
        <v>-2462.042604163275</v>
      </c>
      <c r="M128" s="19">
        <f t="shared" si="97"/>
        <v>-2365.7659211580785</v>
      </c>
      <c r="N128" s="19">
        <f t="shared" si="97"/>
        <v>-2268.5264713228221</v>
      </c>
      <c r="O128" s="19">
        <f t="shared" si="97"/>
        <v>-2170.3146269892204</v>
      </c>
      <c r="P128" s="19">
        <f t="shared" si="97"/>
        <v>-2071.1206642122752</v>
      </c>
      <c r="Q128" s="19">
        <f t="shared" si="97"/>
        <v>-1970.9347618075681</v>
      </c>
      <c r="R128" s="19">
        <f t="shared" si="97"/>
        <v>-1869.7470003788112</v>
      </c>
      <c r="S128" s="19">
        <f t="shared" si="97"/>
        <v>-1767.5473613357681</v>
      </c>
      <c r="T128" s="19">
        <f t="shared" si="97"/>
        <v>-1664.3257259022921</v>
      </c>
      <c r="U128" s="19">
        <f t="shared" si="97"/>
        <v>-1560.0718741144801</v>
      </c>
      <c r="V128" s="19">
        <f t="shared" si="97"/>
        <v>-1454.775483808791</v>
      </c>
      <c r="W128" s="19">
        <f t="shared" si="97"/>
        <v>-1348.4261296000466</v>
      </c>
      <c r="X128" s="19">
        <f t="shared" si="97"/>
        <v>-1241.0132818492141</v>
      </c>
      <c r="Y128" s="19">
        <f t="shared" si="97"/>
        <v>-1132.5263056208757</v>
      </c>
      <c r="Z128" s="19">
        <f t="shared" si="97"/>
        <v>-1022.9544596302485</v>
      </c>
      <c r="AA128" s="19">
        <f t="shared" si="97"/>
        <v>-912.28689517971702</v>
      </c>
      <c r="AB128" s="19">
        <f t="shared" si="97"/>
        <v>-800.51265508468464</v>
      </c>
      <c r="AC128" s="19">
        <f t="shared" si="97"/>
        <v>-687.62067258870002</v>
      </c>
      <c r="AD128" s="19">
        <f t="shared" si="97"/>
        <v>-573.59977026775277</v>
      </c>
      <c r="AE128" s="19">
        <f t="shared" si="97"/>
        <v>-458.43865892359577</v>
      </c>
      <c r="AF128" s="19">
        <f t="shared" si="97"/>
        <v>-556.0348173978864</v>
      </c>
      <c r="AG128" s="19">
        <f t="shared" si="97"/>
        <v>11227.272616580536</v>
      </c>
      <c r="AH128" s="19">
        <f t="shared" si="97"/>
        <v>11115.578932221308</v>
      </c>
      <c r="AI128" s="19">
        <f t="shared" si="97"/>
        <v>10998.415346702723</v>
      </c>
      <c r="AJ128" s="19">
        <f t="shared" si="97"/>
        <v>10875.596572083745</v>
      </c>
      <c r="AK128" s="27">
        <f t="shared" si="97"/>
        <v>10825.671028198485</v>
      </c>
    </row>
    <row r="129" spans="1:37" s="53" customFormat="1" ht="38.25" customHeight="1" x14ac:dyDescent="0.25">
      <c r="A129" s="5"/>
      <c r="B129" s="48"/>
      <c r="E129" s="37"/>
      <c r="F129" s="204"/>
      <c r="G129" s="167" t="s">
        <v>298</v>
      </c>
      <c r="H129" s="164" t="str">
        <f>TRI!C126</f>
        <v>N/A</v>
      </c>
      <c r="I129" s="165">
        <f>TRI!D126</f>
        <v>-0.86800982372518476</v>
      </c>
      <c r="J129" s="165">
        <f>TRI!E126</f>
        <v>-0.27627866341650542</v>
      </c>
      <c r="K129" s="165">
        <f>TRI!F126</f>
        <v>-4.3589694122695311E-2</v>
      </c>
      <c r="L129" s="165">
        <f>TRI!G126</f>
        <v>4.7592912000447241E-2</v>
      </c>
      <c r="M129" s="165">
        <f>TRI!H126</f>
        <v>8.7152914320230535E-2</v>
      </c>
      <c r="N129" s="165">
        <f>TRI!I126</f>
        <v>0.10508690067975168</v>
      </c>
      <c r="O129" s="165">
        <f>TRI!J126</f>
        <v>0.11294406738743334</v>
      </c>
      <c r="P129" s="165">
        <f>TRI!K126</f>
        <v>0.11575328423151987</v>
      </c>
      <c r="Q129" s="165">
        <f>TRI!L126</f>
        <v>0.1159169986491122</v>
      </c>
      <c r="R129" s="165">
        <f>TRI!M126</f>
        <v>0.11466513227095132</v>
      </c>
      <c r="S129" s="165">
        <f>TRI!N126</f>
        <v>0.11266056242206002</v>
      </c>
      <c r="T129" s="165">
        <f>TRI!O126</f>
        <v>0.11027417155267938</v>
      </c>
      <c r="U129" s="165">
        <f>TRI!P126</f>
        <v>0.1077188182252713</v>
      </c>
      <c r="V129" s="165">
        <f>TRI!Q126</f>
        <v>0.10511839610094587</v>
      </c>
      <c r="W129" s="165">
        <f>TRI!R126</f>
        <v>0.10252498314893121</v>
      </c>
      <c r="X129" s="165">
        <f>TRI!S126</f>
        <v>9.9796814398954714E-2</v>
      </c>
      <c r="Y129" s="165">
        <f>TRI!T126</f>
        <v>9.7244035362523462E-2</v>
      </c>
      <c r="Z129" s="165">
        <f>TRI!U126</f>
        <v>9.4854558125799349E-2</v>
      </c>
      <c r="AA129" s="165">
        <f>TRI!V126</f>
        <v>9.2616123218601576E-2</v>
      </c>
      <c r="AB129" s="165">
        <f>TRI!W126</f>
        <v>9.0516872999249598E-2</v>
      </c>
      <c r="AC129" s="165">
        <f>TRI!X126</f>
        <v>8.8529894291267563E-2</v>
      </c>
      <c r="AD129" s="165">
        <f>TRI!Y126</f>
        <v>8.6680794433373176E-2</v>
      </c>
      <c r="AE129" s="165">
        <f>TRI!Z126</f>
        <v>8.4940469792692985E-2</v>
      </c>
      <c r="AF129" s="165">
        <f>TRI!AA126</f>
        <v>8.3262026824185487E-2</v>
      </c>
      <c r="AG129" s="165">
        <f>TRI!AB126</f>
        <v>8.1670844818673149E-2</v>
      </c>
      <c r="AH129" s="165">
        <f>TRI!AC126</f>
        <v>8.0248888381075689E-2</v>
      </c>
      <c r="AI129" s="165">
        <f>TRI!AD126</f>
        <v>7.8968270130187035E-2</v>
      </c>
      <c r="AJ129" s="165">
        <f>TRI!AE126</f>
        <v>7.7806693320797038E-2</v>
      </c>
      <c r="AK129" s="166">
        <f>TRI!AF126</f>
        <v>7.6755118609879602E-2</v>
      </c>
    </row>
    <row r="130" spans="1:37" s="53" customFormat="1" ht="38.25" customHeight="1" x14ac:dyDescent="0.25">
      <c r="A130" s="5"/>
      <c r="B130" s="48"/>
      <c r="E130" s="37"/>
      <c r="F130" s="205"/>
      <c r="G130" s="158" t="s">
        <v>305</v>
      </c>
      <c r="H130" s="159">
        <f>H$127+H$116-$C$18</f>
        <v>-27777.631724446775</v>
      </c>
      <c r="I130" s="150">
        <f>I$127+I$116-$C$18</f>
        <v>-19823.35741666086</v>
      </c>
      <c r="J130" s="150">
        <f>J$127+J$116-$C$18</f>
        <v>-11634.381976079181</v>
      </c>
      <c r="K130" s="150">
        <f>K$127+K$116-$C$18</f>
        <v>-3207.8756436385702</v>
      </c>
      <c r="L130" s="150">
        <f>L$127+L$116-$C$18</f>
        <v>5459.026439318859</v>
      </c>
      <c r="M130" s="150">
        <f>M$127+M$116-$C$18</f>
        <v>14369.224677883481</v>
      </c>
      <c r="N130" s="150">
        <f>N$127+N$116-$C$18</f>
        <v>23525.655476233922</v>
      </c>
      <c r="O130" s="150">
        <f>O$127+O$116-$C$18</f>
        <v>32931.29169618999</v>
      </c>
      <c r="P130" s="150">
        <f>P$127+P$116-$C$18</f>
        <v>42589.143121738365</v>
      </c>
      <c r="Q130" s="150">
        <f>Q$127+Q$116-$C$18</f>
        <v>52502.256929613315</v>
      </c>
      <c r="R130" s="150">
        <f>R$127+R$116-$C$18</f>
        <v>62673.718166010571</v>
      </c>
      <c r="S130" s="150">
        <f>S$127+S$116-$C$18</f>
        <v>73106.650229516847</v>
      </c>
      <c r="T130" s="150">
        <f>T$127+T$116-$C$18</f>
        <v>83804.215360337184</v>
      </c>
      <c r="U130" s="150">
        <f>U$127+U$116-$C$18</f>
        <v>94769.615135904183</v>
      </c>
      <c r="V130" s="150">
        <f>V$127+V$116-$C$18</f>
        <v>106006.09097295342</v>
      </c>
      <c r="W130" s="150">
        <f>W$127+W$116-$C$18</f>
        <v>117477.26776825654</v>
      </c>
      <c r="X130" s="150">
        <f>X$127+X$116-$C$18</f>
        <v>128753.02892038482</v>
      </c>
      <c r="Y130" s="150">
        <f>Y$127+Y$116-$C$18</f>
        <v>140381.86131087207</v>
      </c>
      <c r="Z130" s="150">
        <f>Z$127+Z$116-$C$18</f>
        <v>152368.27896340605</v>
      </c>
      <c r="AA130" s="150">
        <f>AA$127+AA$116-$C$18</f>
        <v>164716.85331065723</v>
      </c>
      <c r="AB130" s="150">
        <f>AB$127+AB$116-$C$18</f>
        <v>177432.21392537368</v>
      </c>
      <c r="AC130" s="150">
        <f>AC$127+AC$116-$C$18</f>
        <v>190453.82411971397</v>
      </c>
      <c r="AD130" s="150">
        <f>AD$127+AD$116-$C$18</f>
        <v>203930.15942611528</v>
      </c>
      <c r="AE130" s="150">
        <f>AE$127+AE$116-$C$18</f>
        <v>217794.5971843912</v>
      </c>
      <c r="AF130" s="150">
        <f>AF$127+AF$116-$C$18</f>
        <v>231838.20477059795</v>
      </c>
      <c r="AG130" s="150">
        <f>AG$127+AG$116-$C$18</f>
        <v>246226.54301577504</v>
      </c>
      <c r="AH130" s="150">
        <f>AH$127+AH$116-$C$18</f>
        <v>260622.63313871692</v>
      </c>
      <c r="AI130" s="150">
        <f>AI$127+AI$116-$C$18</f>
        <v>275022.66085694404</v>
      </c>
      <c r="AJ130" s="150">
        <f>AJ$127+AJ$116-$C$18</f>
        <v>289422.64776785282</v>
      </c>
      <c r="AK130" s="151">
        <f>AK$127+AK$116-$C$18</f>
        <v>303897.18531428603</v>
      </c>
    </row>
    <row r="131" spans="1:37" s="53" customFormat="1" ht="38.25" customHeight="1" x14ac:dyDescent="0.25">
      <c r="A131" s="5"/>
      <c r="B131" s="48"/>
      <c r="E131" s="37"/>
      <c r="F131" s="93"/>
      <c r="G131" s="54"/>
      <c r="H131" s="38"/>
      <c r="I131" s="38"/>
      <c r="J131" s="38"/>
      <c r="K131" s="38"/>
      <c r="L131" s="38"/>
      <c r="M131" s="38"/>
      <c r="N131" s="38"/>
      <c r="O131" s="38"/>
      <c r="P131" s="38"/>
      <c r="Q131" s="38"/>
      <c r="R131" s="38"/>
      <c r="S131" s="38"/>
      <c r="T131" s="38"/>
      <c r="U131" s="38"/>
      <c r="V131" s="19"/>
      <c r="W131" s="38"/>
      <c r="X131" s="38"/>
      <c r="Y131" s="38"/>
      <c r="Z131" s="38"/>
      <c r="AA131" s="38"/>
      <c r="AB131" s="38"/>
      <c r="AC131" s="38"/>
      <c r="AD131" s="38"/>
      <c r="AE131" s="38"/>
      <c r="AF131" s="38"/>
      <c r="AG131" s="38"/>
      <c r="AH131" s="38"/>
      <c r="AI131" s="38"/>
      <c r="AJ131" s="38"/>
      <c r="AK131" s="38"/>
    </row>
    <row r="132" spans="1:37" s="53" customFormat="1" ht="38.25" customHeight="1" x14ac:dyDescent="0.25">
      <c r="A132" s="5"/>
      <c r="B132" s="48"/>
      <c r="E132" s="37"/>
      <c r="F132" s="206" t="s">
        <v>176</v>
      </c>
      <c r="G132" s="44" t="s">
        <v>181</v>
      </c>
      <c r="H132" s="29">
        <f>IF(AND(H$10=1,$C$12+H$19+H$26-H$12&gt;10700),10700,
IF(AND(H$10=1,$C$12+H$19+H$26-H$12&lt;10700,$C$12+H$19+H$26-H$12&gt;0),$C$12+H$19+H$26-H$12,
0))</f>
        <v>329.63172444676457</v>
      </c>
      <c r="I132" s="29">
        <f t="shared" ref="I132:AJ132" si="98">IF(AND(I$10=1,$C$12+I$19+I$26-I$12&gt;10740),10700,
IF(AND(I$10=1,$C$12+I$19+I$26-I$12&lt;10700,$C$12+I$19+I$26-I$12&gt;0),$C$12+I$19+I$26-I$12,
0))</f>
        <v>0</v>
      </c>
      <c r="J132" s="29">
        <f t="shared" si="98"/>
        <v>0</v>
      </c>
      <c r="K132" s="29">
        <f t="shared" si="98"/>
        <v>0</v>
      </c>
      <c r="L132" s="29">
        <f t="shared" si="98"/>
        <v>0</v>
      </c>
      <c r="M132" s="29">
        <f t="shared" si="98"/>
        <v>0</v>
      </c>
      <c r="N132" s="29">
        <f t="shared" si="98"/>
        <v>0</v>
      </c>
      <c r="O132" s="29">
        <f t="shared" si="98"/>
        <v>0</v>
      </c>
      <c r="P132" s="29">
        <f t="shared" si="98"/>
        <v>0</v>
      </c>
      <c r="Q132" s="29">
        <f t="shared" si="98"/>
        <v>0</v>
      </c>
      <c r="R132" s="29">
        <f t="shared" si="98"/>
        <v>0</v>
      </c>
      <c r="S132" s="29">
        <f t="shared" si="98"/>
        <v>0</v>
      </c>
      <c r="T132" s="29">
        <f t="shared" si="98"/>
        <v>0</v>
      </c>
      <c r="U132" s="29">
        <f t="shared" si="98"/>
        <v>0</v>
      </c>
      <c r="V132" s="29">
        <f t="shared" si="98"/>
        <v>0</v>
      </c>
      <c r="W132" s="29">
        <f t="shared" si="98"/>
        <v>0</v>
      </c>
      <c r="X132" s="29">
        <f t="shared" si="98"/>
        <v>0</v>
      </c>
      <c r="Y132" s="29">
        <f t="shared" si="98"/>
        <v>0</v>
      </c>
      <c r="Z132" s="29">
        <f t="shared" si="98"/>
        <v>0</v>
      </c>
      <c r="AA132" s="29">
        <f t="shared" si="98"/>
        <v>0</v>
      </c>
      <c r="AB132" s="29">
        <f t="shared" si="98"/>
        <v>0</v>
      </c>
      <c r="AC132" s="29">
        <f t="shared" si="98"/>
        <v>0</v>
      </c>
      <c r="AD132" s="29">
        <f t="shared" si="98"/>
        <v>0</v>
      </c>
      <c r="AE132" s="29">
        <f t="shared" si="98"/>
        <v>0</v>
      </c>
      <c r="AF132" s="29">
        <f t="shared" si="98"/>
        <v>0</v>
      </c>
      <c r="AG132" s="29">
        <f t="shared" si="98"/>
        <v>0</v>
      </c>
      <c r="AH132" s="29">
        <f t="shared" si="98"/>
        <v>0</v>
      </c>
      <c r="AI132" s="29">
        <f t="shared" si="98"/>
        <v>0</v>
      </c>
      <c r="AJ132" s="29">
        <f t="shared" si="98"/>
        <v>0</v>
      </c>
      <c r="AK132" s="30">
        <f>IF(AND(AK$10=1,$C$12+AK$19+AK$26-AK$12&gt;10740),10700,
IF(AND(AK$10=1,$C$12+AK$19+AK$26-AK$12&lt;10700,$C$12+AK$19+AK$26-AK$12&gt;0),$C$12+AK$19+AK$26-AK$12,
0))</f>
        <v>0</v>
      </c>
    </row>
    <row r="133" spans="1:37" s="53" customFormat="1" ht="38.25" customHeight="1" x14ac:dyDescent="0.25">
      <c r="A133" s="5"/>
      <c r="B133" s="48"/>
      <c r="E133" s="37"/>
      <c r="F133" s="207"/>
      <c r="G133" s="41" t="s">
        <v>180</v>
      </c>
      <c r="H133" s="19">
        <f>IF(H$10=1,$C$12+H$19+H$26-H$132,H$19+H$26)</f>
        <v>18000</v>
      </c>
      <c r="I133" s="19">
        <f>IF(I$10=1,$C$12+I$19+I$26-I$132,I$19+I$26)</f>
        <v>8258.2456922140846</v>
      </c>
      <c r="J133" s="19">
        <f>IF(J$10=1,$C$12+J$19+J$26-J$132,J$19+J$26)</f>
        <v>8185.6697594183088</v>
      </c>
      <c r="K133" s="19">
        <f>IF(K$10=1,$C$12+K$19+K$26-K$132,K$19+K$26)</f>
        <v>8111.8853195594165</v>
      </c>
      <c r="L133" s="19">
        <f>IF(L$10=1,$C$12+L$19+L$26-L$132,L$19+L$26)</f>
        <v>8036.8734855625498</v>
      </c>
      <c r="M133" s="19">
        <f>IF(M$10=1,$C$12+M$19+M$26-M$132,M$19+M$26)</f>
        <v>7960.6150856406184</v>
      </c>
      <c r="N133" s="19">
        <f>IF(N$10=1,$C$12+N$19+N$26-N$132,N$19+N$26)</f>
        <v>7883.0906590967479</v>
      </c>
      <c r="O133" s="19">
        <f>IF(O$10=1,$C$12+O$19+O$26-O$132,O$19+O$26)</f>
        <v>7804.2804520657301</v>
      </c>
      <c r="P133" s="19">
        <f>IF(P$10=1,$C$12+P$19+P$26-P$132,P$19+P$26)</f>
        <v>7724.1644131935946</v>
      </c>
      <c r="Q133" s="19">
        <f>IF(Q$10=1,$C$12+Q$19+Q$26-Q$132,Q$19+Q$26)</f>
        <v>7642.7221892544021</v>
      </c>
      <c r="R133" s="19">
        <f>IF(R$10=1,$C$12+R$19+R$26-R$132,R$19+R$26)</f>
        <v>7559.9331207033683</v>
      </c>
      <c r="S133" s="19">
        <f>IF(S$10=1,$C$12+S$19+S$26-S$132,S$19+S$26)</f>
        <v>7475.7762371653862</v>
      </c>
      <c r="T133" s="19">
        <f>IF(T$10=1,$C$12+T$19+T$26-T$132,T$19+T$26)</f>
        <v>7390.2302528580549</v>
      </c>
      <c r="U133" s="19">
        <f>IF(U$10=1,$C$12+U$19+U$26-U$132,U$19+U$26)</f>
        <v>7303.2735619481991</v>
      </c>
      <c r="V133" s="19">
        <f>IF(V$10=1,$C$12+V$19+V$26-V$132,V$19+V$26)</f>
        <v>7214.8842338410059</v>
      </c>
      <c r="W133" s="19">
        <f>IF(W$10=1,$C$12+W$19+W$26-W$132,W$19+W$26)</f>
        <v>7125.0400084007615</v>
      </c>
      <c r="X133" s="19">
        <f>IF(X$10=1,$C$12+X$19+X$26-X$132,X$19+X$26)</f>
        <v>7033.7182911022046</v>
      </c>
      <c r="Y133" s="19">
        <f>IF(Y$10=1,$C$12+Y$19+Y$26-Y$132,Y$19+Y$26)</f>
        <v>6940.896148111513</v>
      </c>
      <c r="Z133" s="19">
        <f>IF(Z$10=1,$C$12+Z$19+Z$26-Z$132,Z$19+Z$26)</f>
        <v>6846.5503012959198</v>
      </c>
      <c r="AA133" s="19">
        <f>IF(AA$10=1,$C$12+AA$19+AA$26-AA$132,AA$19+AA$26)</f>
        <v>6750.6571231608959</v>
      </c>
      <c r="AB133" s="19">
        <f>IF(AB$10=1,$C$12+AB$19+AB$26-AB$132,AB$19+AB$26)</f>
        <v>6653.1926317139032</v>
      </c>
      <c r="AC133" s="19">
        <f>IF(AC$10=1,$C$12+AC$19+AC$26-AC$132,AC$19+AC$26)</f>
        <v>6554.1324852536163</v>
      </c>
      <c r="AD133" s="19">
        <f>IF(AD$10=1,$C$12+AD$19+AD$26-AD$132,AD$19+AD$26)</f>
        <v>6453.4519770835905</v>
      </c>
      <c r="AE133" s="19">
        <f>IF(AE$10=1,$C$12+AE$19+AE$26-AE$132,AE$19+AE$26)</f>
        <v>6351.1260301492475</v>
      </c>
      <c r="AF133" s="19">
        <f>IF(AF$10=1,$C$12+AF$19+AF$26-AF$132,AF$19+AF$26)</f>
        <v>6247.1291915971015</v>
      </c>
      <c r="AG133" s="19">
        <f>IF(AG$10=1,$C$12+AG$19+AG$26-AG$132,AG$19+AG$26)</f>
        <v>5970.9439775775536</v>
      </c>
      <c r="AH133" s="19">
        <f>IF(AH$10=1,$C$12+AH$19+AH$26-AH$132,AH$19+AH$26)</f>
        <v>6028.6534173533291</v>
      </c>
      <c r="AI133" s="19">
        <f>IF(AI$10=1,$C$12+AI$19+AI$26-AI$132,AI$19+AI$26)</f>
        <v>6086.9399515268615</v>
      </c>
      <c r="AJ133" s="19">
        <f>IF(AJ$10=1,$C$12+AJ$19+AJ$26-AJ$132,AJ$19+AJ$26)</f>
        <v>6145.8093510421295</v>
      </c>
      <c r="AK133" s="27">
        <f>IF(AK$10=1,$C$12+AK$19+AK$26-AK$132,AK$19+AK$26)</f>
        <v>6205.2674445525518</v>
      </c>
    </row>
    <row r="134" spans="1:37" s="53" customFormat="1" ht="38.25" customHeight="1" x14ac:dyDescent="0.25">
      <c r="A134" s="5"/>
      <c r="B134" s="48"/>
      <c r="E134" s="37"/>
      <c r="F134" s="207"/>
      <c r="G134" s="41" t="s">
        <v>182</v>
      </c>
      <c r="H134" s="19">
        <f>IF(H$10=1,0,IF(G$134+G$133-G$12&gt;0,G$134+G$133-G$12,0))</f>
        <v>0</v>
      </c>
      <c r="I134" s="19">
        <f>IF(I10=1,0,IF(H134+H133-H12&gt;0,H134+H133-H12,0))</f>
        <v>0</v>
      </c>
      <c r="J134" s="19">
        <f>IF(J10=1,0,IF(I134+I133-I12&gt;0,I134+I133-I12,0))</f>
        <v>0</v>
      </c>
      <c r="K134" s="19">
        <f>IF(K10=1,0,IF(J134+J133-J12&gt;0,J134+J133-J12,0))</f>
        <v>0</v>
      </c>
      <c r="L134" s="19">
        <f>IF(L10=1,0,IF(K134+K133-K12&gt;0,K134+K133-K12,0))</f>
        <v>0</v>
      </c>
      <c r="M134" s="19">
        <f>IF(M10=1,0,IF(L134+L133-L12&gt;0,L134+L133-L12,0))</f>
        <v>0</v>
      </c>
      <c r="N134" s="19">
        <f>IF(N10=1,0,IF(M134+M133-M12&gt;0,M134+M133-M12,0))</f>
        <v>0</v>
      </c>
      <c r="O134" s="19">
        <f>IF(O10=1,0,IF(N134+N133-N12&gt;0,N134+N133-N12,0))</f>
        <v>0</v>
      </c>
      <c r="P134" s="19">
        <f>IF(P10=1,0,IF(O134+O133-O12&gt;0,O134+O133-O12,0))</f>
        <v>0</v>
      </c>
      <c r="Q134" s="19">
        <f>IF(Q10=1,0,IF(P134+P133-P12&gt;0,P134+P133-P12,0))</f>
        <v>0</v>
      </c>
      <c r="R134" s="19">
        <f>IF(R10=1,0,IF(Q134+Q133-Q12&gt;0,Q134+Q133-Q12,0))</f>
        <v>0</v>
      </c>
      <c r="S134" s="19">
        <f>IF(S10=1,0,IF(R134+R133-R12&gt;0,R134+R133-R12,0))</f>
        <v>0</v>
      </c>
      <c r="T134" s="19">
        <f>IF(T10=1,0,IF(S134+S133-S12&gt;0,S134+S133-S12,0))</f>
        <v>0</v>
      </c>
      <c r="U134" s="19">
        <f>IF(U10=1,0,IF(T134+T133-T12&gt;0,T134+T133-T12,0))</f>
        <v>0</v>
      </c>
      <c r="V134" s="19">
        <f>IF(V10=1,0,IF(U134+U133-U12&gt;0,U134+U133-U12,0))</f>
        <v>0</v>
      </c>
      <c r="W134" s="19">
        <f>IF(W10=1,0,IF(V134+V133-V12&gt;0,V134+V133-V12,0))</f>
        <v>0</v>
      </c>
      <c r="X134" s="19">
        <f>IF(X10=1,0,IF(W134+W133-W12&gt;0,W134+W133-W12,0))</f>
        <v>0</v>
      </c>
      <c r="Y134" s="19">
        <f>IF(Y10=1,0,IF(X134+X133-X12&gt;0,X134+X133-X12,0))</f>
        <v>0</v>
      </c>
      <c r="Z134" s="19">
        <f>IF(Z10=1,0,IF(Y134+Y133-Y12&gt;0,Y134+Y133-Y12,0))</f>
        <v>0</v>
      </c>
      <c r="AA134" s="19">
        <f>IF(AA10=1,0,IF(Z134+Z133-Z12&gt;0,Z134+Z133-Z12,0))</f>
        <v>0</v>
      </c>
      <c r="AB134" s="19">
        <f>IF(AB10=1,0,IF(AA134+AA133-AA12&gt;0,AA134+AA133-AA12,0))</f>
        <v>0</v>
      </c>
      <c r="AC134" s="19">
        <f>IF(AC10=1,0,IF(AB134+AB133-AB12&gt;0,AB134+AB133-AB12,0))</f>
        <v>0</v>
      </c>
      <c r="AD134" s="19">
        <f>IF(AD10=1,0,IF(AC134+AC133-AC12&gt;0,AC134+AC133-AC12,0))</f>
        <v>0</v>
      </c>
      <c r="AE134" s="19">
        <f>IF(AE10=1,0,IF(AD134+AD133-AD12&gt;0,AD134+AD133-AD12,0))</f>
        <v>0</v>
      </c>
      <c r="AF134" s="19">
        <f>IF(AF10=1,0,IF(AE134+AE133-AE12&gt;0,AE134+AE133-AE12,0))</f>
        <v>0</v>
      </c>
      <c r="AG134" s="19">
        <f>IF(AG10=1,0,IF(AF134+AF133-AF12&gt;0,AF134+AF133-AF12,0))</f>
        <v>0</v>
      </c>
      <c r="AH134" s="19">
        <f>IF(AH10=1,0,IF(AG134+AG133-AG12&gt;0,AG134+AG133-AG12,0))</f>
        <v>0</v>
      </c>
      <c r="AI134" s="19">
        <f>IF(AI10=1,0,IF(AH134+AH133-AH12&gt;0,AH134+AH133-AH12,0))</f>
        <v>0</v>
      </c>
      <c r="AJ134" s="19">
        <f>IF(AJ10=1,0,IF(AI134+AI133-AI12&gt;0,AI134+AI133-AI12,0))</f>
        <v>0</v>
      </c>
      <c r="AK134" s="27">
        <f>IF(AK10=1,0,IF(AJ134+AJ133-AJ12&gt;0,AJ134+AJ133-AJ12,0))</f>
        <v>0</v>
      </c>
    </row>
    <row r="135" spans="1:37" s="53" customFormat="1" ht="38.25" customHeight="1" x14ac:dyDescent="0.25">
      <c r="A135" s="5"/>
      <c r="B135" s="48"/>
      <c r="E135" s="37"/>
      <c r="F135" s="207"/>
      <c r="G135" s="41" t="s">
        <v>107</v>
      </c>
      <c r="H135" s="19">
        <f>IF(H12-H133-H134&lt;0,0,H12-H133-H134)</f>
        <v>0</v>
      </c>
      <c r="I135" s="19">
        <f>IF(I12-I133-I134&lt;0,0,I12-I133-I134)</f>
        <v>9921.7543077859154</v>
      </c>
      <c r="J135" s="19">
        <f>IF(J12-J133-J134&lt;0,0,J12-J133-J134)</f>
        <v>10176.130240581693</v>
      </c>
      <c r="K135" s="19">
        <f>IF(K12-K133-K134&lt;0,0,K12-K133-K134)</f>
        <v>10433.532680440581</v>
      </c>
      <c r="L135" s="19">
        <f>IF(L12-L133-L134&lt;0,0,L12-L133-L134)</f>
        <v>10693.998694437452</v>
      </c>
      <c r="M135" s="19">
        <f>IF(M12-M133-M134&lt;0,0,M12-M133-M134)</f>
        <v>10957.56581615938</v>
      </c>
      <c r="N135" s="19">
        <f>IF(N12-N133-N134&lt;0,0,N12-N133-N134)</f>
        <v>11224.272051721257</v>
      </c>
      <c r="O135" s="19">
        <f>IF(O12-O133-O134&lt;0,0,O12-O133-O134)</f>
        <v>11494.155885860448</v>
      </c>
      <c r="P135" s="19">
        <f>IF(P12-P133-P134&lt;0,0,P12-P133-P134)</f>
        <v>11767.25628811185</v>
      </c>
      <c r="Q135" s="19">
        <f>IF(Q12-Q133-Q134&lt;0,0,Q12-Q133-Q134)</f>
        <v>12043.6127190641</v>
      </c>
      <c r="R135" s="19">
        <f>IF(R12-R133-R134&lt;0,0,R12-R133-R134)</f>
        <v>12323.265136698315</v>
      </c>
      <c r="S135" s="19">
        <f>IF(S12-S133-S134&lt;0,0,S12-S133-S134)</f>
        <v>12606.254002810312</v>
      </c>
      <c r="T135" s="19">
        <f>IF(T12-T133-T134&lt;0,0,T12-T133-T134)</f>
        <v>12892.620289517399</v>
      </c>
      <c r="U135" s="19">
        <f>IF(U12-U133-U134&lt;0,0,U12-U133-U134)</f>
        <v>13182.405485851012</v>
      </c>
      <c r="V135" s="19">
        <f>IF(V12-V133-V134&lt;0,0,V12-V133-V134)</f>
        <v>13475.6516044362</v>
      </c>
      <c r="W135" s="19">
        <f>IF(W12-W133-W134&lt;0,0,W12-W133-W134)</f>
        <v>13772.401188259211</v>
      </c>
      <c r="X135" s="19">
        <f>IF(X12-X133-X134&lt;0,0,X12-X133-X134)</f>
        <v>14072.697317524375</v>
      </c>
      <c r="Y135" s="19">
        <f>IF(Y12-Y133-Y134&lt;0,0,Y12-Y133-Y134)</f>
        <v>14376.583616601331</v>
      </c>
      <c r="Z135" s="19">
        <f>IF(Z12-Z133-Z134&lt;0,0,Z12-Z133-Z134)</f>
        <v>14684.104261064054</v>
      </c>
      <c r="AA135" s="19">
        <f>IF(AA12-AA133-AA134&lt;0,0,AA12-AA133-AA134)</f>
        <v>14995.303984822674</v>
      </c>
      <c r="AB135" s="19">
        <f>IF(AB12-AB133-AB134&lt;0,0,AB12-AB133-AB134)</f>
        <v>15310.2280873495</v>
      </c>
      <c r="AC135" s="19">
        <f>IF(AC12-AC133-AC134&lt;0,0,AC12-AC133-AC134)</f>
        <v>15628.922441000424</v>
      </c>
      <c r="AD135" s="19">
        <f>IF(AD12-AD133-AD134&lt;0,0,AD12-AD133-AD134)</f>
        <v>15951.433498432994</v>
      </c>
      <c r="AE135" s="19">
        <f>IF(AE12-AE133-AE134&lt;0,0,AE12-AE133-AE134)</f>
        <v>16277.808300122499</v>
      </c>
      <c r="AF135" s="19">
        <f>IF(AF12-AF133-AF134&lt;0,0,AF12-AF133-AF134)</f>
        <v>16608.094481977365</v>
      </c>
      <c r="AG135" s="19">
        <f>IF(AG12-AG133-AG134&lt;0,0,AG12-AG133-AG134)</f>
        <v>17112.831932732661</v>
      </c>
      <c r="AH135" s="19">
        <f>IF(AH12-AH133-AH134&lt;0,0,AH12-AH133-AH134)</f>
        <v>17285.960252059991</v>
      </c>
      <c r="AI135" s="19">
        <f>IF(AI12-AI133-AI134&lt;0,0,AI12-AI133-AI134)</f>
        <v>17460.819854580579</v>
      </c>
      <c r="AJ135" s="19">
        <f>IF(AJ12-AJ133-AJ134&lt;0,0,AJ12-AJ133-AJ134)</f>
        <v>17637.428053126394</v>
      </c>
      <c r="AK135" s="27">
        <f>IF(AK12-AK133-AK134&lt;0,0,AK12-AK133-AK134)</f>
        <v>17815.802333657655</v>
      </c>
    </row>
    <row r="136" spans="1:37" s="53" customFormat="1" ht="38.25" customHeight="1" x14ac:dyDescent="0.25">
      <c r="A136" s="5"/>
      <c r="B136" s="48"/>
      <c r="E136" s="37"/>
      <c r="F136" s="207"/>
      <c r="G136" s="41" t="s">
        <v>111</v>
      </c>
      <c r="H136" s="19">
        <f>H135+H38-H132</f>
        <v>31170.368275553235</v>
      </c>
      <c r="I136" s="19">
        <f>I135+I38-I132</f>
        <v>42366.754307785915</v>
      </c>
      <c r="J136" s="19">
        <f>J135+J38-J132</f>
        <v>43594.480240581688</v>
      </c>
      <c r="K136" s="19">
        <f>K135+K38-K132</f>
        <v>44854.433180440581</v>
      </c>
      <c r="L136" s="19">
        <f>L135+L38-L132</f>
        <v>46147.526209437456</v>
      </c>
      <c r="M136" s="19">
        <f>M135+M38-M132</f>
        <v>47474.699156609378</v>
      </c>
      <c r="N136" s="19">
        <f>N135+N38-N132</f>
        <v>48836.919392384756</v>
      </c>
      <c r="O136" s="19">
        <f>O135+O38-O132</f>
        <v>50235.182646743851</v>
      </c>
      <c r="P136" s="19">
        <f>P135+P38-P132</f>
        <v>51670.51385182175</v>
      </c>
      <c r="Q136" s="19">
        <f>Q135+Q38-Q132</f>
        <v>53143.968009685297</v>
      </c>
      <c r="R136" s="19">
        <f>R135+R38-R132</f>
        <v>54656.631086038149</v>
      </c>
      <c r="S136" s="19">
        <f>S135+S38-S132</f>
        <v>56209.620930630343</v>
      </c>
      <c r="T136" s="19">
        <f>T135+T38-T132</f>
        <v>57804.088225172025</v>
      </c>
      <c r="U136" s="19">
        <f>U135+U38-U132</f>
        <v>59441.21745957528</v>
      </c>
      <c r="V136" s="19">
        <f>V135+V38-V132</f>
        <v>61122.227937372198</v>
      </c>
      <c r="W136" s="19">
        <f>W135+W38-W132</f>
        <v>62848.37481118329</v>
      </c>
      <c r="X136" s="19">
        <f>X135+X38-X132</f>
        <v>64620.950149136173</v>
      </c>
      <c r="Y136" s="19">
        <f>Y135+Y38-Y132</f>
        <v>66441.284033161472</v>
      </c>
      <c r="Z136" s="19">
        <f>Z135+Z38-Z132</f>
        <v>68310.74569012101</v>
      </c>
      <c r="AA136" s="19">
        <f>AA135+AA38-AA132</f>
        <v>70230.744656751325</v>
      </c>
      <c r="AB136" s="19">
        <f>AB135+AB38-AB132</f>
        <v>72202.731979436023</v>
      </c>
      <c r="AC136" s="19">
        <f>AC135+AC38-AC132</f>
        <v>74228.201449849526</v>
      </c>
      <c r="AD136" s="19">
        <f>AD135+AD38-AD132</f>
        <v>76308.690877547575</v>
      </c>
      <c r="AE136" s="19">
        <f>AE135+AE38-AE132</f>
        <v>78445.783400610526</v>
      </c>
      <c r="AF136" s="19">
        <f>AF135+AF38-AF132</f>
        <v>80641.10883548003</v>
      </c>
      <c r="AG136" s="19">
        <f>AG135+AG38-AG132</f>
        <v>83066.836716840407</v>
      </c>
      <c r="AH136" s="19">
        <f>AH135+AH38-AH132</f>
        <v>85218.58517969097</v>
      </c>
      <c r="AI136" s="19">
        <f>AI135+AI38-AI132</f>
        <v>87431.423530040483</v>
      </c>
      <c r="AJ136" s="19">
        <f>AJ135+AJ38-AJ132</f>
        <v>89707.149838850091</v>
      </c>
      <c r="AK136" s="27">
        <f>AK135+AK38-AK132</f>
        <v>92047.615772953068</v>
      </c>
    </row>
    <row r="137" spans="1:37" s="74" customFormat="1" ht="38.25" customHeight="1" x14ac:dyDescent="0.25">
      <c r="A137" s="76"/>
      <c r="B137" s="40"/>
      <c r="F137" s="207"/>
      <c r="G137" s="41" t="s">
        <v>112</v>
      </c>
      <c r="H137" s="19">
        <f t="shared" ref="H137:N137" si="99">IF($C$32=0,H136,H136/2)</f>
        <v>31170.368275553235</v>
      </c>
      <c r="I137" s="19">
        <f t="shared" si="99"/>
        <v>42366.754307785915</v>
      </c>
      <c r="J137" s="19">
        <f t="shared" si="99"/>
        <v>43594.480240581688</v>
      </c>
      <c r="K137" s="19">
        <f t="shared" si="99"/>
        <v>44854.433180440581</v>
      </c>
      <c r="L137" s="19">
        <f t="shared" si="99"/>
        <v>46147.526209437456</v>
      </c>
      <c r="M137" s="19">
        <f t="shared" si="99"/>
        <v>47474.699156609378</v>
      </c>
      <c r="N137" s="19">
        <f t="shared" si="99"/>
        <v>48836.919392384756</v>
      </c>
      <c r="O137" s="19">
        <f t="shared" ref="O137:AK137" si="100">IF($C$32=0,O136,O136/2)</f>
        <v>50235.182646743851</v>
      </c>
      <c r="P137" s="19">
        <f t="shared" si="100"/>
        <v>51670.51385182175</v>
      </c>
      <c r="Q137" s="19">
        <f t="shared" si="100"/>
        <v>53143.968009685297</v>
      </c>
      <c r="R137" s="19">
        <f t="shared" si="100"/>
        <v>54656.631086038149</v>
      </c>
      <c r="S137" s="19">
        <f t="shared" si="100"/>
        <v>56209.620930630343</v>
      </c>
      <c r="T137" s="19">
        <f t="shared" si="100"/>
        <v>57804.088225172025</v>
      </c>
      <c r="U137" s="19">
        <f t="shared" si="100"/>
        <v>59441.21745957528</v>
      </c>
      <c r="V137" s="19">
        <f t="shared" si="100"/>
        <v>61122.227937372198</v>
      </c>
      <c r="W137" s="19">
        <f t="shared" si="100"/>
        <v>62848.37481118329</v>
      </c>
      <c r="X137" s="19">
        <f t="shared" si="100"/>
        <v>64620.950149136173</v>
      </c>
      <c r="Y137" s="19">
        <f t="shared" si="100"/>
        <v>66441.284033161472</v>
      </c>
      <c r="Z137" s="19">
        <f t="shared" si="100"/>
        <v>68310.74569012101</v>
      </c>
      <c r="AA137" s="19">
        <f t="shared" si="100"/>
        <v>70230.744656751325</v>
      </c>
      <c r="AB137" s="19">
        <f t="shared" si="100"/>
        <v>72202.731979436023</v>
      </c>
      <c r="AC137" s="19">
        <f t="shared" si="100"/>
        <v>74228.201449849526</v>
      </c>
      <c r="AD137" s="19">
        <f t="shared" si="100"/>
        <v>76308.690877547575</v>
      </c>
      <c r="AE137" s="19">
        <f t="shared" si="100"/>
        <v>78445.783400610526</v>
      </c>
      <c r="AF137" s="19">
        <f t="shared" si="100"/>
        <v>80641.10883548003</v>
      </c>
      <c r="AG137" s="19">
        <f t="shared" si="100"/>
        <v>83066.836716840407</v>
      </c>
      <c r="AH137" s="19">
        <f t="shared" si="100"/>
        <v>85218.58517969097</v>
      </c>
      <c r="AI137" s="19">
        <f t="shared" si="100"/>
        <v>87431.423530040483</v>
      </c>
      <c r="AJ137" s="19">
        <f t="shared" si="100"/>
        <v>89707.149838850091</v>
      </c>
      <c r="AK137" s="27">
        <f t="shared" si="100"/>
        <v>92047.615772953068</v>
      </c>
    </row>
    <row r="138" spans="1:37" s="74" customFormat="1" ht="38.25" customHeight="1" x14ac:dyDescent="0.25">
      <c r="A138" s="76"/>
      <c r="B138" s="40"/>
      <c r="F138" s="207"/>
      <c r="G138" s="41" t="s">
        <v>113</v>
      </c>
      <c r="H138" s="19">
        <f>IF(H137&lt;10084,0,
IF(AND(H137&gt;10084,H137&lt;=25710),(H137-10084)*0.11,
IF(AND(H137&gt;25710,H137&lt;=73516),(H137-25710)*0.3+1721.06,
IF(AND(H137&gt;73516,H137&lt;=158122),(H137-73516)*0.41+16062.86,
IF(H137&gt;158122,(H137-158122)*0.45+50751.32,
0)))))</f>
        <v>3359.1704826659707</v>
      </c>
      <c r="I138" s="19">
        <f t="shared" ref="I138:N138" si="101">IF(I137&lt;10084,0,
IF(AND(I137&gt;10084,I137&lt;=25710),(I137-10084)*0.11,
IF(AND(I137&gt;25710,I137&lt;=73516),(I137-25710)*0.3+1721.06,
IF(AND(I137&gt;73516,I137&lt;=158122),(I137-73516)*0.41+16062.86,
IF(I137&gt;158122,(I137-158122)*0.45+50751.32,
0)))))</f>
        <v>6718.0862923357745</v>
      </c>
      <c r="J138" s="19">
        <f t="shared" si="101"/>
        <v>7086.4040721745059</v>
      </c>
      <c r="K138" s="19">
        <f t="shared" si="101"/>
        <v>7464.3899541321734</v>
      </c>
      <c r="L138" s="19">
        <f t="shared" si="101"/>
        <v>7852.3178628312362</v>
      </c>
      <c r="M138" s="19">
        <f t="shared" si="101"/>
        <v>8250.4697469828134</v>
      </c>
      <c r="N138" s="19">
        <f t="shared" si="101"/>
        <v>8659.135817715427</v>
      </c>
      <c r="O138" s="19">
        <f t="shared" ref="O138:AK138" si="102">IF(O137&lt;10084,0,
IF(AND(O137&gt;10084,O137&lt;=25710),(O137-10084)*0.11,
IF(AND(O137&gt;25710,O137&lt;=73516),(O137-25710)*0.3+1721.06,
IF(AND(O137&gt;73516,O137&lt;=158122),(O137-73516)*0.41+16062.86,
IF(O137&gt;158122,(O137-158122)*0.45+50751.32,
0)))))</f>
        <v>9078.6147940231549</v>
      </c>
      <c r="P138" s="19">
        <f t="shared" si="102"/>
        <v>9509.2141555465241</v>
      </c>
      <c r="Q138" s="19">
        <f t="shared" si="102"/>
        <v>9951.250402905589</v>
      </c>
      <c r="R138" s="19">
        <f t="shared" si="102"/>
        <v>10405.049325811444</v>
      </c>
      <c r="S138" s="19">
        <f t="shared" si="102"/>
        <v>10870.946279189102</v>
      </c>
      <c r="T138" s="19">
        <f t="shared" si="102"/>
        <v>11349.286467551607</v>
      </c>
      <c r="U138" s="19">
        <f t="shared" si="102"/>
        <v>11840.425237872583</v>
      </c>
      <c r="V138" s="19">
        <f t="shared" si="102"/>
        <v>12344.728381211658</v>
      </c>
      <c r="W138" s="19">
        <f t="shared" si="102"/>
        <v>12862.572443354986</v>
      </c>
      <c r="X138" s="19">
        <f t="shared" si="102"/>
        <v>13394.34504474085</v>
      </c>
      <c r="Y138" s="19">
        <f t="shared" si="102"/>
        <v>13940.445209948441</v>
      </c>
      <c r="Z138" s="19">
        <f t="shared" si="102"/>
        <v>14501.283707036302</v>
      </c>
      <c r="AA138" s="19">
        <f t="shared" si="102"/>
        <v>15077.283397025396</v>
      </c>
      <c r="AB138" s="19">
        <f t="shared" si="102"/>
        <v>15668.879593830807</v>
      </c>
      <c r="AC138" s="19">
        <f t="shared" si="102"/>
        <v>16354.862594438306</v>
      </c>
      <c r="AD138" s="19">
        <f t="shared" si="102"/>
        <v>17207.863259794507</v>
      </c>
      <c r="AE138" s="19">
        <f t="shared" si="102"/>
        <v>18084.071194250315</v>
      </c>
      <c r="AF138" s="19">
        <f t="shared" si="102"/>
        <v>18984.154622546812</v>
      </c>
      <c r="AG138" s="19">
        <f t="shared" si="102"/>
        <v>19978.703053904566</v>
      </c>
      <c r="AH138" s="19">
        <f t="shared" si="102"/>
        <v>20860.919923673297</v>
      </c>
      <c r="AI138" s="19">
        <f t="shared" si="102"/>
        <v>21768.183647316597</v>
      </c>
      <c r="AJ138" s="19">
        <f t="shared" si="102"/>
        <v>22701.231433928537</v>
      </c>
      <c r="AK138" s="27">
        <f t="shared" si="102"/>
        <v>23660.822466910759</v>
      </c>
    </row>
    <row r="139" spans="1:37" s="74" customFormat="1" ht="38.25" customHeight="1" x14ac:dyDescent="0.25">
      <c r="A139" s="76"/>
      <c r="B139" s="40"/>
      <c r="F139" s="207"/>
      <c r="G139" s="41" t="s">
        <v>114</v>
      </c>
      <c r="H139" s="19">
        <f t="shared" ref="H139:N139" si="103">IF($C$32=0,H138,H138*2)</f>
        <v>3359.1704826659707</v>
      </c>
      <c r="I139" s="19">
        <f t="shared" si="103"/>
        <v>6718.0862923357745</v>
      </c>
      <c r="J139" s="19">
        <f t="shared" si="103"/>
        <v>7086.4040721745059</v>
      </c>
      <c r="K139" s="19">
        <f t="shared" si="103"/>
        <v>7464.3899541321734</v>
      </c>
      <c r="L139" s="19">
        <f t="shared" si="103"/>
        <v>7852.3178628312362</v>
      </c>
      <c r="M139" s="19">
        <f t="shared" si="103"/>
        <v>8250.4697469828134</v>
      </c>
      <c r="N139" s="19">
        <f t="shared" si="103"/>
        <v>8659.135817715427</v>
      </c>
      <c r="O139" s="19">
        <f t="shared" ref="O139:AK139" si="104">IF($C$32=0,O138,O138*2)</f>
        <v>9078.6147940231549</v>
      </c>
      <c r="P139" s="19">
        <f t="shared" si="104"/>
        <v>9509.2141555465241</v>
      </c>
      <c r="Q139" s="19">
        <f t="shared" si="104"/>
        <v>9951.250402905589</v>
      </c>
      <c r="R139" s="19">
        <f t="shared" si="104"/>
        <v>10405.049325811444</v>
      </c>
      <c r="S139" s="19">
        <f t="shared" si="104"/>
        <v>10870.946279189102</v>
      </c>
      <c r="T139" s="19">
        <f t="shared" si="104"/>
        <v>11349.286467551607</v>
      </c>
      <c r="U139" s="19">
        <f t="shared" si="104"/>
        <v>11840.425237872583</v>
      </c>
      <c r="V139" s="19">
        <f t="shared" si="104"/>
        <v>12344.728381211658</v>
      </c>
      <c r="W139" s="19">
        <f t="shared" si="104"/>
        <v>12862.572443354986</v>
      </c>
      <c r="X139" s="19">
        <f t="shared" si="104"/>
        <v>13394.34504474085</v>
      </c>
      <c r="Y139" s="19">
        <f t="shared" si="104"/>
        <v>13940.445209948441</v>
      </c>
      <c r="Z139" s="19">
        <f t="shared" si="104"/>
        <v>14501.283707036302</v>
      </c>
      <c r="AA139" s="19">
        <f t="shared" si="104"/>
        <v>15077.283397025396</v>
      </c>
      <c r="AB139" s="19">
        <f t="shared" si="104"/>
        <v>15668.879593830807</v>
      </c>
      <c r="AC139" s="19">
        <f t="shared" si="104"/>
        <v>16354.862594438306</v>
      </c>
      <c r="AD139" s="19">
        <f t="shared" si="104"/>
        <v>17207.863259794507</v>
      </c>
      <c r="AE139" s="19">
        <f t="shared" si="104"/>
        <v>18084.071194250315</v>
      </c>
      <c r="AF139" s="19">
        <f t="shared" si="104"/>
        <v>18984.154622546812</v>
      </c>
      <c r="AG139" s="19">
        <f t="shared" si="104"/>
        <v>19978.703053904566</v>
      </c>
      <c r="AH139" s="19">
        <f t="shared" si="104"/>
        <v>20860.919923673297</v>
      </c>
      <c r="AI139" s="19">
        <f t="shared" si="104"/>
        <v>21768.183647316597</v>
      </c>
      <c r="AJ139" s="19">
        <f t="shared" si="104"/>
        <v>22701.231433928537</v>
      </c>
      <c r="AK139" s="27">
        <f t="shared" si="104"/>
        <v>23660.822466910759</v>
      </c>
    </row>
    <row r="140" spans="1:37" s="74" customFormat="1" ht="38.25" customHeight="1" x14ac:dyDescent="0.25">
      <c r="A140" s="76"/>
      <c r="B140" s="40"/>
      <c r="F140" s="207"/>
      <c r="G140" s="41" t="s">
        <v>115</v>
      </c>
      <c r="H140" s="19">
        <f t="shared" ref="H140:N140" si="105">H136/$C$34</f>
        <v>31170.368275553235</v>
      </c>
      <c r="I140" s="19">
        <f t="shared" si="105"/>
        <v>42366.754307785915</v>
      </c>
      <c r="J140" s="19">
        <f t="shared" si="105"/>
        <v>43594.480240581688</v>
      </c>
      <c r="K140" s="19">
        <f t="shared" si="105"/>
        <v>44854.433180440581</v>
      </c>
      <c r="L140" s="19">
        <f t="shared" si="105"/>
        <v>46147.526209437456</v>
      </c>
      <c r="M140" s="19">
        <f t="shared" si="105"/>
        <v>47474.699156609378</v>
      </c>
      <c r="N140" s="19">
        <f t="shared" si="105"/>
        <v>48836.919392384756</v>
      </c>
      <c r="O140" s="19">
        <f t="shared" ref="O140:AK140" si="106">O136/$C$34</f>
        <v>50235.182646743851</v>
      </c>
      <c r="P140" s="19">
        <f t="shared" si="106"/>
        <v>51670.51385182175</v>
      </c>
      <c r="Q140" s="19">
        <f t="shared" si="106"/>
        <v>53143.968009685297</v>
      </c>
      <c r="R140" s="19">
        <f t="shared" si="106"/>
        <v>54656.631086038149</v>
      </c>
      <c r="S140" s="19">
        <f t="shared" si="106"/>
        <v>56209.620930630343</v>
      </c>
      <c r="T140" s="19">
        <f t="shared" si="106"/>
        <v>57804.088225172025</v>
      </c>
      <c r="U140" s="19">
        <f t="shared" si="106"/>
        <v>59441.21745957528</v>
      </c>
      <c r="V140" s="19">
        <f t="shared" si="106"/>
        <v>61122.227937372198</v>
      </c>
      <c r="W140" s="19">
        <f t="shared" si="106"/>
        <v>62848.37481118329</v>
      </c>
      <c r="X140" s="19">
        <f t="shared" si="106"/>
        <v>64620.950149136173</v>
      </c>
      <c r="Y140" s="19">
        <f t="shared" si="106"/>
        <v>66441.284033161472</v>
      </c>
      <c r="Z140" s="19">
        <f t="shared" si="106"/>
        <v>68310.74569012101</v>
      </c>
      <c r="AA140" s="19">
        <f t="shared" si="106"/>
        <v>70230.744656751325</v>
      </c>
      <c r="AB140" s="19">
        <f t="shared" si="106"/>
        <v>72202.731979436023</v>
      </c>
      <c r="AC140" s="19">
        <f t="shared" si="106"/>
        <v>74228.201449849526</v>
      </c>
      <c r="AD140" s="19">
        <f t="shared" si="106"/>
        <v>76308.690877547575</v>
      </c>
      <c r="AE140" s="19">
        <f t="shared" si="106"/>
        <v>78445.783400610526</v>
      </c>
      <c r="AF140" s="19">
        <f t="shared" si="106"/>
        <v>80641.10883548003</v>
      </c>
      <c r="AG140" s="19">
        <f t="shared" si="106"/>
        <v>83066.836716840407</v>
      </c>
      <c r="AH140" s="19">
        <f t="shared" si="106"/>
        <v>85218.58517969097</v>
      </c>
      <c r="AI140" s="19">
        <f t="shared" si="106"/>
        <v>87431.423530040483</v>
      </c>
      <c r="AJ140" s="19">
        <f t="shared" si="106"/>
        <v>89707.149838850091</v>
      </c>
      <c r="AK140" s="27">
        <f t="shared" si="106"/>
        <v>92047.615772953068</v>
      </c>
    </row>
    <row r="141" spans="1:37" s="53" customFormat="1" ht="38.25" customHeight="1" x14ac:dyDescent="0.25">
      <c r="A141" s="5"/>
      <c r="B141" s="48"/>
      <c r="E141" s="37"/>
      <c r="F141" s="207"/>
      <c r="G141" s="41" t="s">
        <v>116</v>
      </c>
      <c r="H141" s="19">
        <f>IF(H140&lt;10084,0,
IF(AND(H140&gt;10084,H140&lt;=25710),(H140-10084)*0.11,
IF(AND(H140&gt;25710,H140&lt;=73516),(H140-25710)*0.3+1721.06,
IF(AND(H140&gt;73516,H140&lt;=158122),(H140-73516)*0.41+16062.86,
IF(H140&gt;158122,(H140-158122)*0.45+50751.32,
0)))))</f>
        <v>3359.1704826659707</v>
      </c>
      <c r="I141" s="19">
        <f t="shared" ref="I141:N141" si="107">IF(I140&lt;10084,0,
IF(AND(I140&gt;10084,I140&lt;=25710),(I140-10084)*0.11,
IF(AND(I140&gt;25710,I140&lt;=73516),(I140-25710)*0.3+1721.06,
IF(AND(I140&gt;73516,I140&lt;=158122),(I140-73516)*0.41+16062.86,
IF(I140&gt;158122,(I140-158122)*0.45+50751.32,
0)))))</f>
        <v>6718.0862923357745</v>
      </c>
      <c r="J141" s="19">
        <f t="shared" si="107"/>
        <v>7086.4040721745059</v>
      </c>
      <c r="K141" s="19">
        <f t="shared" si="107"/>
        <v>7464.3899541321734</v>
      </c>
      <c r="L141" s="19">
        <f t="shared" si="107"/>
        <v>7852.3178628312362</v>
      </c>
      <c r="M141" s="19">
        <f t="shared" si="107"/>
        <v>8250.4697469828134</v>
      </c>
      <c r="N141" s="19">
        <f t="shared" si="107"/>
        <v>8659.135817715427</v>
      </c>
      <c r="O141" s="19">
        <f t="shared" ref="O141:AK141" si="108">IF(O140&lt;10084,0,
IF(AND(O140&gt;10084,O140&lt;=25710),(O140-10084)*0.11,
IF(AND(O140&gt;25710,O140&lt;=73516),(O140-25710)*0.3+1721.06,
IF(AND(O140&gt;73516,O140&lt;=158122),(O140-73516)*0.41+16062.86,
IF(O140&gt;158122,(O140-158122)*0.45+50751.32,
0)))))</f>
        <v>9078.6147940231549</v>
      </c>
      <c r="P141" s="19">
        <f t="shared" si="108"/>
        <v>9509.2141555465241</v>
      </c>
      <c r="Q141" s="19">
        <f t="shared" si="108"/>
        <v>9951.250402905589</v>
      </c>
      <c r="R141" s="19">
        <f t="shared" si="108"/>
        <v>10405.049325811444</v>
      </c>
      <c r="S141" s="19">
        <f t="shared" si="108"/>
        <v>10870.946279189102</v>
      </c>
      <c r="T141" s="19">
        <f t="shared" si="108"/>
        <v>11349.286467551607</v>
      </c>
      <c r="U141" s="19">
        <f t="shared" si="108"/>
        <v>11840.425237872583</v>
      </c>
      <c r="V141" s="19">
        <f t="shared" si="108"/>
        <v>12344.728381211658</v>
      </c>
      <c r="W141" s="19">
        <f t="shared" si="108"/>
        <v>12862.572443354986</v>
      </c>
      <c r="X141" s="19">
        <f t="shared" si="108"/>
        <v>13394.34504474085</v>
      </c>
      <c r="Y141" s="19">
        <f t="shared" si="108"/>
        <v>13940.445209948441</v>
      </c>
      <c r="Z141" s="19">
        <f t="shared" si="108"/>
        <v>14501.283707036302</v>
      </c>
      <c r="AA141" s="19">
        <f t="shared" si="108"/>
        <v>15077.283397025396</v>
      </c>
      <c r="AB141" s="19">
        <f t="shared" si="108"/>
        <v>15668.879593830807</v>
      </c>
      <c r="AC141" s="19">
        <f t="shared" si="108"/>
        <v>16354.862594438306</v>
      </c>
      <c r="AD141" s="19">
        <f t="shared" si="108"/>
        <v>17207.863259794507</v>
      </c>
      <c r="AE141" s="19">
        <f t="shared" si="108"/>
        <v>18084.071194250315</v>
      </c>
      <c r="AF141" s="19">
        <f t="shared" si="108"/>
        <v>18984.154622546812</v>
      </c>
      <c r="AG141" s="19">
        <f t="shared" si="108"/>
        <v>19978.703053904566</v>
      </c>
      <c r="AH141" s="19">
        <f t="shared" si="108"/>
        <v>20860.919923673297</v>
      </c>
      <c r="AI141" s="19">
        <f t="shared" si="108"/>
        <v>21768.183647316597</v>
      </c>
      <c r="AJ141" s="19">
        <f t="shared" si="108"/>
        <v>22701.231433928537</v>
      </c>
      <c r="AK141" s="27">
        <f t="shared" si="108"/>
        <v>23660.822466910759</v>
      </c>
    </row>
    <row r="142" spans="1:37" s="53" customFormat="1" ht="38.25" customHeight="1" x14ac:dyDescent="0.25">
      <c r="A142" s="5"/>
      <c r="B142" s="48"/>
      <c r="E142" s="37"/>
      <c r="F142" s="207"/>
      <c r="G142" s="41" t="s">
        <v>117</v>
      </c>
      <c r="H142" s="19">
        <f t="shared" ref="H142:N142" si="109">H141*$C$34</f>
        <v>3359.1704826659707</v>
      </c>
      <c r="I142" s="19">
        <f t="shared" si="109"/>
        <v>6718.0862923357745</v>
      </c>
      <c r="J142" s="19">
        <f t="shared" si="109"/>
        <v>7086.4040721745059</v>
      </c>
      <c r="K142" s="19">
        <f t="shared" si="109"/>
        <v>7464.3899541321734</v>
      </c>
      <c r="L142" s="19">
        <f t="shared" si="109"/>
        <v>7852.3178628312362</v>
      </c>
      <c r="M142" s="19">
        <f t="shared" si="109"/>
        <v>8250.4697469828134</v>
      </c>
      <c r="N142" s="19">
        <f t="shared" si="109"/>
        <v>8659.135817715427</v>
      </c>
      <c r="O142" s="19">
        <f t="shared" ref="O142:AK142" si="110">O141*$C$34</f>
        <v>9078.6147940231549</v>
      </c>
      <c r="P142" s="19">
        <f t="shared" si="110"/>
        <v>9509.2141555465241</v>
      </c>
      <c r="Q142" s="19">
        <f t="shared" si="110"/>
        <v>9951.250402905589</v>
      </c>
      <c r="R142" s="19">
        <f t="shared" si="110"/>
        <v>10405.049325811444</v>
      </c>
      <c r="S142" s="19">
        <f t="shared" si="110"/>
        <v>10870.946279189102</v>
      </c>
      <c r="T142" s="19">
        <f t="shared" si="110"/>
        <v>11349.286467551607</v>
      </c>
      <c r="U142" s="19">
        <f t="shared" si="110"/>
        <v>11840.425237872583</v>
      </c>
      <c r="V142" s="19">
        <f t="shared" si="110"/>
        <v>12344.728381211658</v>
      </c>
      <c r="W142" s="19">
        <f t="shared" si="110"/>
        <v>12862.572443354986</v>
      </c>
      <c r="X142" s="19">
        <f t="shared" si="110"/>
        <v>13394.34504474085</v>
      </c>
      <c r="Y142" s="19">
        <f t="shared" si="110"/>
        <v>13940.445209948441</v>
      </c>
      <c r="Z142" s="19">
        <f t="shared" si="110"/>
        <v>14501.283707036302</v>
      </c>
      <c r="AA142" s="19">
        <f t="shared" si="110"/>
        <v>15077.283397025396</v>
      </c>
      <c r="AB142" s="19">
        <f t="shared" si="110"/>
        <v>15668.879593830807</v>
      </c>
      <c r="AC142" s="19">
        <f t="shared" si="110"/>
        <v>16354.862594438306</v>
      </c>
      <c r="AD142" s="19">
        <f t="shared" si="110"/>
        <v>17207.863259794507</v>
      </c>
      <c r="AE142" s="19">
        <f t="shared" si="110"/>
        <v>18084.071194250315</v>
      </c>
      <c r="AF142" s="19">
        <f t="shared" si="110"/>
        <v>18984.154622546812</v>
      </c>
      <c r="AG142" s="19">
        <f t="shared" si="110"/>
        <v>19978.703053904566</v>
      </c>
      <c r="AH142" s="19">
        <f t="shared" si="110"/>
        <v>20860.919923673297</v>
      </c>
      <c r="AI142" s="19">
        <f t="shared" si="110"/>
        <v>21768.183647316597</v>
      </c>
      <c r="AJ142" s="19">
        <f t="shared" si="110"/>
        <v>22701.231433928537</v>
      </c>
      <c r="AK142" s="27">
        <f t="shared" si="110"/>
        <v>23660.822466910759</v>
      </c>
    </row>
    <row r="143" spans="1:37" s="53" customFormat="1" ht="38.25" customHeight="1" x14ac:dyDescent="0.25">
      <c r="A143" s="5"/>
      <c r="B143" s="48"/>
      <c r="E143" s="37"/>
      <c r="F143" s="207"/>
      <c r="G143" s="41" t="s">
        <v>118</v>
      </c>
      <c r="H143" s="19">
        <f>IF(H139-H42&gt;H142,H139-H42,H142)</f>
        <v>3359.1704826659707</v>
      </c>
      <c r="I143" s="19">
        <f>IF(I139-I42&gt;I142,I139-I42,I142)</f>
        <v>6718.0862923357745</v>
      </c>
      <c r="J143" s="19">
        <f>IF(J139-J42&gt;J142,J139-J42,J142)</f>
        <v>7086.4040721745059</v>
      </c>
      <c r="K143" s="19">
        <f>IF(K139-K42&gt;K142,K139-K42,K142)</f>
        <v>7464.3899541321734</v>
      </c>
      <c r="L143" s="19">
        <f>IF(L139-L42&gt;L142,L139-L42,L142)</f>
        <v>7852.3178628312362</v>
      </c>
      <c r="M143" s="19">
        <f>IF(M139-M42&gt;M142,M139-M42,M142)</f>
        <v>8250.4697469828134</v>
      </c>
      <c r="N143" s="19">
        <f>IF(N139-N42&gt;N142,N139-N42,N142)</f>
        <v>8659.135817715427</v>
      </c>
      <c r="O143" s="19">
        <f>IF(O139-O42&gt;O142,O139-O42,O142)</f>
        <v>9078.6147940231549</v>
      </c>
      <c r="P143" s="19">
        <f>IF(P139-P42&gt;P142,P139-P42,P142)</f>
        <v>9509.2141555465241</v>
      </c>
      <c r="Q143" s="19">
        <f>IF(Q139-Q42&gt;Q142,Q139-Q42,Q142)</f>
        <v>9951.250402905589</v>
      </c>
      <c r="R143" s="19">
        <f>IF(R139-R42&gt;R142,R139-R42,R142)</f>
        <v>10405.049325811444</v>
      </c>
      <c r="S143" s="19">
        <f>IF(S139-S42&gt;S142,S139-S42,S142)</f>
        <v>10870.946279189102</v>
      </c>
      <c r="T143" s="19">
        <f>IF(T139-T42&gt;T142,T139-T42,T142)</f>
        <v>11349.286467551607</v>
      </c>
      <c r="U143" s="19">
        <f>IF(U139-U42&gt;U142,U139-U42,U142)</f>
        <v>11840.425237872583</v>
      </c>
      <c r="V143" s="19">
        <f>IF(V139-V42&gt;V142,V139-V42,V142)</f>
        <v>12344.728381211658</v>
      </c>
      <c r="W143" s="19">
        <f>IF(W139-W42&gt;W142,W139-W42,W142)</f>
        <v>12862.572443354986</v>
      </c>
      <c r="X143" s="19">
        <f>IF(X139-X42&gt;X142,X139-X42,X142)</f>
        <v>13394.34504474085</v>
      </c>
      <c r="Y143" s="19">
        <f>IF(Y139-Y42&gt;Y142,Y139-Y42,Y142)</f>
        <v>13940.445209948441</v>
      </c>
      <c r="Z143" s="19">
        <f>IF(Z139-Z42&gt;Z142,Z139-Z42,Z142)</f>
        <v>14501.283707036302</v>
      </c>
      <c r="AA143" s="19">
        <f>IF(AA139-AA42&gt;AA142,AA139-AA42,AA142)</f>
        <v>15077.283397025396</v>
      </c>
      <c r="AB143" s="19">
        <f>IF(AB139-AB42&gt;AB142,AB139-AB42,AB142)</f>
        <v>15668.879593830807</v>
      </c>
      <c r="AC143" s="19">
        <f>IF(AC139-AC42&gt;AC142,AC139-AC42,AC142)</f>
        <v>16354.862594438306</v>
      </c>
      <c r="AD143" s="19">
        <f>IF(AD139-AD42&gt;AD142,AD139-AD42,AD142)</f>
        <v>17207.863259794507</v>
      </c>
      <c r="AE143" s="19">
        <f>IF(AE139-AE42&gt;AE142,AE139-AE42,AE142)</f>
        <v>18084.071194250315</v>
      </c>
      <c r="AF143" s="19">
        <f>IF(AF139-AF42&gt;AF142,AF139-AF42,AF142)</f>
        <v>18984.154622546812</v>
      </c>
      <c r="AG143" s="19">
        <f>IF(AG139-AG42&gt;AG142,AG139-AG42,AG142)</f>
        <v>19978.703053904566</v>
      </c>
      <c r="AH143" s="19">
        <f>IF(AH139-AH42&gt;AH142,AH139-AH42,AH142)</f>
        <v>20860.919923673297</v>
      </c>
      <c r="AI143" s="19">
        <f>IF(AI139-AI42&gt;AI142,AI139-AI42,AI142)</f>
        <v>21768.183647316597</v>
      </c>
      <c r="AJ143" s="19">
        <f>IF(AJ139-AJ42&gt;AJ142,AJ139-AJ42,AJ142)</f>
        <v>22701.231433928537</v>
      </c>
      <c r="AK143" s="27">
        <f>IF(AK139-AK42&gt;AK142,AK139-AK42,AK142)</f>
        <v>23660.822466910759</v>
      </c>
    </row>
    <row r="144" spans="1:37" s="53" customFormat="1" ht="38.25" customHeight="1" x14ac:dyDescent="0.25">
      <c r="A144" s="5"/>
      <c r="B144" s="48"/>
      <c r="E144" s="37"/>
      <c r="F144" s="207"/>
      <c r="G144" s="41" t="s">
        <v>119</v>
      </c>
      <c r="H144" s="19">
        <f>H135*0.172</f>
        <v>0</v>
      </c>
      <c r="I144" s="19">
        <f t="shared" ref="I144:N144" si="111">I135*0.172</f>
        <v>1706.5417409391773</v>
      </c>
      <c r="J144" s="19">
        <f t="shared" si="111"/>
        <v>1750.2944013800511</v>
      </c>
      <c r="K144" s="19">
        <f t="shared" si="111"/>
        <v>1794.5676210357799</v>
      </c>
      <c r="L144" s="19">
        <f t="shared" si="111"/>
        <v>1839.3677754432417</v>
      </c>
      <c r="M144" s="19">
        <f t="shared" si="111"/>
        <v>1884.7013203794131</v>
      </c>
      <c r="N144" s="19">
        <f t="shared" si="111"/>
        <v>1930.5747928960559</v>
      </c>
      <c r="O144" s="19">
        <f t="shared" ref="O144:AK144" si="112">O135*0.172</f>
        <v>1976.9948123679969</v>
      </c>
      <c r="P144" s="19">
        <f t="shared" si="112"/>
        <v>2023.9680815552381</v>
      </c>
      <c r="Q144" s="19">
        <f t="shared" si="112"/>
        <v>2071.5013876790249</v>
      </c>
      <c r="R144" s="19">
        <f t="shared" si="112"/>
        <v>2119.6016035121102</v>
      </c>
      <c r="S144" s="19">
        <f t="shared" si="112"/>
        <v>2168.2756884833734</v>
      </c>
      <c r="T144" s="19">
        <f t="shared" si="112"/>
        <v>2217.5306897969926</v>
      </c>
      <c r="U144" s="19">
        <f t="shared" si="112"/>
        <v>2267.3737435663738</v>
      </c>
      <c r="V144" s="19">
        <f t="shared" si="112"/>
        <v>2317.812075963026</v>
      </c>
      <c r="W144" s="19">
        <f t="shared" si="112"/>
        <v>2368.853004380584</v>
      </c>
      <c r="X144" s="19">
        <f t="shared" si="112"/>
        <v>2420.5039386141921</v>
      </c>
      <c r="Y144" s="19">
        <f t="shared" si="112"/>
        <v>2472.7723820554288</v>
      </c>
      <c r="Z144" s="19">
        <f t="shared" si="112"/>
        <v>2525.6659329030172</v>
      </c>
      <c r="AA144" s="19">
        <f t="shared" si="112"/>
        <v>2579.1922853894998</v>
      </c>
      <c r="AB144" s="19">
        <f t="shared" si="112"/>
        <v>2633.3592310241138</v>
      </c>
      <c r="AC144" s="19">
        <f t="shared" si="112"/>
        <v>2688.1746598520726</v>
      </c>
      <c r="AD144" s="19">
        <f t="shared" si="112"/>
        <v>2743.6465617304748</v>
      </c>
      <c r="AE144" s="19">
        <f t="shared" si="112"/>
        <v>2799.7830276210693</v>
      </c>
      <c r="AF144" s="19">
        <f t="shared" si="112"/>
        <v>2856.5922509001066</v>
      </c>
      <c r="AG144" s="19">
        <f t="shared" si="112"/>
        <v>2943.4070924300172</v>
      </c>
      <c r="AH144" s="19">
        <f t="shared" si="112"/>
        <v>2973.1851633543183</v>
      </c>
      <c r="AI144" s="19">
        <f t="shared" si="112"/>
        <v>3003.2610149878592</v>
      </c>
      <c r="AJ144" s="19">
        <f t="shared" si="112"/>
        <v>3033.6376251377396</v>
      </c>
      <c r="AK144" s="27">
        <f t="shared" si="112"/>
        <v>3064.3180013891165</v>
      </c>
    </row>
    <row r="145" spans="1:37" s="53" customFormat="1" ht="38.25" customHeight="1" x14ac:dyDescent="0.25">
      <c r="A145" s="5"/>
      <c r="B145" s="48"/>
      <c r="E145" s="37"/>
      <c r="F145" s="207"/>
      <c r="G145" s="41" t="s">
        <v>108</v>
      </c>
      <c r="H145" s="19">
        <f>IF(H143-H46&gt;0,H143-H46,0)</f>
        <v>0</v>
      </c>
      <c r="I145" s="19">
        <f>IF(I143-I46&gt;0,I143-I46,0)</f>
        <v>2976.5262923357745</v>
      </c>
      <c r="J145" s="19">
        <f>IF(J143-J46&gt;0,J143-J46,0)</f>
        <v>3052.8390721745063</v>
      </c>
      <c r="K145" s="19">
        <f>IF(K143-K46&gt;0,K143-K46,0)</f>
        <v>3130.0598041321728</v>
      </c>
      <c r="L145" s="19">
        <f>IF(L143-L46&gt;0,L143-L46,0)</f>
        <v>3208.199608331236</v>
      </c>
      <c r="M145" s="19">
        <f>IF(M143-M46&gt;0,M143-M46,0)</f>
        <v>3287.2697448478148</v>
      </c>
      <c r="N145" s="19">
        <f>IF(N143-N46&gt;0,N143-N46,0)</f>
        <v>3367.2816155163782</v>
      </c>
      <c r="O145" s="19">
        <f>IF(O143-O46&gt;0,O143-O46,0)</f>
        <v>3448.2467657581346</v>
      </c>
      <c r="P145" s="19">
        <f>IF(P143-P46&gt;0,P143-P46,0)</f>
        <v>3530.1768864335536</v>
      </c>
      <c r="Q145" s="19">
        <f>IF(Q143-Q46&gt;0,Q143-Q46,0)</f>
        <v>3613.0838157192302</v>
      </c>
      <c r="R145" s="19">
        <f>IF(R143-R46&gt;0,R143-R46,0)</f>
        <v>3696.9795410094921</v>
      </c>
      <c r="S145" s="19">
        <f>IF(S143-S46&gt;0,S143-S46,0)</f>
        <v>3781.8762008430931</v>
      </c>
      <c r="T145" s="19">
        <f>IF(T143-T46&gt;0,T143-T46,0)</f>
        <v>3867.7860868552198</v>
      </c>
      <c r="U145" s="19">
        <f>IF(U143-U46&gt;0,U143-U46,0)</f>
        <v>3954.7216457553041</v>
      </c>
      <c r="V145" s="19">
        <f>IF(V143-V46&gt;0,V143-V46,0)</f>
        <v>4042.6954813308585</v>
      </c>
      <c r="W145" s="19">
        <f>IF(W143-W46&gt;0,W143-W46,0)</f>
        <v>4131.720356477761</v>
      </c>
      <c r="X145" s="19">
        <f>IF(X143-X46&gt;0,X143-X46,0)</f>
        <v>4221.8091952573122</v>
      </c>
      <c r="Y145" s="19">
        <f>IF(Y143-Y46&gt;0,Y143-Y46,0)</f>
        <v>4312.9750849803968</v>
      </c>
      <c r="Z145" s="19">
        <f>IF(Z143-Z46&gt;0,Z143-Z46,0)</f>
        <v>4405.2312783192156</v>
      </c>
      <c r="AA145" s="19">
        <f>IF(AA143-AA46&gt;0,AA143-AA46,0)</f>
        <v>4498.5911954467992</v>
      </c>
      <c r="AB145" s="19">
        <f>IF(AB143-AB46&gt;0,AB143-AB46,0)</f>
        <v>4593.0684262048526</v>
      </c>
      <c r="AC145" s="19">
        <f>IF(AC143-AC46&gt;0,AC143-AC46,0)</f>
        <v>4767.0188917835731</v>
      </c>
      <c r="AD145" s="19">
        <f>IF(AD143-AD46&gt;0,AD143-AD46,0)</f>
        <v>5092.6260460601352</v>
      </c>
      <c r="AE145" s="19">
        <f>IF(AE143-AE46&gt;0,AE143-AE46,0)</f>
        <v>5425.6186641039094</v>
      </c>
      <c r="AF145" s="19">
        <f>IF(AF143-AF46&gt;0,AF143-AF46,0)</f>
        <v>5766.1903164960149</v>
      </c>
      <c r="AG145" s="19">
        <f>IF(AG143-AG46&gt;0,AG143-AG46,0)</f>
        <v>6184.4416186722428</v>
      </c>
      <c r="AH145" s="19">
        <f>IF(AH143-AH46&gt;0,AH143-AH46,0)</f>
        <v>6473.072445384003</v>
      </c>
      <c r="AI145" s="19">
        <f>IF(AI143-AI46&gt;0,AI143-AI46,0)</f>
        <v>6768.9425446786263</v>
      </c>
      <c r="AJ145" s="19">
        <f>IF(AJ143-AJ46&gt;0,AJ143-AJ46,0)</f>
        <v>7072.2548982114276</v>
      </c>
      <c r="AK145" s="27">
        <f>IF(AK143-AK46&gt;0,AK143-AK46,0)</f>
        <v>7304.4789567996395</v>
      </c>
    </row>
    <row r="146" spans="1:37" s="53" customFormat="1" ht="38.25" customHeight="1" x14ac:dyDescent="0.25">
      <c r="A146" s="5"/>
      <c r="B146" s="48"/>
      <c r="E146" s="37"/>
      <c r="F146" s="207"/>
      <c r="G146" s="41" t="s">
        <v>153</v>
      </c>
      <c r="H146" s="19">
        <f>IF(H132&lt;&gt;0,H46-H143,0)</f>
        <v>98.889517334029279</v>
      </c>
      <c r="I146" s="19">
        <f>IF(I132&lt;&gt;0,I46-I143,0)</f>
        <v>0</v>
      </c>
      <c r="J146" s="19">
        <f>IF(J132&lt;&gt;0,J46-J143,0)</f>
        <v>0</v>
      </c>
      <c r="K146" s="19">
        <f>IF(K132&lt;&gt;0,K46-K143,0)</f>
        <v>0</v>
      </c>
      <c r="L146" s="19">
        <f>IF(L132&lt;&gt;0,L46-L143,0)</f>
        <v>0</v>
      </c>
      <c r="M146" s="19">
        <f>IF(M132&lt;&gt;0,M46-M143,0)</f>
        <v>0</v>
      </c>
      <c r="N146" s="19">
        <f>IF(N132&lt;&gt;0,N46-N143,0)</f>
        <v>0</v>
      </c>
      <c r="O146" s="19">
        <f>IF(O132&lt;&gt;0,O46-O143,0)</f>
        <v>0</v>
      </c>
      <c r="P146" s="19">
        <f>IF(P132&lt;&gt;0,P46-P143,0)</f>
        <v>0</v>
      </c>
      <c r="Q146" s="19">
        <f>IF(Q132&lt;&gt;0,Q46-Q143,0)</f>
        <v>0</v>
      </c>
      <c r="R146" s="19">
        <f>IF(R132&lt;&gt;0,R46-R143,0)</f>
        <v>0</v>
      </c>
      <c r="S146" s="19">
        <f>IF(S132&lt;&gt;0,S46-S143,0)</f>
        <v>0</v>
      </c>
      <c r="T146" s="19">
        <f>IF(T132&lt;&gt;0,T46-T143,0)</f>
        <v>0</v>
      </c>
      <c r="U146" s="19">
        <f>IF(U132&lt;&gt;0,U46-U143,0)</f>
        <v>0</v>
      </c>
      <c r="V146" s="19">
        <f>IF(V132&lt;&gt;0,V46-V143,0)</f>
        <v>0</v>
      </c>
      <c r="W146" s="19">
        <f>IF(W132&lt;&gt;0,W46-W143,0)</f>
        <v>0</v>
      </c>
      <c r="X146" s="19">
        <f>IF(X132&lt;&gt;0,X46-X143,0)</f>
        <v>0</v>
      </c>
      <c r="Y146" s="19">
        <f>IF(Y132&lt;&gt;0,Y46-Y143,0)</f>
        <v>0</v>
      </c>
      <c r="Z146" s="19">
        <f>IF(Z132&lt;&gt;0,Z46-Z143,0)</f>
        <v>0</v>
      </c>
      <c r="AA146" s="19">
        <f>IF(AA132&lt;&gt;0,AA46-AA143,0)</f>
        <v>0</v>
      </c>
      <c r="AB146" s="19">
        <f>IF(AB132&lt;&gt;0,AB46-AB143,0)</f>
        <v>0</v>
      </c>
      <c r="AC146" s="19">
        <f>IF(AC132&lt;&gt;0,AC46-AC143,0)</f>
        <v>0</v>
      </c>
      <c r="AD146" s="19">
        <f>IF(AD132&lt;&gt;0,AD46-AD143,0)</f>
        <v>0</v>
      </c>
      <c r="AE146" s="19">
        <f>IF(AE132&lt;&gt;0,AE46-AE143,0)</f>
        <v>0</v>
      </c>
      <c r="AF146" s="19">
        <f>IF(AF132&lt;&gt;0,AF46-AF143,0)</f>
        <v>0</v>
      </c>
      <c r="AG146" s="19">
        <f>IF(AG132&lt;&gt;0,AG46-AG143,0)</f>
        <v>0</v>
      </c>
      <c r="AH146" s="19">
        <f>IF(AH132&lt;&gt;0,AH46-AH143,0)</f>
        <v>0</v>
      </c>
      <c r="AI146" s="19">
        <f>IF(AI132&lt;&gt;0,AI46-AI143,0)</f>
        <v>0</v>
      </c>
      <c r="AJ146" s="19">
        <f>IF(AJ132&lt;&gt;0,AJ46-AJ143,0)</f>
        <v>0</v>
      </c>
      <c r="AK146" s="27">
        <f>IF(AK132&lt;&gt;0,AK46-AK143,0)</f>
        <v>0</v>
      </c>
    </row>
    <row r="147" spans="1:37" s="53" customFormat="1" ht="38.25" customHeight="1" x14ac:dyDescent="0.25">
      <c r="A147" s="5"/>
      <c r="B147" s="48"/>
      <c r="E147" s="37"/>
      <c r="F147" s="207"/>
      <c r="G147" s="160" t="s">
        <v>120</v>
      </c>
      <c r="H147" s="162">
        <f>H12+H146-H19-H26-H14-H145-H144</f>
        <v>1509.1786126507523</v>
      </c>
      <c r="I147" s="162">
        <f>I12+I146-I19-I26-I14-I145-I144</f>
        <v>-3137.7789379582273</v>
      </c>
      <c r="J147" s="162">
        <f>J12+J146-J19-J26-J14-J145-J144</f>
        <v>-3121.4943782378309</v>
      </c>
      <c r="K147" s="162">
        <f>K12+K146-K19-K26-K14-K145-K144</f>
        <v>-3105.2748298512297</v>
      </c>
      <c r="L147" s="162">
        <f>L12+L146-L19-L26-L14-L145-L144</f>
        <v>-3089.1241534577512</v>
      </c>
      <c r="M147" s="162">
        <f>M12+M146-M19-M26-M14-M145-M144</f>
        <v>-3073.0462935605046</v>
      </c>
      <c r="N147" s="162">
        <f>N12+N146-N19-N26-N14-N145-N144</f>
        <v>-3057.0452799822056</v>
      </c>
      <c r="O147" s="162">
        <f>O12+O146-O19-O26-O14-O145-O144</f>
        <v>-3041.125229364774</v>
      </c>
      <c r="P147" s="162">
        <f>P12+P146-P19-P26-P14-P145-P144</f>
        <v>-3025.2903466929838</v>
      </c>
      <c r="Q147" s="162">
        <f>Q12+Q146-Q19-Q26-Q14-Q145-Q144</f>
        <v>-3009.544926842656</v>
      </c>
      <c r="R147" s="162">
        <f>R12+R146-R19-R26-R14-R145-R144</f>
        <v>-2993.893356153616</v>
      </c>
      <c r="S147" s="162">
        <f>S12+S146-S19-S26-S14-S145-S144</f>
        <v>-2978.3401140279684</v>
      </c>
      <c r="T147" s="162">
        <f>T12+T146-T19-T26-T14-T145-T144</f>
        <v>-2962.8897745538975</v>
      </c>
      <c r="U147" s="162">
        <f>U12+U146-U19-U26-U14-U145-U144</f>
        <v>-2947.5470081555454</v>
      </c>
      <c r="V147" s="162">
        <f>V12+V146-V19-V26-V14-V145-V144</f>
        <v>-2932.3165832692562</v>
      </c>
      <c r="W147" s="162">
        <f>W12+W146-W19-W26-W14-W145-W144</f>
        <v>-2917.2033680466393</v>
      </c>
      <c r="X147" s="162">
        <f>X12+X146-X19-X26-X14-X145-X144</f>
        <v>-2902.2123320848455</v>
      </c>
      <c r="Y147" s="162">
        <f>Y12+Y146-Y19-Y26-Y14-Y145-Y144</f>
        <v>-2887.3485481844705</v>
      </c>
      <c r="Z147" s="162">
        <f>Z12+Z146-Z19-Z26-Z14-Z145-Z144</f>
        <v>-2872.617194135526</v>
      </c>
      <c r="AA147" s="162">
        <f>AA12+AA146-AA19-AA26-AA14-AA145-AA144</f>
        <v>-2858.023554531896</v>
      </c>
      <c r="AB147" s="162">
        <f>AB12+AB146-AB19-AB26-AB14-AB145-AB144</f>
        <v>-2843.573022614687</v>
      </c>
      <c r="AC147" s="162">
        <f>AC12+AC146-AC19-AC26-AC14-AC145-AC144</f>
        <v>-2907.6132616283917</v>
      </c>
      <c r="AD147" s="162">
        <f>AD12+AD146-AD19-AD26-AD14-AD145-AD144</f>
        <v>-3122.3194058364461</v>
      </c>
      <c r="AE147" s="162">
        <f>AE12+AE146-AE19-AE26-AE14-AE145-AE144</f>
        <v>-3343.4118487044448</v>
      </c>
      <c r="AF147" s="162">
        <f>AF12+AF146-AF19-AF26-AF14-AF145-AF144</f>
        <v>-3571.0757168985474</v>
      </c>
      <c r="AG147" s="162">
        <f>AG12+AG146-AG19-AG26-AG14-AG145-AG144</f>
        <v>7984.9832216304003</v>
      </c>
      <c r="AH147" s="162">
        <f>AH12+AH146-AH19-AH26-AH14-AH145-AH144</f>
        <v>7839.7026433216697</v>
      </c>
      <c r="AI147" s="162">
        <f>AI12+AI146-AI19-AI26-AI14-AI145-AI144</f>
        <v>7688.6162949140935</v>
      </c>
      <c r="AJ147" s="162">
        <f>AJ12+AJ146-AJ19-AJ26-AJ14-AJ145-AJ144</f>
        <v>7531.5355297772267</v>
      </c>
      <c r="AK147" s="163">
        <f>AK12+AK146-AK19-AK26-AK14-AK145-AK144</f>
        <v>7447.0053754688997</v>
      </c>
    </row>
    <row r="148" spans="1:37" s="53" customFormat="1" ht="38.25" customHeight="1" x14ac:dyDescent="0.25">
      <c r="A148" s="5"/>
      <c r="B148" s="48"/>
      <c r="E148" s="37"/>
      <c r="F148" s="207"/>
      <c r="G148" s="160" t="s">
        <v>121</v>
      </c>
      <c r="H148" s="162">
        <f>IF(H10=1,H147,H147+G148)</f>
        <v>1509.1786126507523</v>
      </c>
      <c r="I148" s="162">
        <f>IF(I10=1,I147,I147+H148)</f>
        <v>-1628.600325307475</v>
      </c>
      <c r="J148" s="162">
        <f>IF(J10=1,J147,J147+I148)</f>
        <v>-4750.0947035453064</v>
      </c>
      <c r="K148" s="162">
        <f>IF(K10=1,K147,K147+J148)</f>
        <v>-7855.3695333965361</v>
      </c>
      <c r="L148" s="162">
        <f>IF(L10=1,L147,L147+K148)</f>
        <v>-10944.493686854286</v>
      </c>
      <c r="M148" s="162">
        <f>IF(M10=1,M147,M147+L148)</f>
        <v>-14017.539980414791</v>
      </c>
      <c r="N148" s="162">
        <f>IF(N10=1,N147,N147+M148)</f>
        <v>-17074.585260396998</v>
      </c>
      <c r="O148" s="162">
        <f>IF(O10=1,O147,O147+N148)</f>
        <v>-20115.710489761772</v>
      </c>
      <c r="P148" s="162">
        <f>IF(P10=1,P147,P147+O148)</f>
        <v>-23141.000836454754</v>
      </c>
      <c r="Q148" s="162">
        <f>IF(Q10=1,Q147,Q147+P148)</f>
        <v>-26150.54576329741</v>
      </c>
      <c r="R148" s="162">
        <f>IF(R10=1,R147,R147+Q148)</f>
        <v>-29144.439119451024</v>
      </c>
      <c r="S148" s="162">
        <f>IF(S10=1,S147,S147+R148)</f>
        <v>-32122.779233478992</v>
      </c>
      <c r="T148" s="162">
        <f>IF(T10=1,T147,T147+S148)</f>
        <v>-35085.669008032892</v>
      </c>
      <c r="U148" s="162">
        <f>IF(U10=1,U147,U147+T148)</f>
        <v>-38033.216016188439</v>
      </c>
      <c r="V148" s="162">
        <f>IF(V10=1,V147,V147+U148)</f>
        <v>-40965.532599457692</v>
      </c>
      <c r="W148" s="162">
        <f>IF(W10=1,W147,W147+V148)</f>
        <v>-43882.735967504334</v>
      </c>
      <c r="X148" s="162">
        <f>IF(X10=1,X147,X147+W148)</f>
        <v>-46784.948299589181</v>
      </c>
      <c r="Y148" s="162">
        <f>IF(Y10=1,Y147,Y147+X148)</f>
        <v>-49672.29684777365</v>
      </c>
      <c r="Z148" s="162">
        <f>IF(Z10=1,Z147,Z147+Y148)</f>
        <v>-52544.914041909178</v>
      </c>
      <c r="AA148" s="162">
        <f>IF(AA10=1,AA147,AA147+Z148)</f>
        <v>-55402.937596441072</v>
      </c>
      <c r="AB148" s="162">
        <f>IF(AB10=1,AB147,AB147+AA148)</f>
        <v>-58246.510619055756</v>
      </c>
      <c r="AC148" s="162">
        <f>IF(AC10=1,AC147,AC147+AB148)</f>
        <v>-61154.12388068415</v>
      </c>
      <c r="AD148" s="162">
        <f>IF(AD10=1,AD147,AD147+AC148)</f>
        <v>-64276.443286520596</v>
      </c>
      <c r="AE148" s="162">
        <f>IF(AE10=1,AE147,AE147+AD148)</f>
        <v>-67619.855135225036</v>
      </c>
      <c r="AF148" s="162">
        <f>IF(AF10=1,AF147,AF147+AE148)</f>
        <v>-71190.93085212358</v>
      </c>
      <c r="AG148" s="162">
        <f>IF(AG10=1,AG147,AG147+AF148)</f>
        <v>-63205.947630493181</v>
      </c>
      <c r="AH148" s="162">
        <f>IF(AH10=1,AH147,AH147+AG148)</f>
        <v>-55366.244987171514</v>
      </c>
      <c r="AI148" s="162">
        <f>IF(AI10=1,AI147,AI147+AH148)</f>
        <v>-47677.628692257422</v>
      </c>
      <c r="AJ148" s="162">
        <f>IF(AJ10=1,AJ147,AJ147+AI148)</f>
        <v>-40146.093162480196</v>
      </c>
      <c r="AK148" s="163">
        <f>IF(AK10=1,AK147,AK147+AJ148)</f>
        <v>-32699.087787011296</v>
      </c>
    </row>
    <row r="149" spans="1:37" s="53" customFormat="1" ht="38.25" customHeight="1" x14ac:dyDescent="0.25">
      <c r="A149" s="5"/>
      <c r="B149" s="48"/>
      <c r="E149" s="37"/>
      <c r="F149" s="207"/>
      <c r="G149" s="41" t="s">
        <v>166</v>
      </c>
      <c r="H149" s="19">
        <f>IF(H$10&lt;5,$C$13,
IF(AND(H$10&gt;=5,$C$13&gt;$C$11*0.15),$C$13,
IF(AND(H$10&gt;=5,$C$13&lt;=$C$11*0.15),$C$11*0.15)))</f>
        <v>10000</v>
      </c>
      <c r="I149" s="19">
        <f t="shared" ref="I149:AK149" si="113">IF(I$10&lt;5,$C$13,
IF(AND(I$10&gt;=5,$C$13&gt;$C$11*0.15),$C$13,
IF(AND(I$10&gt;=5,$C$13&lt;=$C$11*0.15),$C$11*0.15)))</f>
        <v>10000</v>
      </c>
      <c r="J149" s="19">
        <f t="shared" si="113"/>
        <v>10000</v>
      </c>
      <c r="K149" s="19">
        <f t="shared" si="113"/>
        <v>10000</v>
      </c>
      <c r="L149" s="19">
        <f t="shared" si="113"/>
        <v>33000</v>
      </c>
      <c r="M149" s="19">
        <f t="shared" si="113"/>
        <v>33000</v>
      </c>
      <c r="N149" s="19">
        <f t="shared" si="113"/>
        <v>33000</v>
      </c>
      <c r="O149" s="19">
        <f t="shared" si="113"/>
        <v>33000</v>
      </c>
      <c r="P149" s="19">
        <f t="shared" si="113"/>
        <v>33000</v>
      </c>
      <c r="Q149" s="19">
        <f t="shared" si="113"/>
        <v>33000</v>
      </c>
      <c r="R149" s="19">
        <f t="shared" si="113"/>
        <v>33000</v>
      </c>
      <c r="S149" s="19">
        <f t="shared" si="113"/>
        <v>33000</v>
      </c>
      <c r="T149" s="19">
        <f t="shared" si="113"/>
        <v>33000</v>
      </c>
      <c r="U149" s="19">
        <f t="shared" si="113"/>
        <v>33000</v>
      </c>
      <c r="V149" s="19">
        <f t="shared" si="113"/>
        <v>33000</v>
      </c>
      <c r="W149" s="19">
        <f t="shared" si="113"/>
        <v>33000</v>
      </c>
      <c r="X149" s="19">
        <f t="shared" si="113"/>
        <v>33000</v>
      </c>
      <c r="Y149" s="19">
        <f t="shared" si="113"/>
        <v>33000</v>
      </c>
      <c r="Z149" s="19">
        <f t="shared" si="113"/>
        <v>33000</v>
      </c>
      <c r="AA149" s="19">
        <f t="shared" si="113"/>
        <v>33000</v>
      </c>
      <c r="AB149" s="19">
        <f t="shared" si="113"/>
        <v>33000</v>
      </c>
      <c r="AC149" s="19">
        <f t="shared" si="113"/>
        <v>33000</v>
      </c>
      <c r="AD149" s="19">
        <f t="shared" si="113"/>
        <v>33000</v>
      </c>
      <c r="AE149" s="19">
        <f t="shared" si="113"/>
        <v>33000</v>
      </c>
      <c r="AF149" s="19">
        <f t="shared" si="113"/>
        <v>33000</v>
      </c>
      <c r="AG149" s="19">
        <f t="shared" si="113"/>
        <v>33000</v>
      </c>
      <c r="AH149" s="19">
        <f t="shared" si="113"/>
        <v>33000</v>
      </c>
      <c r="AI149" s="19">
        <f t="shared" si="113"/>
        <v>33000</v>
      </c>
      <c r="AJ149" s="19">
        <f t="shared" si="113"/>
        <v>33000</v>
      </c>
      <c r="AK149" s="27">
        <f t="shared" si="113"/>
        <v>33000</v>
      </c>
    </row>
    <row r="150" spans="1:37" s="53" customFormat="1" ht="38.25" customHeight="1" x14ac:dyDescent="0.25">
      <c r="A150" s="5"/>
      <c r="B150" s="48"/>
      <c r="E150" s="37"/>
      <c r="F150" s="207"/>
      <c r="G150" s="41" t="s">
        <v>168</v>
      </c>
      <c r="H150" s="19">
        <f>IF(H$48-($C$11+$C$15*$C$11+H149)&lt;0,0,
IF(H$48-($C$11+$C$15*$C$11+H149)&gt;0,H$48-($C$11+$C$15*$C$11+H149)))</f>
        <v>0</v>
      </c>
      <c r="I150" s="19">
        <f t="shared" ref="I150:AK150" si="114">IF(I$48-($C$11+$C$15*$C$11+I149)&lt;0,0,
IF(I$48-($C$11+$C$15*$C$11+I149)&gt;0,I$48-($C$11+$C$15*$C$11+I149)))</f>
        <v>0</v>
      </c>
      <c r="J150" s="19">
        <f t="shared" si="114"/>
        <v>0</v>
      </c>
      <c r="K150" s="19">
        <f t="shared" si="114"/>
        <v>0</v>
      </c>
      <c r="L150" s="19">
        <f t="shared" si="114"/>
        <v>0</v>
      </c>
      <c r="M150" s="19">
        <f t="shared" si="114"/>
        <v>0</v>
      </c>
      <c r="N150" s="19">
        <f t="shared" si="114"/>
        <v>0</v>
      </c>
      <c r="O150" s="19">
        <f t="shared" si="114"/>
        <v>0</v>
      </c>
      <c r="P150" s="19">
        <f t="shared" si="114"/>
        <v>0</v>
      </c>
      <c r="Q150" s="19">
        <f t="shared" si="114"/>
        <v>0</v>
      </c>
      <c r="R150" s="19">
        <f t="shared" si="114"/>
        <v>0</v>
      </c>
      <c r="S150" s="19">
        <f t="shared" si="114"/>
        <v>0</v>
      </c>
      <c r="T150" s="19">
        <f t="shared" si="114"/>
        <v>0</v>
      </c>
      <c r="U150" s="19">
        <f t="shared" si="114"/>
        <v>0</v>
      </c>
      <c r="V150" s="19">
        <f t="shared" si="114"/>
        <v>0</v>
      </c>
      <c r="W150" s="19">
        <f t="shared" si="114"/>
        <v>193.08833245071582</v>
      </c>
      <c r="X150" s="19">
        <f t="shared" si="114"/>
        <v>2890.0192157752463</v>
      </c>
      <c r="Y150" s="19">
        <f t="shared" si="114"/>
        <v>5613.9194079330191</v>
      </c>
      <c r="Z150" s="19">
        <f t="shared" si="114"/>
        <v>8365.0586020122864</v>
      </c>
      <c r="AA150" s="19">
        <f t="shared" si="114"/>
        <v>11143.70918803243</v>
      </c>
      <c r="AB150" s="19">
        <f t="shared" si="114"/>
        <v>13950.146279912733</v>
      </c>
      <c r="AC150" s="19">
        <f t="shared" si="114"/>
        <v>16784.647742711939</v>
      </c>
      <c r="AD150" s="19">
        <f t="shared" si="114"/>
        <v>19647.494220138993</v>
      </c>
      <c r="AE150" s="19">
        <f t="shared" si="114"/>
        <v>22538.969162340451</v>
      </c>
      <c r="AF150" s="19">
        <f t="shared" si="114"/>
        <v>25459.358853963902</v>
      </c>
      <c r="AG150" s="19">
        <f t="shared" si="114"/>
        <v>28408.952442503534</v>
      </c>
      <c r="AH150" s="19">
        <f t="shared" si="114"/>
        <v>31388.04196692846</v>
      </c>
      <c r="AI150" s="19">
        <f t="shared" si="114"/>
        <v>34396.922386597726</v>
      </c>
      <c r="AJ150" s="19">
        <f t="shared" si="114"/>
        <v>37435.891610463732</v>
      </c>
      <c r="AK150" s="27">
        <f t="shared" si="114"/>
        <v>40505.250526568445</v>
      </c>
    </row>
    <row r="151" spans="1:37" s="53" customFormat="1" ht="38.25" customHeight="1" x14ac:dyDescent="0.25">
      <c r="A151" s="5"/>
      <c r="B151" s="48"/>
      <c r="E151" s="37"/>
      <c r="F151" s="207"/>
      <c r="G151" s="41" t="s">
        <v>122</v>
      </c>
      <c r="H151" s="64">
        <f>IF(H$10&lt;=5,0,IF(AND(H$10&gt;5,H$10&lt;=21),(((H$10-5)*0.06)),IF(H$10&gt;21,1)))</f>
        <v>0</v>
      </c>
      <c r="I151" s="64">
        <f t="shared" ref="I151:AK151" si="115">IF(I$10&lt;=5,0,IF(AND(I$10&gt;5,I$10&lt;=21),(((I$10-5)*0.06)),IF(I$10&gt;21,1)))</f>
        <v>0</v>
      </c>
      <c r="J151" s="64">
        <f t="shared" si="115"/>
        <v>0</v>
      </c>
      <c r="K151" s="64">
        <f t="shared" si="115"/>
        <v>0</v>
      </c>
      <c r="L151" s="64">
        <f t="shared" si="115"/>
        <v>0</v>
      </c>
      <c r="M151" s="64">
        <f t="shared" si="115"/>
        <v>0.06</v>
      </c>
      <c r="N151" s="64">
        <f t="shared" si="115"/>
        <v>0.12</v>
      </c>
      <c r="O151" s="64">
        <f t="shared" si="115"/>
        <v>0.18</v>
      </c>
      <c r="P151" s="64">
        <f t="shared" si="115"/>
        <v>0.24</v>
      </c>
      <c r="Q151" s="64">
        <f t="shared" si="115"/>
        <v>0.3</v>
      </c>
      <c r="R151" s="64">
        <f t="shared" si="115"/>
        <v>0.36</v>
      </c>
      <c r="S151" s="64">
        <f t="shared" si="115"/>
        <v>0.42</v>
      </c>
      <c r="T151" s="64">
        <f t="shared" si="115"/>
        <v>0.48</v>
      </c>
      <c r="U151" s="64">
        <f t="shared" si="115"/>
        <v>0.54</v>
      </c>
      <c r="V151" s="64">
        <f t="shared" si="115"/>
        <v>0.6</v>
      </c>
      <c r="W151" s="64">
        <f t="shared" si="115"/>
        <v>0.65999999999999992</v>
      </c>
      <c r="X151" s="64">
        <f t="shared" si="115"/>
        <v>0.72</v>
      </c>
      <c r="Y151" s="64">
        <f t="shared" si="115"/>
        <v>0.78</v>
      </c>
      <c r="Z151" s="64">
        <f t="shared" si="115"/>
        <v>0.84</v>
      </c>
      <c r="AA151" s="64">
        <f t="shared" si="115"/>
        <v>0.89999999999999991</v>
      </c>
      <c r="AB151" s="64">
        <f t="shared" si="115"/>
        <v>0.96</v>
      </c>
      <c r="AC151" s="64">
        <f t="shared" si="115"/>
        <v>1</v>
      </c>
      <c r="AD151" s="64">
        <f t="shared" si="115"/>
        <v>1</v>
      </c>
      <c r="AE151" s="64">
        <f t="shared" si="115"/>
        <v>1</v>
      </c>
      <c r="AF151" s="64">
        <f t="shared" si="115"/>
        <v>1</v>
      </c>
      <c r="AG151" s="64">
        <f t="shared" si="115"/>
        <v>1</v>
      </c>
      <c r="AH151" s="64">
        <f t="shared" si="115"/>
        <v>1</v>
      </c>
      <c r="AI151" s="64">
        <f t="shared" si="115"/>
        <v>1</v>
      </c>
      <c r="AJ151" s="64">
        <f t="shared" si="115"/>
        <v>1</v>
      </c>
      <c r="AK151" s="67">
        <f t="shared" si="115"/>
        <v>1</v>
      </c>
    </row>
    <row r="152" spans="1:37" s="53" customFormat="1" ht="38.25" customHeight="1" x14ac:dyDescent="0.25">
      <c r="A152" s="5"/>
      <c r="B152" s="48"/>
      <c r="E152" s="37"/>
      <c r="F152" s="207"/>
      <c r="G152" s="41" t="s">
        <v>123</v>
      </c>
      <c r="H152" s="19">
        <f>H150*(1-H151)</f>
        <v>0</v>
      </c>
      <c r="I152" s="19">
        <f t="shared" ref="I152:AK152" si="116">I150*(1-I151)</f>
        <v>0</v>
      </c>
      <c r="J152" s="19">
        <f t="shared" si="116"/>
        <v>0</v>
      </c>
      <c r="K152" s="19">
        <f t="shared" si="116"/>
        <v>0</v>
      </c>
      <c r="L152" s="19">
        <f t="shared" si="116"/>
        <v>0</v>
      </c>
      <c r="M152" s="19">
        <f t="shared" si="116"/>
        <v>0</v>
      </c>
      <c r="N152" s="19">
        <f t="shared" si="116"/>
        <v>0</v>
      </c>
      <c r="O152" s="19">
        <f t="shared" si="116"/>
        <v>0</v>
      </c>
      <c r="P152" s="19">
        <f t="shared" si="116"/>
        <v>0</v>
      </c>
      <c r="Q152" s="19">
        <f t="shared" si="116"/>
        <v>0</v>
      </c>
      <c r="R152" s="19">
        <f t="shared" si="116"/>
        <v>0</v>
      </c>
      <c r="S152" s="19">
        <f t="shared" si="116"/>
        <v>0</v>
      </c>
      <c r="T152" s="19">
        <f t="shared" si="116"/>
        <v>0</v>
      </c>
      <c r="U152" s="19">
        <f t="shared" si="116"/>
        <v>0</v>
      </c>
      <c r="V152" s="19">
        <f t="shared" si="116"/>
        <v>0</v>
      </c>
      <c r="W152" s="19">
        <f t="shared" si="116"/>
        <v>65.650033033243389</v>
      </c>
      <c r="X152" s="19">
        <f t="shared" si="116"/>
        <v>809.20538041706902</v>
      </c>
      <c r="Y152" s="19">
        <f t="shared" si="116"/>
        <v>1235.0622697452641</v>
      </c>
      <c r="Z152" s="19">
        <f t="shared" si="116"/>
        <v>1338.4093763219662</v>
      </c>
      <c r="AA152" s="19">
        <f t="shared" si="116"/>
        <v>1114.370918803244</v>
      </c>
      <c r="AB152" s="19">
        <f t="shared" si="116"/>
        <v>558.00585119650987</v>
      </c>
      <c r="AC152" s="19">
        <f t="shared" si="116"/>
        <v>0</v>
      </c>
      <c r="AD152" s="19">
        <f t="shared" si="116"/>
        <v>0</v>
      </c>
      <c r="AE152" s="19">
        <f t="shared" si="116"/>
        <v>0</v>
      </c>
      <c r="AF152" s="19">
        <f t="shared" si="116"/>
        <v>0</v>
      </c>
      <c r="AG152" s="19">
        <f t="shared" si="116"/>
        <v>0</v>
      </c>
      <c r="AH152" s="19">
        <f t="shared" si="116"/>
        <v>0</v>
      </c>
      <c r="AI152" s="19">
        <f t="shared" si="116"/>
        <v>0</v>
      </c>
      <c r="AJ152" s="19">
        <f t="shared" si="116"/>
        <v>0</v>
      </c>
      <c r="AK152" s="27">
        <f t="shared" si="116"/>
        <v>0</v>
      </c>
    </row>
    <row r="153" spans="1:37" s="53" customFormat="1" ht="38.25" customHeight="1" x14ac:dyDescent="0.25">
      <c r="A153" s="5"/>
      <c r="B153" s="48"/>
      <c r="E153" s="37"/>
      <c r="F153" s="207"/>
      <c r="G153" s="41" t="s">
        <v>124</v>
      </c>
      <c r="H153" s="19">
        <f>IF(AND($C$32=0,H152&lt;=50000),H152*0.19,
IF(AND($C$32&lt;&gt;0,H152&lt;=100000),H152*0.19,
IF(AND($C$32=0,H152&gt;50000,H152&lt;=100000),H152*0.21,
IF(AND($C$32=0,H152&gt;=100000,H152&lt;=150000),H152*0.22,
IF(AND($C$32=0,H152&gt;=150000,H152&lt;=200000),H152*0.23,
IF(AND($C$32=0,H152&gt;=200000,H152&lt;=250000),H152*0.24,
IF(AND($C$32=0,H152&gt;250000),H152*0.25,
IF(AND($C$32&lt;&gt;0,H152&gt;100000,H152&lt;=200000),H152*0.21,
IF(AND($C$32&lt;&gt;0,H152&gt;=200000,H152&lt;=300000),H152*0.22,
IF(AND($C$32&lt;&gt;0,H152&gt;=300000,H152&lt;=400000),H152*0.23,
IF(AND($C$32&lt;&gt;0,H152&gt;=400000,H152&lt;=500000),H152*0.24,
IF(AND($C$32&lt;&gt;0,H152&gt;500000),H152*0.25))))))))))))</f>
        <v>0</v>
      </c>
      <c r="I153" s="19">
        <f t="shared" ref="I153:AK153" si="117">IF(AND($C$32=0,I152&lt;=50000),I152*0.19,
IF(AND($C$32&lt;&gt;0,I152&lt;=100000),I152*0.19,
IF(AND($C$32=0,I152&gt;50000,I152&lt;=100000),I152*0.21,
IF(AND($C$32=0,I152&gt;=100000,I152&lt;=150000),I152*0.22,
IF(AND($C$32=0,I152&gt;=150000,I152&lt;=200000),I152*0.23,
IF(AND($C$32=0,I152&gt;=200000,I152&lt;=250000),I152*0.24,
IF(AND($C$32=0,I152&gt;250000),I152*0.25,
IF(AND($C$32&lt;&gt;0,I152&gt;100000,I152&lt;=200000),I152*0.21,
IF(AND($C$32&lt;&gt;0,I152&gt;=200000,I152&lt;=300000),I152*0.22,
IF(AND($C$32&lt;&gt;0,I152&gt;=300000,I152&lt;=400000),I152*0.23,
IF(AND($C$32&lt;&gt;0,I152&gt;=400000,I152&lt;=500000),I152*0.24,
IF(AND($C$32&lt;&gt;0,I152&gt;500000),I152*0.25))))))))))))</f>
        <v>0</v>
      </c>
      <c r="J153" s="19">
        <f t="shared" si="117"/>
        <v>0</v>
      </c>
      <c r="K153" s="19">
        <f t="shared" si="117"/>
        <v>0</v>
      </c>
      <c r="L153" s="19">
        <f t="shared" si="117"/>
        <v>0</v>
      </c>
      <c r="M153" s="19">
        <f t="shared" si="117"/>
        <v>0</v>
      </c>
      <c r="N153" s="19">
        <f t="shared" si="117"/>
        <v>0</v>
      </c>
      <c r="O153" s="19">
        <f t="shared" si="117"/>
        <v>0</v>
      </c>
      <c r="P153" s="19">
        <f t="shared" si="117"/>
        <v>0</v>
      </c>
      <c r="Q153" s="19">
        <f t="shared" si="117"/>
        <v>0</v>
      </c>
      <c r="R153" s="19">
        <f t="shared" si="117"/>
        <v>0</v>
      </c>
      <c r="S153" s="19">
        <f t="shared" si="117"/>
        <v>0</v>
      </c>
      <c r="T153" s="19">
        <f t="shared" si="117"/>
        <v>0</v>
      </c>
      <c r="U153" s="19">
        <f t="shared" si="117"/>
        <v>0</v>
      </c>
      <c r="V153" s="19">
        <f t="shared" si="117"/>
        <v>0</v>
      </c>
      <c r="W153" s="19">
        <f t="shared" si="117"/>
        <v>12.473506276316243</v>
      </c>
      <c r="X153" s="19">
        <f t="shared" si="117"/>
        <v>153.74902227924312</v>
      </c>
      <c r="Y153" s="19">
        <f t="shared" si="117"/>
        <v>234.66183125160018</v>
      </c>
      <c r="Z153" s="19">
        <f t="shared" si="117"/>
        <v>254.29778150117357</v>
      </c>
      <c r="AA153" s="19">
        <f t="shared" si="117"/>
        <v>211.73047457261634</v>
      </c>
      <c r="AB153" s="19">
        <f t="shared" si="117"/>
        <v>106.02111172733687</v>
      </c>
      <c r="AC153" s="19">
        <f t="shared" si="117"/>
        <v>0</v>
      </c>
      <c r="AD153" s="19">
        <f t="shared" si="117"/>
        <v>0</v>
      </c>
      <c r="AE153" s="19">
        <f t="shared" si="117"/>
        <v>0</v>
      </c>
      <c r="AF153" s="19">
        <f t="shared" si="117"/>
        <v>0</v>
      </c>
      <c r="AG153" s="19">
        <f t="shared" si="117"/>
        <v>0</v>
      </c>
      <c r="AH153" s="19">
        <f t="shared" si="117"/>
        <v>0</v>
      </c>
      <c r="AI153" s="19">
        <f t="shared" si="117"/>
        <v>0</v>
      </c>
      <c r="AJ153" s="19">
        <f t="shared" si="117"/>
        <v>0</v>
      </c>
      <c r="AK153" s="27">
        <f t="shared" si="117"/>
        <v>0</v>
      </c>
    </row>
    <row r="154" spans="1:37" s="53" customFormat="1" ht="38.25" customHeight="1" x14ac:dyDescent="0.25">
      <c r="A154" s="5"/>
      <c r="B154" s="48"/>
      <c r="E154" s="37"/>
      <c r="F154" s="207"/>
      <c r="G154" s="41" t="s">
        <v>125</v>
      </c>
      <c r="H154" s="64">
        <f t="shared" ref="H154:AK154" si="118">IF(H$10&lt;=5,0%,IF(AND(H$10&gt;5,H$10&lt;=21),(((H$10-5)*0.0165)),IF(H$10=22,(0.28),IF(H$10&gt;22,(((H$10-22)*0.09+0.28))))))</f>
        <v>0</v>
      </c>
      <c r="I154" s="64">
        <f t="shared" si="118"/>
        <v>0</v>
      </c>
      <c r="J154" s="64">
        <f t="shared" si="118"/>
        <v>0</v>
      </c>
      <c r="K154" s="64">
        <f t="shared" si="118"/>
        <v>0</v>
      </c>
      <c r="L154" s="64">
        <f t="shared" si="118"/>
        <v>0</v>
      </c>
      <c r="M154" s="64">
        <f t="shared" si="118"/>
        <v>1.6500000000000001E-2</v>
      </c>
      <c r="N154" s="64">
        <f t="shared" si="118"/>
        <v>3.3000000000000002E-2</v>
      </c>
      <c r="O154" s="64">
        <f t="shared" si="118"/>
        <v>4.9500000000000002E-2</v>
      </c>
      <c r="P154" s="64">
        <f t="shared" si="118"/>
        <v>6.6000000000000003E-2</v>
      </c>
      <c r="Q154" s="64">
        <f t="shared" si="118"/>
        <v>8.2500000000000004E-2</v>
      </c>
      <c r="R154" s="64">
        <f t="shared" si="118"/>
        <v>9.9000000000000005E-2</v>
      </c>
      <c r="S154" s="64">
        <f t="shared" si="118"/>
        <v>0.11550000000000001</v>
      </c>
      <c r="T154" s="64">
        <f t="shared" si="118"/>
        <v>0.13200000000000001</v>
      </c>
      <c r="U154" s="64">
        <f t="shared" si="118"/>
        <v>0.14850000000000002</v>
      </c>
      <c r="V154" s="64">
        <f t="shared" si="118"/>
        <v>0.16500000000000001</v>
      </c>
      <c r="W154" s="64">
        <f t="shared" si="118"/>
        <v>0.18149999999999999</v>
      </c>
      <c r="X154" s="64">
        <f t="shared" si="118"/>
        <v>0.19800000000000001</v>
      </c>
      <c r="Y154" s="64">
        <f t="shared" si="118"/>
        <v>0.21450000000000002</v>
      </c>
      <c r="Z154" s="64">
        <f t="shared" si="118"/>
        <v>0.23100000000000001</v>
      </c>
      <c r="AA154" s="64">
        <f t="shared" si="118"/>
        <v>0.2475</v>
      </c>
      <c r="AB154" s="64">
        <f t="shared" si="118"/>
        <v>0.26400000000000001</v>
      </c>
      <c r="AC154" s="64">
        <f t="shared" si="118"/>
        <v>0.28000000000000003</v>
      </c>
      <c r="AD154" s="64">
        <f t="shared" si="118"/>
        <v>0.37</v>
      </c>
      <c r="AE154" s="64">
        <f t="shared" si="118"/>
        <v>0.46</v>
      </c>
      <c r="AF154" s="64">
        <f t="shared" si="118"/>
        <v>0.55000000000000004</v>
      </c>
      <c r="AG154" s="64">
        <f t="shared" si="118"/>
        <v>0.64</v>
      </c>
      <c r="AH154" s="64">
        <f t="shared" si="118"/>
        <v>0.73</v>
      </c>
      <c r="AI154" s="64">
        <f t="shared" si="118"/>
        <v>0.82000000000000006</v>
      </c>
      <c r="AJ154" s="64">
        <f t="shared" si="118"/>
        <v>0.91</v>
      </c>
      <c r="AK154" s="67">
        <f t="shared" si="118"/>
        <v>1</v>
      </c>
    </row>
    <row r="155" spans="1:37" s="53" customFormat="1" ht="38.25" customHeight="1" x14ac:dyDescent="0.25">
      <c r="A155" s="5"/>
      <c r="B155" s="48"/>
      <c r="E155" s="37"/>
      <c r="F155" s="207"/>
      <c r="G155" s="41" t="s">
        <v>126</v>
      </c>
      <c r="H155" s="19">
        <f>H150*(1-H154)</f>
        <v>0</v>
      </c>
      <c r="I155" s="19">
        <f t="shared" ref="I155:AK155" si="119">I150*(1-I154)</f>
        <v>0</v>
      </c>
      <c r="J155" s="19">
        <f t="shared" si="119"/>
        <v>0</v>
      </c>
      <c r="K155" s="19">
        <f t="shared" si="119"/>
        <v>0</v>
      </c>
      <c r="L155" s="19">
        <f t="shared" si="119"/>
        <v>0</v>
      </c>
      <c r="M155" s="19">
        <f t="shared" si="119"/>
        <v>0</v>
      </c>
      <c r="N155" s="19">
        <f t="shared" si="119"/>
        <v>0</v>
      </c>
      <c r="O155" s="19">
        <f t="shared" si="119"/>
        <v>0</v>
      </c>
      <c r="P155" s="19">
        <f t="shared" si="119"/>
        <v>0</v>
      </c>
      <c r="Q155" s="19">
        <f t="shared" si="119"/>
        <v>0</v>
      </c>
      <c r="R155" s="19">
        <f t="shared" si="119"/>
        <v>0</v>
      </c>
      <c r="S155" s="19">
        <f t="shared" si="119"/>
        <v>0</v>
      </c>
      <c r="T155" s="19">
        <f t="shared" si="119"/>
        <v>0</v>
      </c>
      <c r="U155" s="19">
        <f t="shared" si="119"/>
        <v>0</v>
      </c>
      <c r="V155" s="19">
        <f t="shared" si="119"/>
        <v>0</v>
      </c>
      <c r="W155" s="19">
        <f t="shared" si="119"/>
        <v>158.04280011091092</v>
      </c>
      <c r="X155" s="19">
        <f t="shared" si="119"/>
        <v>2317.7954110517476</v>
      </c>
      <c r="Y155" s="19">
        <f t="shared" si="119"/>
        <v>4409.7336949313867</v>
      </c>
      <c r="Z155" s="19">
        <f t="shared" si="119"/>
        <v>6432.7300649474482</v>
      </c>
      <c r="AA155" s="19">
        <f t="shared" si="119"/>
        <v>8385.6411639944035</v>
      </c>
      <c r="AB155" s="19">
        <f t="shared" si="119"/>
        <v>10267.307662015772</v>
      </c>
      <c r="AC155" s="19">
        <f t="shared" si="119"/>
        <v>12084.946374752595</v>
      </c>
      <c r="AD155" s="19">
        <f t="shared" si="119"/>
        <v>12377.921358687565</v>
      </c>
      <c r="AE155" s="19">
        <f t="shared" si="119"/>
        <v>12171.043347663845</v>
      </c>
      <c r="AF155" s="19">
        <f t="shared" si="119"/>
        <v>11456.711484283755</v>
      </c>
      <c r="AG155" s="19">
        <f t="shared" si="119"/>
        <v>10227.222879301273</v>
      </c>
      <c r="AH155" s="19">
        <f t="shared" si="119"/>
        <v>8474.771331070684</v>
      </c>
      <c r="AI155" s="19">
        <f t="shared" si="119"/>
        <v>6191.4460295875888</v>
      </c>
      <c r="AJ155" s="19">
        <f t="shared" si="119"/>
        <v>3369.2302449417348</v>
      </c>
      <c r="AK155" s="27">
        <f t="shared" si="119"/>
        <v>0</v>
      </c>
    </row>
    <row r="156" spans="1:37" s="53" customFormat="1" ht="38.25" customHeight="1" x14ac:dyDescent="0.25">
      <c r="A156" s="5"/>
      <c r="B156" s="48"/>
      <c r="E156" s="37"/>
      <c r="F156" s="207"/>
      <c r="G156" s="41" t="s">
        <v>127</v>
      </c>
      <c r="H156" s="19">
        <f>H155*0.172</f>
        <v>0</v>
      </c>
      <c r="I156" s="19">
        <f t="shared" ref="I156:AK156" si="120">I155*0.172</f>
        <v>0</v>
      </c>
      <c r="J156" s="19">
        <f t="shared" si="120"/>
        <v>0</v>
      </c>
      <c r="K156" s="19">
        <f t="shared" si="120"/>
        <v>0</v>
      </c>
      <c r="L156" s="19">
        <f t="shared" si="120"/>
        <v>0</v>
      </c>
      <c r="M156" s="19">
        <f t="shared" si="120"/>
        <v>0</v>
      </c>
      <c r="N156" s="19">
        <f t="shared" si="120"/>
        <v>0</v>
      </c>
      <c r="O156" s="19">
        <f t="shared" si="120"/>
        <v>0</v>
      </c>
      <c r="P156" s="19">
        <f t="shared" si="120"/>
        <v>0</v>
      </c>
      <c r="Q156" s="19">
        <f t="shared" si="120"/>
        <v>0</v>
      </c>
      <c r="R156" s="19">
        <f t="shared" si="120"/>
        <v>0</v>
      </c>
      <c r="S156" s="19">
        <f t="shared" si="120"/>
        <v>0</v>
      </c>
      <c r="T156" s="19">
        <f t="shared" si="120"/>
        <v>0</v>
      </c>
      <c r="U156" s="19">
        <f t="shared" si="120"/>
        <v>0</v>
      </c>
      <c r="V156" s="19">
        <f t="shared" si="120"/>
        <v>0</v>
      </c>
      <c r="W156" s="19">
        <f t="shared" si="120"/>
        <v>27.183361619076674</v>
      </c>
      <c r="X156" s="19">
        <f t="shared" si="120"/>
        <v>398.66081070090053</v>
      </c>
      <c r="Y156" s="19">
        <f t="shared" si="120"/>
        <v>758.47419552819849</v>
      </c>
      <c r="Z156" s="19">
        <f t="shared" si="120"/>
        <v>1106.429571170961</v>
      </c>
      <c r="AA156" s="19">
        <f t="shared" si="120"/>
        <v>1442.3302802070373</v>
      </c>
      <c r="AB156" s="19">
        <f t="shared" si="120"/>
        <v>1765.9769178667125</v>
      </c>
      <c r="AC156" s="19">
        <f t="shared" si="120"/>
        <v>2078.6107764574463</v>
      </c>
      <c r="AD156" s="19">
        <f t="shared" si="120"/>
        <v>2129.002473694261</v>
      </c>
      <c r="AE156" s="19">
        <f t="shared" si="120"/>
        <v>2093.4194557981809</v>
      </c>
      <c r="AF156" s="19">
        <f t="shared" si="120"/>
        <v>1970.5543752968056</v>
      </c>
      <c r="AG156" s="19">
        <f t="shared" si="120"/>
        <v>1759.0823352398188</v>
      </c>
      <c r="AH156" s="19">
        <f t="shared" si="120"/>
        <v>1457.6606689441576</v>
      </c>
      <c r="AI156" s="19">
        <f t="shared" si="120"/>
        <v>1064.9287170890652</v>
      </c>
      <c r="AJ156" s="19">
        <f t="shared" si="120"/>
        <v>579.5076021299783</v>
      </c>
      <c r="AK156" s="27">
        <f t="shared" si="120"/>
        <v>0</v>
      </c>
    </row>
    <row r="157" spans="1:37" s="53" customFormat="1" ht="38.25" customHeight="1" x14ac:dyDescent="0.25">
      <c r="A157" s="5"/>
      <c r="B157" s="48"/>
      <c r="E157" s="37"/>
      <c r="F157" s="207"/>
      <c r="G157" s="41" t="s">
        <v>128</v>
      </c>
      <c r="H157" s="19">
        <f>H156+H153</f>
        <v>0</v>
      </c>
      <c r="I157" s="19">
        <f t="shared" ref="I157:AK157" si="121">I156+I153</f>
        <v>0</v>
      </c>
      <c r="J157" s="19">
        <f t="shared" si="121"/>
        <v>0</v>
      </c>
      <c r="K157" s="19">
        <f t="shared" si="121"/>
        <v>0</v>
      </c>
      <c r="L157" s="19">
        <f t="shared" si="121"/>
        <v>0</v>
      </c>
      <c r="M157" s="19">
        <f t="shared" si="121"/>
        <v>0</v>
      </c>
      <c r="N157" s="19">
        <f t="shared" si="121"/>
        <v>0</v>
      </c>
      <c r="O157" s="19">
        <f t="shared" si="121"/>
        <v>0</v>
      </c>
      <c r="P157" s="19">
        <f t="shared" si="121"/>
        <v>0</v>
      </c>
      <c r="Q157" s="19">
        <f t="shared" si="121"/>
        <v>0</v>
      </c>
      <c r="R157" s="19">
        <f t="shared" si="121"/>
        <v>0</v>
      </c>
      <c r="S157" s="19">
        <f t="shared" si="121"/>
        <v>0</v>
      </c>
      <c r="T157" s="19">
        <f t="shared" si="121"/>
        <v>0</v>
      </c>
      <c r="U157" s="19">
        <f t="shared" si="121"/>
        <v>0</v>
      </c>
      <c r="V157" s="19">
        <f t="shared" si="121"/>
        <v>0</v>
      </c>
      <c r="W157" s="19">
        <f t="shared" si="121"/>
        <v>39.656867895392921</v>
      </c>
      <c r="X157" s="19">
        <f t="shared" si="121"/>
        <v>552.40983298014362</v>
      </c>
      <c r="Y157" s="19">
        <f t="shared" si="121"/>
        <v>993.13602677979861</v>
      </c>
      <c r="Z157" s="19">
        <f t="shared" si="121"/>
        <v>1360.7273526721347</v>
      </c>
      <c r="AA157" s="19">
        <f t="shared" si="121"/>
        <v>1654.0607547796535</v>
      </c>
      <c r="AB157" s="19">
        <f t="shared" si="121"/>
        <v>1871.9980295940493</v>
      </c>
      <c r="AC157" s="19">
        <f t="shared" si="121"/>
        <v>2078.6107764574463</v>
      </c>
      <c r="AD157" s="19">
        <f t="shared" si="121"/>
        <v>2129.002473694261</v>
      </c>
      <c r="AE157" s="19">
        <f t="shared" si="121"/>
        <v>2093.4194557981809</v>
      </c>
      <c r="AF157" s="19">
        <f t="shared" si="121"/>
        <v>1970.5543752968056</v>
      </c>
      <c r="AG157" s="19">
        <f t="shared" si="121"/>
        <v>1759.0823352398188</v>
      </c>
      <c r="AH157" s="19">
        <f t="shared" si="121"/>
        <v>1457.6606689441576</v>
      </c>
      <c r="AI157" s="19">
        <f t="shared" si="121"/>
        <v>1064.9287170890652</v>
      </c>
      <c r="AJ157" s="19">
        <f t="shared" si="121"/>
        <v>579.5076021299783</v>
      </c>
      <c r="AK157" s="27">
        <f t="shared" si="121"/>
        <v>0</v>
      </c>
    </row>
    <row r="158" spans="1:37" s="53" customFormat="1" ht="38.25" customHeight="1" x14ac:dyDescent="0.25">
      <c r="A158" s="5"/>
      <c r="B158" s="48"/>
      <c r="E158" s="37"/>
      <c r="F158" s="207"/>
      <c r="G158" s="41" t="s">
        <v>129</v>
      </c>
      <c r="H158" s="19">
        <f t="shared" ref="H158:AK158" si="122">H$48-H157</f>
        <v>232300</v>
      </c>
      <c r="I158" s="19">
        <f t="shared" si="122"/>
        <v>234623</v>
      </c>
      <c r="J158" s="19">
        <f t="shared" si="122"/>
        <v>236969.22999999998</v>
      </c>
      <c r="K158" s="19">
        <f t="shared" si="122"/>
        <v>239338.92230000001</v>
      </c>
      <c r="L158" s="19">
        <f t="shared" si="122"/>
        <v>241732.31152299998</v>
      </c>
      <c r="M158" s="19">
        <f t="shared" si="122"/>
        <v>244149.63463823003</v>
      </c>
      <c r="N158" s="19">
        <f t="shared" si="122"/>
        <v>246591.13098461227</v>
      </c>
      <c r="O158" s="19">
        <f t="shared" si="122"/>
        <v>249057.04229445846</v>
      </c>
      <c r="P158" s="19">
        <f t="shared" si="122"/>
        <v>251547.61271740304</v>
      </c>
      <c r="Q158" s="19">
        <f t="shared" si="122"/>
        <v>254063.08884457708</v>
      </c>
      <c r="R158" s="19">
        <f t="shared" si="122"/>
        <v>256603.71973302279</v>
      </c>
      <c r="S158" s="19">
        <f t="shared" si="122"/>
        <v>259169.75693035306</v>
      </c>
      <c r="T158" s="19">
        <f t="shared" si="122"/>
        <v>261761.4544996566</v>
      </c>
      <c r="U158" s="19">
        <f t="shared" si="122"/>
        <v>264379.06904465321</v>
      </c>
      <c r="V158" s="19">
        <f t="shared" si="122"/>
        <v>267022.85973509966</v>
      </c>
      <c r="W158" s="19">
        <f t="shared" si="122"/>
        <v>269653.43146455532</v>
      </c>
      <c r="X158" s="19">
        <f t="shared" si="122"/>
        <v>271837.60938279511</v>
      </c>
      <c r="Y158" s="19">
        <f t="shared" si="122"/>
        <v>274120.78338115325</v>
      </c>
      <c r="Z158" s="19">
        <f t="shared" si="122"/>
        <v>276504.33124934015</v>
      </c>
      <c r="AA158" s="19">
        <f t="shared" si="122"/>
        <v>278989.64843325276</v>
      </c>
      <c r="AB158" s="19">
        <f t="shared" si="122"/>
        <v>281578.14825031866</v>
      </c>
      <c r="AC158" s="19">
        <f t="shared" si="122"/>
        <v>284206.03696625447</v>
      </c>
      <c r="AD158" s="19">
        <f t="shared" si="122"/>
        <v>287018.49174644472</v>
      </c>
      <c r="AE158" s="19">
        <f t="shared" si="122"/>
        <v>289945.54970654228</v>
      </c>
      <c r="AF158" s="19">
        <f t="shared" si="122"/>
        <v>292988.80447866709</v>
      </c>
      <c r="AG158" s="19">
        <f t="shared" si="122"/>
        <v>296149.87010726373</v>
      </c>
      <c r="AH158" s="19">
        <f t="shared" si="122"/>
        <v>299430.38129798428</v>
      </c>
      <c r="AI158" s="19">
        <f t="shared" si="122"/>
        <v>302831.99366950867</v>
      </c>
      <c r="AJ158" s="19">
        <f t="shared" si="122"/>
        <v>306356.38400833373</v>
      </c>
      <c r="AK158" s="27">
        <f t="shared" si="122"/>
        <v>310005.25052656844</v>
      </c>
    </row>
    <row r="159" spans="1:37" s="53" customFormat="1" ht="38.25" customHeight="1" x14ac:dyDescent="0.25">
      <c r="A159" s="5"/>
      <c r="B159" s="48"/>
      <c r="E159" s="37"/>
      <c r="F159" s="207"/>
      <c r="G159" s="169" t="s">
        <v>352</v>
      </c>
      <c r="H159" s="162">
        <f t="shared" ref="H159:AK159" si="123">H158-H$16</f>
        <v>-4939.9208197635016</v>
      </c>
      <c r="I159" s="162">
        <f t="shared" si="123"/>
        <v>5759.5443927056913</v>
      </c>
      <c r="J159" s="162">
        <f t="shared" si="123"/>
        <v>16600.265537970641</v>
      </c>
      <c r="K159" s="162">
        <f t="shared" si="123"/>
        <v>27584.137923094531</v>
      </c>
      <c r="L159" s="162">
        <f t="shared" si="123"/>
        <v>38713.082610215235</v>
      </c>
      <c r="M159" s="162">
        <f t="shared" si="123"/>
        <v>49989.046769937937</v>
      </c>
      <c r="N159" s="162">
        <f t="shared" si="123"/>
        <v>61414.004039611202</v>
      </c>
      <c r="O159" s="162">
        <f t="shared" si="123"/>
        <v>72989.954886556487</v>
      </c>
      <c r="P159" s="162">
        <f t="shared" si="123"/>
        <v>84718.926976317132</v>
      </c>
      <c r="Q159" s="162">
        <f t="shared" si="123"/>
        <v>96602.975545999652</v>
      </c>
      <c r="R159" s="162">
        <f t="shared" si="123"/>
        <v>108644.18378277571</v>
      </c>
      <c r="S159" s="162">
        <f t="shared" si="123"/>
        <v>120844.66320761776</v>
      </c>
      <c r="T159" s="162">
        <f t="shared" si="123"/>
        <v>133206.55406434039</v>
      </c>
      <c r="U159" s="162">
        <f t="shared" si="123"/>
        <v>145732.02571402187</v>
      </c>
      <c r="V159" s="162">
        <f t="shared" si="123"/>
        <v>158423.27703487989</v>
      </c>
      <c r="W159" s="162">
        <f t="shared" si="123"/>
        <v>171242.87995978308</v>
      </c>
      <c r="X159" s="162">
        <f t="shared" si="123"/>
        <v>183759.65439376057</v>
      </c>
      <c r="Y159" s="162">
        <f t="shared" si="123"/>
        <v>196521.01308986868</v>
      </c>
      <c r="Z159" s="162">
        <f t="shared" si="123"/>
        <v>209530.38520203292</v>
      </c>
      <c r="AA159" s="162">
        <f t="shared" si="123"/>
        <v>222791.24644446382</v>
      </c>
      <c r="AB159" s="162">
        <f t="shared" si="123"/>
        <v>236307.11971426493</v>
      </c>
      <c r="AC159" s="162">
        <f t="shared" si="123"/>
        <v>250016.35058119392</v>
      </c>
      <c r="AD159" s="162">
        <f t="shared" si="123"/>
        <v>264066.28565786302</v>
      </c>
      <c r="AE159" s="162">
        <f t="shared" si="123"/>
        <v>278389.16207506252</v>
      </c>
      <c r="AF159" s="162">
        <f t="shared" si="123"/>
        <v>292988.80447866715</v>
      </c>
      <c r="AG159" s="162">
        <f t="shared" si="123"/>
        <v>296149.87010726373</v>
      </c>
      <c r="AH159" s="162">
        <f t="shared" si="123"/>
        <v>299430.38129798428</v>
      </c>
      <c r="AI159" s="162">
        <f t="shared" si="123"/>
        <v>302831.99366950867</v>
      </c>
      <c r="AJ159" s="162">
        <f t="shared" si="123"/>
        <v>306356.38400833373</v>
      </c>
      <c r="AK159" s="163">
        <f t="shared" si="123"/>
        <v>310005.25052656844</v>
      </c>
    </row>
    <row r="160" spans="1:37" s="53" customFormat="1" ht="38.25" customHeight="1" x14ac:dyDescent="0.25">
      <c r="A160" s="5"/>
      <c r="B160" s="48"/>
      <c r="E160" s="37"/>
      <c r="F160" s="207"/>
      <c r="G160" s="41" t="s">
        <v>299</v>
      </c>
      <c r="H160" s="19">
        <f t="shared" ref="H160:AK160" si="124">IF(H$10=1,($C$18*-1)+H147,H147)</f>
        <v>-18490.82138734925</v>
      </c>
      <c r="I160" s="19">
        <f t="shared" si="124"/>
        <v>-3137.7789379582273</v>
      </c>
      <c r="J160" s="19">
        <f t="shared" si="124"/>
        <v>-3121.4943782378309</v>
      </c>
      <c r="K160" s="19">
        <f t="shared" si="124"/>
        <v>-3105.2748298512297</v>
      </c>
      <c r="L160" s="19">
        <f t="shared" si="124"/>
        <v>-3089.1241534577512</v>
      </c>
      <c r="M160" s="19">
        <f t="shared" si="124"/>
        <v>-3073.0462935605046</v>
      </c>
      <c r="N160" s="19">
        <f t="shared" si="124"/>
        <v>-3057.0452799822056</v>
      </c>
      <c r="O160" s="19">
        <f t="shared" si="124"/>
        <v>-3041.125229364774</v>
      </c>
      <c r="P160" s="19">
        <f t="shared" si="124"/>
        <v>-3025.2903466929838</v>
      </c>
      <c r="Q160" s="19">
        <f t="shared" si="124"/>
        <v>-3009.544926842656</v>
      </c>
      <c r="R160" s="19">
        <f t="shared" si="124"/>
        <v>-2993.893356153616</v>
      </c>
      <c r="S160" s="19">
        <f t="shared" si="124"/>
        <v>-2978.3401140279684</v>
      </c>
      <c r="T160" s="19">
        <f t="shared" si="124"/>
        <v>-2962.8897745538975</v>
      </c>
      <c r="U160" s="19">
        <f t="shared" si="124"/>
        <v>-2947.5470081555454</v>
      </c>
      <c r="V160" s="19">
        <f t="shared" si="124"/>
        <v>-2932.3165832692562</v>
      </c>
      <c r="W160" s="19">
        <f t="shared" si="124"/>
        <v>-2917.2033680466393</v>
      </c>
      <c r="X160" s="19">
        <f t="shared" si="124"/>
        <v>-2902.2123320848455</v>
      </c>
      <c r="Y160" s="19">
        <f t="shared" si="124"/>
        <v>-2887.3485481844705</v>
      </c>
      <c r="Z160" s="19">
        <f t="shared" si="124"/>
        <v>-2872.617194135526</v>
      </c>
      <c r="AA160" s="19">
        <f t="shared" si="124"/>
        <v>-2858.023554531896</v>
      </c>
      <c r="AB160" s="19">
        <f t="shared" si="124"/>
        <v>-2843.573022614687</v>
      </c>
      <c r="AC160" s="19">
        <f t="shared" si="124"/>
        <v>-2907.6132616283917</v>
      </c>
      <c r="AD160" s="19">
        <f t="shared" si="124"/>
        <v>-3122.3194058364461</v>
      </c>
      <c r="AE160" s="19">
        <f t="shared" si="124"/>
        <v>-3343.4118487044448</v>
      </c>
      <c r="AF160" s="19">
        <f t="shared" si="124"/>
        <v>-3571.0757168985474</v>
      </c>
      <c r="AG160" s="19">
        <f t="shared" si="124"/>
        <v>7984.9832216304003</v>
      </c>
      <c r="AH160" s="19">
        <f t="shared" si="124"/>
        <v>7839.7026433216697</v>
      </c>
      <c r="AI160" s="19">
        <f t="shared" si="124"/>
        <v>7688.6162949140935</v>
      </c>
      <c r="AJ160" s="19">
        <f t="shared" si="124"/>
        <v>7531.5355297772267</v>
      </c>
      <c r="AK160" s="27">
        <f t="shared" si="124"/>
        <v>7447.0053754688997</v>
      </c>
    </row>
    <row r="161" spans="1:37" s="53" customFormat="1" ht="38.25" customHeight="1" x14ac:dyDescent="0.25">
      <c r="A161" s="5"/>
      <c r="B161" s="48"/>
      <c r="E161" s="37"/>
      <c r="F161" s="207"/>
      <c r="G161" s="160" t="s">
        <v>298</v>
      </c>
      <c r="H161" s="165" t="str">
        <f>TRI!C165</f>
        <v>N/A</v>
      </c>
      <c r="I161" s="165">
        <f>TRI!D165</f>
        <v>-0.85821260181869574</v>
      </c>
      <c r="J161" s="165">
        <f>TRI!E165</f>
        <v>-0.22685923658225826</v>
      </c>
      <c r="K161" s="165">
        <f>TRI!F165</f>
        <v>-4.1970821873513753E-3</v>
      </c>
      <c r="L161" s="165">
        <f>TRI!G165</f>
        <v>7.57679336287993E-2</v>
      </c>
      <c r="M161" s="165">
        <f>TRI!H165</f>
        <v>0.10702846094085783</v>
      </c>
      <c r="N161" s="165">
        <f>TRI!I165</f>
        <v>0.1189891710239086</v>
      </c>
      <c r="O161" s="165">
        <f>TRI!J165</f>
        <v>0.12246120590933884</v>
      </c>
      <c r="P161" s="165">
        <f>TRI!K165</f>
        <v>0.12196423397342193</v>
      </c>
      <c r="Q161" s="165">
        <f>TRI!L165</f>
        <v>0.11957129644335374</v>
      </c>
      <c r="R161" s="165">
        <f>TRI!M165</f>
        <v>0.11629764838899148</v>
      </c>
      <c r="S161" s="165">
        <f>TRI!N165</f>
        <v>0.11266293123210414</v>
      </c>
      <c r="T161" s="165">
        <f>TRI!O165</f>
        <v>0.10893988626776729</v>
      </c>
      <c r="U161" s="165">
        <f>TRI!P165</f>
        <v>0.10527239241760022</v>
      </c>
      <c r="V161" s="165">
        <f>TRI!Q165</f>
        <v>0.10173471462651218</v>
      </c>
      <c r="W161" s="165">
        <f>TRI!R165</f>
        <v>9.8340542735888103E-2</v>
      </c>
      <c r="X161" s="165">
        <f>TRI!S165</f>
        <v>9.4902394473598495E-2</v>
      </c>
      <c r="Y161" s="165">
        <f>TRI!T165</f>
        <v>9.1736874446407102E-2</v>
      </c>
      <c r="Z161" s="165">
        <f>TRI!U165</f>
        <v>8.8814238915343235E-2</v>
      </c>
      <c r="AA161" s="165">
        <f>TRI!V165</f>
        <v>8.6108478229323548E-2</v>
      </c>
      <c r="AB161" s="165">
        <f>TRI!W165</f>
        <v>8.3596883431470426E-2</v>
      </c>
      <c r="AC161" s="165">
        <f>TRI!X165</f>
        <v>8.1220801771476392E-2</v>
      </c>
      <c r="AD161" s="165">
        <f>TRI!Y165</f>
        <v>7.8970985179584785E-2</v>
      </c>
      <c r="AE161" s="165">
        <f>TRI!Z165</f>
        <v>7.6820274744649364E-2</v>
      </c>
      <c r="AF161" s="165">
        <f>TRI!AA165</f>
        <v>7.4762908400370476E-2</v>
      </c>
      <c r="AG161" s="165">
        <f>TRI!AB165</f>
        <v>7.2806414766260374E-2</v>
      </c>
      <c r="AH161" s="165">
        <f>TRI!AC165</f>
        <v>7.1060682664467745E-2</v>
      </c>
      <c r="AI161" s="165">
        <f>TRI!AD165</f>
        <v>6.9490479293822904E-2</v>
      </c>
      <c r="AJ161" s="165">
        <f>TRI!AE165</f>
        <v>6.8067652450552796E-2</v>
      </c>
      <c r="AK161" s="166">
        <f>TRI!AF165</f>
        <v>6.678004308469343E-2</v>
      </c>
    </row>
    <row r="162" spans="1:37" s="53" customFormat="1" ht="38.25" customHeight="1" x14ac:dyDescent="0.25">
      <c r="A162" s="5"/>
      <c r="B162" s="48"/>
      <c r="E162" s="37"/>
      <c r="F162" s="208"/>
      <c r="G162" s="147" t="s">
        <v>305</v>
      </c>
      <c r="H162" s="150">
        <f>H$159+H148-$C$18</f>
        <v>-23430.742207112751</v>
      </c>
      <c r="I162" s="150">
        <f>I$159+I148-$C$18</f>
        <v>-15869.055932601783</v>
      </c>
      <c r="J162" s="150">
        <f>J$159+J148-$C$18</f>
        <v>-8149.8291655746652</v>
      </c>
      <c r="K162" s="150">
        <f>K$159+K148-$C$18</f>
        <v>-271.23161030200572</v>
      </c>
      <c r="L162" s="150">
        <f>L$159+L148-$C$18</f>
        <v>7768.5889233609487</v>
      </c>
      <c r="M162" s="150">
        <f>M$159+M148-$C$18</f>
        <v>15971.506789523148</v>
      </c>
      <c r="N162" s="150">
        <f>N$159+N148-$C$18</f>
        <v>24339.418779214204</v>
      </c>
      <c r="O162" s="150">
        <f>O$159+O148-$C$18</f>
        <v>32874.244396794718</v>
      </c>
      <c r="P162" s="150">
        <f>P$159+P148-$C$18</f>
        <v>41577.926139862378</v>
      </c>
      <c r="Q162" s="150">
        <f>Q$159+Q148-$C$18</f>
        <v>50452.429782702238</v>
      </c>
      <c r="R162" s="150">
        <f>R$159+R148-$C$18</f>
        <v>59499.744663324687</v>
      </c>
      <c r="S162" s="150">
        <f>S$159+S148-$C$18</f>
        <v>68721.883974138764</v>
      </c>
      <c r="T162" s="150">
        <f>T$159+T148-$C$18</f>
        <v>78120.88505630751</v>
      </c>
      <c r="U162" s="150">
        <f>U$159+U148-$C$18</f>
        <v>87698.809697833436</v>
      </c>
      <c r="V162" s="150">
        <f>V$159+V148-$C$18</f>
        <v>97457.74443542221</v>
      </c>
      <c r="W162" s="150">
        <f>W$159+W148-$C$18</f>
        <v>107360.14399227875</v>
      </c>
      <c r="X162" s="150">
        <f>X$159+X148-$C$18</f>
        <v>116974.70609417139</v>
      </c>
      <c r="Y162" s="150">
        <f>Y$159+Y148-$C$18</f>
        <v>126848.71624209502</v>
      </c>
      <c r="Z162" s="150">
        <f>Z$159+Z148-$C$18</f>
        <v>136985.47116012374</v>
      </c>
      <c r="AA162" s="150">
        <f>AA$159+AA148-$C$18</f>
        <v>147388.30884802275</v>
      </c>
      <c r="AB162" s="150">
        <f>AB$159+AB148-$C$18</f>
        <v>158060.60909520916</v>
      </c>
      <c r="AC162" s="150">
        <f>AC$159+AC148-$C$18</f>
        <v>168862.22670050978</v>
      </c>
      <c r="AD162" s="150">
        <f>AD$159+AD148-$C$18</f>
        <v>179789.84237134241</v>
      </c>
      <c r="AE162" s="150">
        <f>AE$159+AE148-$C$18</f>
        <v>190769.30693983746</v>
      </c>
      <c r="AF162" s="150">
        <f>AF$159+AF148-$C$18</f>
        <v>201797.87362654356</v>
      </c>
      <c r="AG162" s="150">
        <f>AG$159+AG148-$C$18</f>
        <v>212943.92247677056</v>
      </c>
      <c r="AH162" s="150">
        <f>AH$159+AH148-$C$18</f>
        <v>224064.13631081276</v>
      </c>
      <c r="AI162" s="150">
        <f>AI$159+AI148-$C$18</f>
        <v>235154.36497725124</v>
      </c>
      <c r="AJ162" s="150">
        <f>AJ$159+AJ148-$C$18</f>
        <v>246210.29084585351</v>
      </c>
      <c r="AK162" s="151">
        <f>AK$159+AK148-$C$18</f>
        <v>257306.16273955716</v>
      </c>
    </row>
    <row r="163" spans="1:37" s="53" customFormat="1" ht="38.25" customHeight="1" x14ac:dyDescent="0.25">
      <c r="A163" s="5"/>
      <c r="B163" s="48"/>
      <c r="E163" s="37"/>
      <c r="F163" s="93"/>
      <c r="G163" s="54"/>
      <c r="H163" s="38"/>
      <c r="I163" s="38"/>
      <c r="J163" s="38"/>
      <c r="K163" s="38"/>
      <c r="L163" s="38"/>
      <c r="M163" s="38"/>
      <c r="N163" s="38"/>
      <c r="O163" s="38"/>
      <c r="P163" s="38"/>
      <c r="Q163" s="38"/>
      <c r="R163" s="38"/>
      <c r="S163" s="38"/>
      <c r="T163" s="38"/>
      <c r="U163" s="38"/>
      <c r="V163" s="19"/>
      <c r="W163" s="38"/>
      <c r="X163" s="38"/>
      <c r="Y163" s="38"/>
      <c r="Z163" s="38"/>
      <c r="AA163" s="38"/>
      <c r="AB163" s="38"/>
      <c r="AC163" s="38"/>
      <c r="AD163" s="38"/>
      <c r="AE163" s="38"/>
      <c r="AF163" s="38"/>
      <c r="AG163" s="38"/>
      <c r="AH163" s="38"/>
      <c r="AI163" s="38"/>
      <c r="AJ163" s="38"/>
      <c r="AK163" s="38"/>
    </row>
    <row r="164" spans="1:37" s="53" customFormat="1" ht="38.25" customHeight="1" x14ac:dyDescent="0.25">
      <c r="A164" s="5"/>
      <c r="B164" s="48"/>
      <c r="E164" s="37"/>
      <c r="F164" s="181" t="s">
        <v>177</v>
      </c>
      <c r="G164" s="44" t="s">
        <v>107</v>
      </c>
      <c r="H164" s="57">
        <f>H12*0.7</f>
        <v>12600</v>
      </c>
      <c r="I164" s="29">
        <f>I12*0.7</f>
        <v>12726</v>
      </c>
      <c r="J164" s="29">
        <f>J12*0.7</f>
        <v>12853.260000000002</v>
      </c>
      <c r="K164" s="29">
        <f>K12*0.7</f>
        <v>12981.792599999997</v>
      </c>
      <c r="L164" s="29">
        <f>L12*0.7</f>
        <v>13111.610526</v>
      </c>
      <c r="M164" s="29">
        <f>M12*0.7</f>
        <v>13242.726631259999</v>
      </c>
      <c r="N164" s="29">
        <f>N12*0.7</f>
        <v>13375.153897572602</v>
      </c>
      <c r="O164" s="29">
        <f>O12*0.7</f>
        <v>13508.905436548324</v>
      </c>
      <c r="P164" s="29">
        <f>P12*0.7</f>
        <v>13643.99449091381</v>
      </c>
      <c r="Q164" s="29">
        <f>Q12*0.7</f>
        <v>13780.43443582295</v>
      </c>
      <c r="R164" s="29">
        <f>R12*0.7</f>
        <v>13918.238780181178</v>
      </c>
      <c r="S164" s="29">
        <f>S12*0.7</f>
        <v>14057.421167982988</v>
      </c>
      <c r="T164" s="29">
        <f>T12*0.7</f>
        <v>14197.995379662818</v>
      </c>
      <c r="U164" s="29">
        <f>U12*0.7</f>
        <v>14339.975333459446</v>
      </c>
      <c r="V164" s="29">
        <f>V12*0.7</f>
        <v>14483.375086794043</v>
      </c>
      <c r="W164" s="29">
        <f>W12*0.7</f>
        <v>14628.208837661979</v>
      </c>
      <c r="X164" s="29">
        <f>X12*0.7</f>
        <v>14774.490926038605</v>
      </c>
      <c r="Y164" s="29">
        <f>Y12*0.7</f>
        <v>14922.235835298989</v>
      </c>
      <c r="Z164" s="29">
        <f>Z12*0.7</f>
        <v>15071.458193651981</v>
      </c>
      <c r="AA164" s="29">
        <f>AA12*0.7</f>
        <v>15222.172775588499</v>
      </c>
      <c r="AB164" s="29">
        <f>AB12*0.7</f>
        <v>15374.394503344382</v>
      </c>
      <c r="AC164" s="29">
        <f>AC12*0.7</f>
        <v>15528.138448377827</v>
      </c>
      <c r="AD164" s="29">
        <f>AD12*0.7</f>
        <v>15683.419832861608</v>
      </c>
      <c r="AE164" s="29">
        <f>AE12*0.7</f>
        <v>15840.254031190221</v>
      </c>
      <c r="AF164" s="29">
        <f>AF12*0.7</f>
        <v>15998.656571502126</v>
      </c>
      <c r="AG164" s="29">
        <f>AG12*0.7</f>
        <v>16158.643137217148</v>
      </c>
      <c r="AH164" s="29">
        <f>AH12*0.7</f>
        <v>16320.229568589322</v>
      </c>
      <c r="AI164" s="29">
        <f>AI12*0.7</f>
        <v>16483.431864275208</v>
      </c>
      <c r="AJ164" s="29">
        <f>AJ12*0.7</f>
        <v>16648.266182917963</v>
      </c>
      <c r="AK164" s="30">
        <f>AK12*0.7</f>
        <v>16814.748844747144</v>
      </c>
    </row>
    <row r="165" spans="1:37" s="53" customFormat="1" ht="38.25" customHeight="1" x14ac:dyDescent="0.25">
      <c r="A165" s="5"/>
      <c r="B165" s="48"/>
      <c r="E165" s="37"/>
      <c r="F165" s="182"/>
      <c r="G165" s="41" t="s">
        <v>111</v>
      </c>
      <c r="H165" s="60">
        <f>H164+H38</f>
        <v>44100</v>
      </c>
      <c r="I165" s="19">
        <f>I164+I38</f>
        <v>45171</v>
      </c>
      <c r="J165" s="19">
        <f>J164+J38</f>
        <v>46271.61</v>
      </c>
      <c r="K165" s="19">
        <f>K164+K38</f>
        <v>47402.693100000004</v>
      </c>
      <c r="L165" s="19">
        <f>L164+L38</f>
        <v>48565.138040999998</v>
      </c>
      <c r="M165" s="19">
        <f>M164+M38</f>
        <v>49759.859971709993</v>
      </c>
      <c r="N165" s="19">
        <f>N164+N38</f>
        <v>50987.801238236098</v>
      </c>
      <c r="O165" s="19">
        <f>O164+O38</f>
        <v>52249.932197431728</v>
      </c>
      <c r="P165" s="19">
        <f>P164+P38</f>
        <v>53547.252054623706</v>
      </c>
      <c r="Q165" s="19">
        <f>Q164+Q38</f>
        <v>54880.789726444149</v>
      </c>
      <c r="R165" s="19">
        <f>R164+R38</f>
        <v>56251.604729521016</v>
      </c>
      <c r="S165" s="19">
        <f>S164+S38</f>
        <v>57660.788095803022</v>
      </c>
      <c r="T165" s="19">
        <f>T164+T38</f>
        <v>59109.463315317444</v>
      </c>
      <c r="U165" s="19">
        <f>U164+U38</f>
        <v>60598.787307183709</v>
      </c>
      <c r="V165" s="19">
        <f>V164+V38</f>
        <v>62129.951419730045</v>
      </c>
      <c r="W165" s="19">
        <f>W164+W38</f>
        <v>63704.18246058606</v>
      </c>
      <c r="X165" s="19">
        <f>X164+X38</f>
        <v>65322.743757650402</v>
      </c>
      <c r="Y165" s="19">
        <f>Y164+Y38</f>
        <v>66986.936251859137</v>
      </c>
      <c r="Z165" s="19">
        <f>Z164+Z38</f>
        <v>68698.099622708934</v>
      </c>
      <c r="AA165" s="19">
        <f>AA164+AA38</f>
        <v>70457.613447517157</v>
      </c>
      <c r="AB165" s="19">
        <f>AB164+AB38</f>
        <v>72266.898395430908</v>
      </c>
      <c r="AC165" s="19">
        <f>AC164+AC38</f>
        <v>74127.41745722694</v>
      </c>
      <c r="AD165" s="19">
        <f>AD164+AD38</f>
        <v>76040.677211976188</v>
      </c>
      <c r="AE165" s="19">
        <f>AE164+AE38</f>
        <v>78008.22913167825</v>
      </c>
      <c r="AF165" s="19">
        <f>AF164+AF38</f>
        <v>80031.670925004786</v>
      </c>
      <c r="AG165" s="19">
        <f>AG164+AG38</f>
        <v>82112.647921324897</v>
      </c>
      <c r="AH165" s="19">
        <f>AH164+AH38</f>
        <v>84252.854496220301</v>
      </c>
      <c r="AI165" s="19">
        <f>AI164+AI38</f>
        <v>86454.035539735109</v>
      </c>
      <c r="AJ165" s="19">
        <f>AJ164+AJ38</f>
        <v>88717.987968641653</v>
      </c>
      <c r="AK165" s="27">
        <f>AK164+AK38</f>
        <v>91046.562284042549</v>
      </c>
    </row>
    <row r="166" spans="1:37" s="53" customFormat="1" ht="38.25" customHeight="1" x14ac:dyDescent="0.25">
      <c r="A166" s="5"/>
      <c r="B166" s="48"/>
      <c r="E166" s="37"/>
      <c r="F166" s="182"/>
      <c r="G166" s="41" t="s">
        <v>297</v>
      </c>
      <c r="H166" s="60">
        <f t="shared" ref="H166:N166" si="125">IF($C$32=0,H165,H165/2)</f>
        <v>44100</v>
      </c>
      <c r="I166" s="19">
        <f t="shared" si="125"/>
        <v>45171</v>
      </c>
      <c r="J166" s="19">
        <f t="shared" si="125"/>
        <v>46271.61</v>
      </c>
      <c r="K166" s="19">
        <f t="shared" si="125"/>
        <v>47402.693100000004</v>
      </c>
      <c r="L166" s="19">
        <f t="shared" si="125"/>
        <v>48565.138040999998</v>
      </c>
      <c r="M166" s="19">
        <f t="shared" si="125"/>
        <v>49759.859971709993</v>
      </c>
      <c r="N166" s="19">
        <f t="shared" si="125"/>
        <v>50987.801238236098</v>
      </c>
      <c r="O166" s="19">
        <f t="shared" ref="O166:AK166" si="126">IF($C$32=0,O165,O165/2)</f>
        <v>52249.932197431728</v>
      </c>
      <c r="P166" s="19">
        <f t="shared" si="126"/>
        <v>53547.252054623706</v>
      </c>
      <c r="Q166" s="19">
        <f t="shared" si="126"/>
        <v>54880.789726444149</v>
      </c>
      <c r="R166" s="19">
        <f t="shared" si="126"/>
        <v>56251.604729521016</v>
      </c>
      <c r="S166" s="19">
        <f t="shared" si="126"/>
        <v>57660.788095803022</v>
      </c>
      <c r="T166" s="19">
        <f t="shared" si="126"/>
        <v>59109.463315317444</v>
      </c>
      <c r="U166" s="19">
        <f t="shared" si="126"/>
        <v>60598.787307183709</v>
      </c>
      <c r="V166" s="19">
        <f t="shared" si="126"/>
        <v>62129.951419730045</v>
      </c>
      <c r="W166" s="19">
        <f t="shared" si="126"/>
        <v>63704.18246058606</v>
      </c>
      <c r="X166" s="19">
        <f t="shared" si="126"/>
        <v>65322.743757650402</v>
      </c>
      <c r="Y166" s="19">
        <f t="shared" si="126"/>
        <v>66986.936251859137</v>
      </c>
      <c r="Z166" s="19">
        <f t="shared" si="126"/>
        <v>68698.099622708934</v>
      </c>
      <c r="AA166" s="19">
        <f t="shared" si="126"/>
        <v>70457.613447517157</v>
      </c>
      <c r="AB166" s="19">
        <f t="shared" si="126"/>
        <v>72266.898395430908</v>
      </c>
      <c r="AC166" s="19">
        <f t="shared" si="126"/>
        <v>74127.41745722694</v>
      </c>
      <c r="AD166" s="19">
        <f t="shared" si="126"/>
        <v>76040.677211976188</v>
      </c>
      <c r="AE166" s="19">
        <f t="shared" si="126"/>
        <v>78008.22913167825</v>
      </c>
      <c r="AF166" s="19">
        <f t="shared" si="126"/>
        <v>80031.670925004786</v>
      </c>
      <c r="AG166" s="19">
        <f t="shared" si="126"/>
        <v>82112.647921324897</v>
      </c>
      <c r="AH166" s="19">
        <f t="shared" si="126"/>
        <v>84252.854496220301</v>
      </c>
      <c r="AI166" s="19">
        <f t="shared" si="126"/>
        <v>86454.035539735109</v>
      </c>
      <c r="AJ166" s="19">
        <f t="shared" si="126"/>
        <v>88717.987968641653</v>
      </c>
      <c r="AK166" s="27">
        <f t="shared" si="126"/>
        <v>91046.562284042549</v>
      </c>
    </row>
    <row r="167" spans="1:37" s="53" customFormat="1" ht="38.25" customHeight="1" x14ac:dyDescent="0.25">
      <c r="A167" s="5"/>
      <c r="B167" s="48"/>
      <c r="E167" s="37"/>
      <c r="F167" s="182"/>
      <c r="G167" s="41" t="s">
        <v>113</v>
      </c>
      <c r="H167" s="60">
        <f>IF(H166&lt;10084,0,
IF(AND(H166&gt;10084,H166&lt;=25710),(H166-10084)*0.11,
IF(AND(H166&gt;25710,H166&lt;=73516),(H166-25710)*0.3+1721.06,
IF(AND(H166&gt;73516,H166&lt;=158122),(H166-73516)*0.41+16062.86,
IF(H166&gt;158122,(H166-158122)*0.45+50751.32,
0)))))</f>
        <v>7238.0599999999995</v>
      </c>
      <c r="I167" s="19">
        <f t="shared" ref="I167:N167" si="127">IF(I166&lt;10084,0,
IF(AND(I166&gt;10084,I166&lt;=25710),(I166-10084)*0.11,
IF(AND(I166&gt;25710,I166&lt;=73516),(I166-25710)*0.3+1721.06,
IF(AND(I166&gt;73516,I166&lt;=158122),(I166-73516)*0.41+16062.86,
IF(I166&gt;158122,(I166-158122)*0.45+50751.32,
0)))))</f>
        <v>7559.3600000000006</v>
      </c>
      <c r="J167" s="19">
        <f t="shared" si="127"/>
        <v>7889.5429999999997</v>
      </c>
      <c r="K167" s="19">
        <f t="shared" si="127"/>
        <v>8228.8679300000003</v>
      </c>
      <c r="L167" s="19">
        <f t="shared" si="127"/>
        <v>8577.6014122999986</v>
      </c>
      <c r="M167" s="19">
        <f t="shared" si="127"/>
        <v>8936.0179915129975</v>
      </c>
      <c r="N167" s="19">
        <f t="shared" si="127"/>
        <v>9304.4003714708288</v>
      </c>
      <c r="O167" s="19">
        <f t="shared" ref="O167:AK167" si="128">IF(O166&lt;10084,0,
IF(AND(O166&gt;10084,O166&lt;=25710),(O166-10084)*0.11,
IF(AND(O166&gt;25710,O166&lt;=73516),(O166-25710)*0.3+1721.06,
IF(AND(O166&gt;73516,O166&lt;=158122),(O166-73516)*0.41+16062.86,
IF(O166&gt;158122,(O166-158122)*0.45+50751.32,
0)))))</f>
        <v>9683.0396592295183</v>
      </c>
      <c r="P167" s="19">
        <f t="shared" si="128"/>
        <v>10072.235616387112</v>
      </c>
      <c r="Q167" s="19">
        <f t="shared" si="128"/>
        <v>10472.296917933243</v>
      </c>
      <c r="R167" s="19">
        <f t="shared" si="128"/>
        <v>10883.541418856305</v>
      </c>
      <c r="S167" s="19">
        <f t="shared" si="128"/>
        <v>11306.296428740905</v>
      </c>
      <c r="T167" s="19">
        <f t="shared" si="128"/>
        <v>11740.898994595233</v>
      </c>
      <c r="U167" s="19">
        <f t="shared" si="128"/>
        <v>12187.696192155112</v>
      </c>
      <c r="V167" s="19">
        <f t="shared" si="128"/>
        <v>12647.045425919012</v>
      </c>
      <c r="W167" s="19">
        <f t="shared" si="128"/>
        <v>13119.314738175817</v>
      </c>
      <c r="X167" s="19">
        <f t="shared" si="128"/>
        <v>13604.883127295119</v>
      </c>
      <c r="Y167" s="19">
        <f t="shared" si="128"/>
        <v>14104.140875557739</v>
      </c>
      <c r="Z167" s="19">
        <f t="shared" si="128"/>
        <v>14617.48988681268</v>
      </c>
      <c r="AA167" s="19">
        <f t="shared" si="128"/>
        <v>15145.344034255146</v>
      </c>
      <c r="AB167" s="19">
        <f t="shared" si="128"/>
        <v>15688.129518629272</v>
      </c>
      <c r="AC167" s="19">
        <f t="shared" si="128"/>
        <v>16313.541157463045</v>
      </c>
      <c r="AD167" s="19">
        <f t="shared" si="128"/>
        <v>17097.977656910236</v>
      </c>
      <c r="AE167" s="19">
        <f t="shared" si="128"/>
        <v>17904.673943988084</v>
      </c>
      <c r="AF167" s="19">
        <f t="shared" si="128"/>
        <v>18734.285079251964</v>
      </c>
      <c r="AG167" s="19">
        <f t="shared" si="128"/>
        <v>19587.485647743208</v>
      </c>
      <c r="AH167" s="19">
        <f t="shared" si="128"/>
        <v>20464.970343450324</v>
      </c>
      <c r="AI167" s="19">
        <f t="shared" si="128"/>
        <v>21367.454571291397</v>
      </c>
      <c r="AJ167" s="19">
        <f t="shared" si="128"/>
        <v>22295.675067143078</v>
      </c>
      <c r="AK167" s="27">
        <f t="shared" si="128"/>
        <v>23250.390536457446</v>
      </c>
    </row>
    <row r="168" spans="1:37" s="53" customFormat="1" ht="38.25" customHeight="1" x14ac:dyDescent="0.25">
      <c r="A168" s="5"/>
      <c r="B168" s="48"/>
      <c r="E168" s="37"/>
      <c r="F168" s="182"/>
      <c r="G168" s="41" t="s">
        <v>114</v>
      </c>
      <c r="H168" s="60">
        <f t="shared" ref="H168:N168" si="129">IF($C$32=0,H167,H167*2)</f>
        <v>7238.0599999999995</v>
      </c>
      <c r="I168" s="19">
        <f t="shared" si="129"/>
        <v>7559.3600000000006</v>
      </c>
      <c r="J168" s="19">
        <f t="shared" si="129"/>
        <v>7889.5429999999997</v>
      </c>
      <c r="K168" s="19">
        <f t="shared" si="129"/>
        <v>8228.8679300000003</v>
      </c>
      <c r="L168" s="19">
        <f t="shared" si="129"/>
        <v>8577.6014122999986</v>
      </c>
      <c r="M168" s="19">
        <f t="shared" si="129"/>
        <v>8936.0179915129975</v>
      </c>
      <c r="N168" s="19">
        <f t="shared" si="129"/>
        <v>9304.4003714708288</v>
      </c>
      <c r="O168" s="19">
        <f t="shared" ref="O168:AK168" si="130">IF($C$32=0,O167,O167*2)</f>
        <v>9683.0396592295183</v>
      </c>
      <c r="P168" s="19">
        <f t="shared" si="130"/>
        <v>10072.235616387112</v>
      </c>
      <c r="Q168" s="19">
        <f t="shared" si="130"/>
        <v>10472.296917933243</v>
      </c>
      <c r="R168" s="19">
        <f t="shared" si="130"/>
        <v>10883.541418856305</v>
      </c>
      <c r="S168" s="19">
        <f t="shared" si="130"/>
        <v>11306.296428740905</v>
      </c>
      <c r="T168" s="19">
        <f t="shared" si="130"/>
        <v>11740.898994595233</v>
      </c>
      <c r="U168" s="19">
        <f t="shared" si="130"/>
        <v>12187.696192155112</v>
      </c>
      <c r="V168" s="19">
        <f t="shared" si="130"/>
        <v>12647.045425919012</v>
      </c>
      <c r="W168" s="19">
        <f t="shared" si="130"/>
        <v>13119.314738175817</v>
      </c>
      <c r="X168" s="19">
        <f t="shared" si="130"/>
        <v>13604.883127295119</v>
      </c>
      <c r="Y168" s="19">
        <f t="shared" si="130"/>
        <v>14104.140875557739</v>
      </c>
      <c r="Z168" s="19">
        <f t="shared" si="130"/>
        <v>14617.48988681268</v>
      </c>
      <c r="AA168" s="19">
        <f t="shared" si="130"/>
        <v>15145.344034255146</v>
      </c>
      <c r="AB168" s="19">
        <f t="shared" si="130"/>
        <v>15688.129518629272</v>
      </c>
      <c r="AC168" s="19">
        <f t="shared" si="130"/>
        <v>16313.541157463045</v>
      </c>
      <c r="AD168" s="19">
        <f t="shared" si="130"/>
        <v>17097.977656910236</v>
      </c>
      <c r="AE168" s="19">
        <f t="shared" si="130"/>
        <v>17904.673943988084</v>
      </c>
      <c r="AF168" s="19">
        <f t="shared" si="130"/>
        <v>18734.285079251964</v>
      </c>
      <c r="AG168" s="19">
        <f t="shared" si="130"/>
        <v>19587.485647743208</v>
      </c>
      <c r="AH168" s="19">
        <f t="shared" si="130"/>
        <v>20464.970343450324</v>
      </c>
      <c r="AI168" s="19">
        <f t="shared" si="130"/>
        <v>21367.454571291397</v>
      </c>
      <c r="AJ168" s="19">
        <f t="shared" si="130"/>
        <v>22295.675067143078</v>
      </c>
      <c r="AK168" s="27">
        <f t="shared" si="130"/>
        <v>23250.390536457446</v>
      </c>
    </row>
    <row r="169" spans="1:37" s="74" customFormat="1" ht="38.25" customHeight="1" x14ac:dyDescent="0.25">
      <c r="A169" s="76"/>
      <c r="B169" s="40"/>
      <c r="F169" s="182"/>
      <c r="G169" s="41" t="s">
        <v>115</v>
      </c>
      <c r="H169" s="60">
        <f t="shared" ref="H169:N169" si="131">H165/$C$34</f>
        <v>44100</v>
      </c>
      <c r="I169" s="19">
        <f t="shared" si="131"/>
        <v>45171</v>
      </c>
      <c r="J169" s="19">
        <f t="shared" si="131"/>
        <v>46271.61</v>
      </c>
      <c r="K169" s="19">
        <f t="shared" si="131"/>
        <v>47402.693100000004</v>
      </c>
      <c r="L169" s="19">
        <f t="shared" si="131"/>
        <v>48565.138040999998</v>
      </c>
      <c r="M169" s="19">
        <f t="shared" si="131"/>
        <v>49759.859971709993</v>
      </c>
      <c r="N169" s="19">
        <f t="shared" si="131"/>
        <v>50987.801238236098</v>
      </c>
      <c r="O169" s="19">
        <f t="shared" ref="O169:AK169" si="132">O165/$C$34</f>
        <v>52249.932197431728</v>
      </c>
      <c r="P169" s="19">
        <f t="shared" si="132"/>
        <v>53547.252054623706</v>
      </c>
      <c r="Q169" s="19">
        <f t="shared" si="132"/>
        <v>54880.789726444149</v>
      </c>
      <c r="R169" s="19">
        <f t="shared" si="132"/>
        <v>56251.604729521016</v>
      </c>
      <c r="S169" s="19">
        <f t="shared" si="132"/>
        <v>57660.788095803022</v>
      </c>
      <c r="T169" s="19">
        <f t="shared" si="132"/>
        <v>59109.463315317444</v>
      </c>
      <c r="U169" s="19">
        <f t="shared" si="132"/>
        <v>60598.787307183709</v>
      </c>
      <c r="V169" s="19">
        <f t="shared" si="132"/>
        <v>62129.951419730045</v>
      </c>
      <c r="W169" s="19">
        <f t="shared" si="132"/>
        <v>63704.18246058606</v>
      </c>
      <c r="X169" s="19">
        <f t="shared" si="132"/>
        <v>65322.743757650402</v>
      </c>
      <c r="Y169" s="19">
        <f t="shared" si="132"/>
        <v>66986.936251859137</v>
      </c>
      <c r="Z169" s="19">
        <f t="shared" si="132"/>
        <v>68698.099622708934</v>
      </c>
      <c r="AA169" s="19">
        <f t="shared" si="132"/>
        <v>70457.613447517157</v>
      </c>
      <c r="AB169" s="19">
        <f t="shared" si="132"/>
        <v>72266.898395430908</v>
      </c>
      <c r="AC169" s="19">
        <f t="shared" si="132"/>
        <v>74127.41745722694</v>
      </c>
      <c r="AD169" s="19">
        <f t="shared" si="132"/>
        <v>76040.677211976188</v>
      </c>
      <c r="AE169" s="19">
        <f t="shared" si="132"/>
        <v>78008.22913167825</v>
      </c>
      <c r="AF169" s="19">
        <f t="shared" si="132"/>
        <v>80031.670925004786</v>
      </c>
      <c r="AG169" s="19">
        <f t="shared" si="132"/>
        <v>82112.647921324897</v>
      </c>
      <c r="AH169" s="19">
        <f t="shared" si="132"/>
        <v>84252.854496220301</v>
      </c>
      <c r="AI169" s="19">
        <f t="shared" si="132"/>
        <v>86454.035539735109</v>
      </c>
      <c r="AJ169" s="19">
        <f t="shared" si="132"/>
        <v>88717.987968641653</v>
      </c>
      <c r="AK169" s="27">
        <f t="shared" si="132"/>
        <v>91046.562284042549</v>
      </c>
    </row>
    <row r="170" spans="1:37" s="53" customFormat="1" ht="38.25" customHeight="1" x14ac:dyDescent="0.25">
      <c r="A170" s="5"/>
      <c r="B170" s="48"/>
      <c r="E170" s="37"/>
      <c r="F170" s="182"/>
      <c r="G170" s="41" t="s">
        <v>116</v>
      </c>
      <c r="H170" s="60">
        <f>IF(H169&lt;10084,0,
IF(AND(H169&gt;10084,H169&lt;=25710),(H169-10084)*0.11,
IF(AND(H169&gt;25710,H169&lt;=73516),(H169-25710)*0.3+1721.06,
IF(AND(H169&gt;73516,H169&lt;=158122),(H169-73516)*0.41+16062.86,
IF(H169&gt;158122,(H169-158122)*0.45+50751.32,
0)))))</f>
        <v>7238.0599999999995</v>
      </c>
      <c r="I170" s="19">
        <f t="shared" ref="I170:N170" si="133">IF(I169&lt;10084,0,
IF(AND(I169&gt;10084,I169&lt;=25710),(I169-10084)*0.11,
IF(AND(I169&gt;25710,I169&lt;=73516),(I169-25710)*0.3+1721.06,
IF(AND(I169&gt;73516,I169&lt;=158122),(I169-73516)*0.41+16062.86,
IF(I169&gt;158122,(I169-158122)*0.45+50751.32,
0)))))</f>
        <v>7559.3600000000006</v>
      </c>
      <c r="J170" s="19">
        <f t="shared" si="133"/>
        <v>7889.5429999999997</v>
      </c>
      <c r="K170" s="19">
        <f t="shared" si="133"/>
        <v>8228.8679300000003</v>
      </c>
      <c r="L170" s="19">
        <f t="shared" si="133"/>
        <v>8577.6014122999986</v>
      </c>
      <c r="M170" s="19">
        <f t="shared" si="133"/>
        <v>8936.0179915129975</v>
      </c>
      <c r="N170" s="19">
        <f t="shared" si="133"/>
        <v>9304.4003714708288</v>
      </c>
      <c r="O170" s="19">
        <f t="shared" ref="O170:AK170" si="134">IF(O169&lt;10084,0,
IF(AND(O169&gt;10084,O169&lt;=25710),(O169-10084)*0.11,
IF(AND(O169&gt;25710,O169&lt;=73516),(O169-25710)*0.3+1721.06,
IF(AND(O169&gt;73516,O169&lt;=158122),(O169-73516)*0.41+16062.86,
IF(O169&gt;158122,(O169-158122)*0.45+50751.32,
0)))))</f>
        <v>9683.0396592295183</v>
      </c>
      <c r="P170" s="19">
        <f t="shared" si="134"/>
        <v>10072.235616387112</v>
      </c>
      <c r="Q170" s="19">
        <f t="shared" si="134"/>
        <v>10472.296917933243</v>
      </c>
      <c r="R170" s="19">
        <f t="shared" si="134"/>
        <v>10883.541418856305</v>
      </c>
      <c r="S170" s="19">
        <f t="shared" si="134"/>
        <v>11306.296428740905</v>
      </c>
      <c r="T170" s="19">
        <f t="shared" si="134"/>
        <v>11740.898994595233</v>
      </c>
      <c r="U170" s="19">
        <f t="shared" si="134"/>
        <v>12187.696192155112</v>
      </c>
      <c r="V170" s="19">
        <f t="shared" si="134"/>
        <v>12647.045425919012</v>
      </c>
      <c r="W170" s="19">
        <f t="shared" si="134"/>
        <v>13119.314738175817</v>
      </c>
      <c r="X170" s="19">
        <f t="shared" si="134"/>
        <v>13604.883127295119</v>
      </c>
      <c r="Y170" s="19">
        <f t="shared" si="134"/>
        <v>14104.140875557739</v>
      </c>
      <c r="Z170" s="19">
        <f t="shared" si="134"/>
        <v>14617.48988681268</v>
      </c>
      <c r="AA170" s="19">
        <f t="shared" si="134"/>
        <v>15145.344034255146</v>
      </c>
      <c r="AB170" s="19">
        <f t="shared" si="134"/>
        <v>15688.129518629272</v>
      </c>
      <c r="AC170" s="19">
        <f t="shared" si="134"/>
        <v>16313.541157463045</v>
      </c>
      <c r="AD170" s="19">
        <f t="shared" si="134"/>
        <v>17097.977656910236</v>
      </c>
      <c r="AE170" s="19">
        <f t="shared" si="134"/>
        <v>17904.673943988084</v>
      </c>
      <c r="AF170" s="19">
        <f t="shared" si="134"/>
        <v>18734.285079251964</v>
      </c>
      <c r="AG170" s="19">
        <f t="shared" si="134"/>
        <v>19587.485647743208</v>
      </c>
      <c r="AH170" s="19">
        <f t="shared" si="134"/>
        <v>20464.970343450324</v>
      </c>
      <c r="AI170" s="19">
        <f t="shared" si="134"/>
        <v>21367.454571291397</v>
      </c>
      <c r="AJ170" s="19">
        <f t="shared" si="134"/>
        <v>22295.675067143078</v>
      </c>
      <c r="AK170" s="27">
        <f t="shared" si="134"/>
        <v>23250.390536457446</v>
      </c>
    </row>
    <row r="171" spans="1:37" s="53" customFormat="1" ht="38.25" customHeight="1" x14ac:dyDescent="0.25">
      <c r="A171" s="5"/>
      <c r="B171" s="48"/>
      <c r="E171" s="37"/>
      <c r="F171" s="182"/>
      <c r="G171" s="41" t="s">
        <v>117</v>
      </c>
      <c r="H171" s="60">
        <f t="shared" ref="H171:N171" si="135">H170*$C$34</f>
        <v>7238.0599999999995</v>
      </c>
      <c r="I171" s="19">
        <f t="shared" si="135"/>
        <v>7559.3600000000006</v>
      </c>
      <c r="J171" s="19">
        <f t="shared" si="135"/>
        <v>7889.5429999999997</v>
      </c>
      <c r="K171" s="19">
        <f t="shared" si="135"/>
        <v>8228.8679300000003</v>
      </c>
      <c r="L171" s="19">
        <f t="shared" si="135"/>
        <v>8577.6014122999986</v>
      </c>
      <c r="M171" s="19">
        <f t="shared" si="135"/>
        <v>8936.0179915129975</v>
      </c>
      <c r="N171" s="19">
        <f t="shared" si="135"/>
        <v>9304.4003714708288</v>
      </c>
      <c r="O171" s="19">
        <f t="shared" ref="O171:AK171" si="136">O170*$C$34</f>
        <v>9683.0396592295183</v>
      </c>
      <c r="P171" s="19">
        <f t="shared" si="136"/>
        <v>10072.235616387112</v>
      </c>
      <c r="Q171" s="19">
        <f t="shared" si="136"/>
        <v>10472.296917933243</v>
      </c>
      <c r="R171" s="19">
        <f t="shared" si="136"/>
        <v>10883.541418856305</v>
      </c>
      <c r="S171" s="19">
        <f t="shared" si="136"/>
        <v>11306.296428740905</v>
      </c>
      <c r="T171" s="19">
        <f t="shared" si="136"/>
        <v>11740.898994595233</v>
      </c>
      <c r="U171" s="19">
        <f t="shared" si="136"/>
        <v>12187.696192155112</v>
      </c>
      <c r="V171" s="19">
        <f t="shared" si="136"/>
        <v>12647.045425919012</v>
      </c>
      <c r="W171" s="19">
        <f t="shared" si="136"/>
        <v>13119.314738175817</v>
      </c>
      <c r="X171" s="19">
        <f t="shared" si="136"/>
        <v>13604.883127295119</v>
      </c>
      <c r="Y171" s="19">
        <f t="shared" si="136"/>
        <v>14104.140875557739</v>
      </c>
      <c r="Z171" s="19">
        <f t="shared" si="136"/>
        <v>14617.48988681268</v>
      </c>
      <c r="AA171" s="19">
        <f t="shared" si="136"/>
        <v>15145.344034255146</v>
      </c>
      <c r="AB171" s="19">
        <f t="shared" si="136"/>
        <v>15688.129518629272</v>
      </c>
      <c r="AC171" s="19">
        <f t="shared" si="136"/>
        <v>16313.541157463045</v>
      </c>
      <c r="AD171" s="19">
        <f t="shared" si="136"/>
        <v>17097.977656910236</v>
      </c>
      <c r="AE171" s="19">
        <f t="shared" si="136"/>
        <v>17904.673943988084</v>
      </c>
      <c r="AF171" s="19">
        <f t="shared" si="136"/>
        <v>18734.285079251964</v>
      </c>
      <c r="AG171" s="19">
        <f t="shared" si="136"/>
        <v>19587.485647743208</v>
      </c>
      <c r="AH171" s="19">
        <f t="shared" si="136"/>
        <v>20464.970343450324</v>
      </c>
      <c r="AI171" s="19">
        <f t="shared" si="136"/>
        <v>21367.454571291397</v>
      </c>
      <c r="AJ171" s="19">
        <f t="shared" si="136"/>
        <v>22295.675067143078</v>
      </c>
      <c r="AK171" s="27">
        <f t="shared" si="136"/>
        <v>23250.390536457446</v>
      </c>
    </row>
    <row r="172" spans="1:37" s="53" customFormat="1" ht="38.25" customHeight="1" x14ac:dyDescent="0.25">
      <c r="A172" s="5"/>
      <c r="B172" s="48"/>
      <c r="E172" s="37"/>
      <c r="F172" s="182"/>
      <c r="G172" s="41" t="s">
        <v>118</v>
      </c>
      <c r="H172" s="60">
        <f>IF(H168-H42&gt;H171,H168-H42,H171)</f>
        <v>7238.0599999999995</v>
      </c>
      <c r="I172" s="19">
        <f>IF(I168-I42&gt;I171,I168-I42,I171)</f>
        <v>7559.3600000000006</v>
      </c>
      <c r="J172" s="19">
        <f>IF(J168-J42&gt;J171,J168-J42,J171)</f>
        <v>7889.5429999999997</v>
      </c>
      <c r="K172" s="19">
        <f>IF(K168-K42&gt;K171,K168-K42,K171)</f>
        <v>8228.8679300000003</v>
      </c>
      <c r="L172" s="19">
        <f>IF(L168-L42&gt;L171,L168-L42,L171)</f>
        <v>8577.6014122999986</v>
      </c>
      <c r="M172" s="19">
        <f>IF(M168-M42&gt;M171,M168-M42,M171)</f>
        <v>8936.0179915129975</v>
      </c>
      <c r="N172" s="19">
        <f>IF(N168-N42&gt;N171,N168-N42,N171)</f>
        <v>9304.4003714708288</v>
      </c>
      <c r="O172" s="19">
        <f>IF(O168-O42&gt;O171,O168-O42,O171)</f>
        <v>9683.0396592295183</v>
      </c>
      <c r="P172" s="19">
        <f>IF(P168-P42&gt;P171,P168-P42,P171)</f>
        <v>10072.235616387112</v>
      </c>
      <c r="Q172" s="19">
        <f>IF(Q168-Q42&gt;Q171,Q168-Q42,Q171)</f>
        <v>10472.296917933243</v>
      </c>
      <c r="R172" s="19">
        <f>IF(R168-R42&gt;R171,R168-R42,R171)</f>
        <v>10883.541418856305</v>
      </c>
      <c r="S172" s="19">
        <f>IF(S168-S42&gt;S171,S168-S42,S171)</f>
        <v>11306.296428740905</v>
      </c>
      <c r="T172" s="19">
        <f>IF(T168-T42&gt;T171,T168-T42,T171)</f>
        <v>11740.898994595233</v>
      </c>
      <c r="U172" s="19">
        <f>IF(U168-U42&gt;U171,U168-U42,U171)</f>
        <v>12187.696192155112</v>
      </c>
      <c r="V172" s="19">
        <f>IF(V168-V42&gt;V171,V168-V42,V171)</f>
        <v>12647.045425919012</v>
      </c>
      <c r="W172" s="19">
        <f>IF(W168-W42&gt;W171,W168-W42,W171)</f>
        <v>13119.314738175817</v>
      </c>
      <c r="X172" s="19">
        <f>IF(X168-X42&gt;X171,X168-X42,X171)</f>
        <v>13604.883127295119</v>
      </c>
      <c r="Y172" s="19">
        <f>IF(Y168-Y42&gt;Y171,Y168-Y42,Y171)</f>
        <v>14104.140875557739</v>
      </c>
      <c r="Z172" s="19">
        <f>IF(Z168-Z42&gt;Z171,Z168-Z42,Z171)</f>
        <v>14617.48988681268</v>
      </c>
      <c r="AA172" s="19">
        <f>IF(AA168-AA42&gt;AA171,AA168-AA42,AA171)</f>
        <v>15145.344034255146</v>
      </c>
      <c r="AB172" s="19">
        <f>IF(AB168-AB42&gt;AB171,AB168-AB42,AB171)</f>
        <v>15688.129518629272</v>
      </c>
      <c r="AC172" s="19">
        <f>IF(AC168-AC42&gt;AC171,AC168-AC42,AC171)</f>
        <v>16313.541157463045</v>
      </c>
      <c r="AD172" s="19">
        <f>IF(AD168-AD42&gt;AD171,AD168-AD42,AD171)</f>
        <v>17097.977656910236</v>
      </c>
      <c r="AE172" s="19">
        <f>IF(AE168-AE42&gt;AE171,AE168-AE42,AE171)</f>
        <v>17904.673943988084</v>
      </c>
      <c r="AF172" s="19">
        <f>IF(AF168-AF42&gt;AF171,AF168-AF42,AF171)</f>
        <v>18734.285079251964</v>
      </c>
      <c r="AG172" s="19">
        <f>IF(AG168-AG42&gt;AG171,AG168-AG42,AG171)</f>
        <v>19587.485647743208</v>
      </c>
      <c r="AH172" s="19">
        <f>IF(AH168-AH42&gt;AH171,AH168-AH42,AH171)</f>
        <v>20464.970343450324</v>
      </c>
      <c r="AI172" s="19">
        <f>IF(AI168-AI42&gt;AI171,AI168-AI42,AI171)</f>
        <v>21367.454571291397</v>
      </c>
      <c r="AJ172" s="19">
        <f>IF(AJ168-AJ42&gt;AJ171,AJ168-AJ42,AJ171)</f>
        <v>22295.675067143078</v>
      </c>
      <c r="AK172" s="27">
        <f>IF(AK168-AK42&gt;AK171,AK168-AK42,AK171)</f>
        <v>23250.390536457446</v>
      </c>
    </row>
    <row r="173" spans="1:37" s="53" customFormat="1" ht="38.25" customHeight="1" x14ac:dyDescent="0.25">
      <c r="A173" s="5"/>
      <c r="B173" s="48"/>
      <c r="E173" s="37"/>
      <c r="F173" s="182"/>
      <c r="G173" s="41" t="s">
        <v>119</v>
      </c>
      <c r="H173" s="60">
        <f>H164*0.172</f>
        <v>2167.1999999999998</v>
      </c>
      <c r="I173" s="19">
        <f t="shared" ref="I173:N173" si="137">I164*0.172</f>
        <v>2188.8719999999998</v>
      </c>
      <c r="J173" s="19">
        <f t="shared" si="137"/>
        <v>2210.7607200000002</v>
      </c>
      <c r="K173" s="19">
        <f t="shared" si="137"/>
        <v>2232.8683271999994</v>
      </c>
      <c r="L173" s="19">
        <f t="shared" si="137"/>
        <v>2255.1970104719999</v>
      </c>
      <c r="M173" s="19">
        <f t="shared" si="137"/>
        <v>2277.7489805767195</v>
      </c>
      <c r="N173" s="19">
        <f t="shared" si="137"/>
        <v>2300.5264703824873</v>
      </c>
      <c r="O173" s="19">
        <f t="shared" ref="O173:AK173" si="138">O164*0.172</f>
        <v>2323.5317350863115</v>
      </c>
      <c r="P173" s="19">
        <f t="shared" si="138"/>
        <v>2346.7670524371752</v>
      </c>
      <c r="Q173" s="19">
        <f t="shared" si="138"/>
        <v>2370.234722961547</v>
      </c>
      <c r="R173" s="19">
        <f t="shared" si="138"/>
        <v>2393.9370701911625</v>
      </c>
      <c r="S173" s="19">
        <f t="shared" si="138"/>
        <v>2417.8764408930738</v>
      </c>
      <c r="T173" s="19">
        <f t="shared" si="138"/>
        <v>2442.0552053020047</v>
      </c>
      <c r="U173" s="19">
        <f t="shared" si="138"/>
        <v>2466.4757573550246</v>
      </c>
      <c r="V173" s="19">
        <f t="shared" si="138"/>
        <v>2491.1405149285752</v>
      </c>
      <c r="W173" s="19">
        <f t="shared" si="138"/>
        <v>2516.0519200778604</v>
      </c>
      <c r="X173" s="19">
        <f t="shared" si="138"/>
        <v>2541.21243927864</v>
      </c>
      <c r="Y173" s="19">
        <f t="shared" si="138"/>
        <v>2566.6245636714257</v>
      </c>
      <c r="Z173" s="19">
        <f t="shared" si="138"/>
        <v>2592.2908093081405</v>
      </c>
      <c r="AA173" s="19">
        <f t="shared" si="138"/>
        <v>2618.2137174012214</v>
      </c>
      <c r="AB173" s="19">
        <f t="shared" si="138"/>
        <v>2644.3958545752334</v>
      </c>
      <c r="AC173" s="19">
        <f t="shared" si="138"/>
        <v>2670.839813120986</v>
      </c>
      <c r="AD173" s="19">
        <f t="shared" si="138"/>
        <v>2697.5482112521963</v>
      </c>
      <c r="AE173" s="19">
        <f t="shared" si="138"/>
        <v>2724.5236933647179</v>
      </c>
      <c r="AF173" s="19">
        <f t="shared" si="138"/>
        <v>2751.7689302983654</v>
      </c>
      <c r="AG173" s="19">
        <f t="shared" si="138"/>
        <v>2779.2866196013492</v>
      </c>
      <c r="AH173" s="19">
        <f t="shared" si="138"/>
        <v>2807.0794857973633</v>
      </c>
      <c r="AI173" s="19">
        <f t="shared" si="138"/>
        <v>2835.1502806553353</v>
      </c>
      <c r="AJ173" s="19">
        <f t="shared" si="138"/>
        <v>2863.5017834618893</v>
      </c>
      <c r="AK173" s="27">
        <f t="shared" si="138"/>
        <v>2892.1368012965086</v>
      </c>
    </row>
    <row r="174" spans="1:37" s="53" customFormat="1" ht="38.25" customHeight="1" x14ac:dyDescent="0.25">
      <c r="A174" s="5"/>
      <c r="B174" s="48"/>
      <c r="E174" s="37"/>
      <c r="F174" s="182"/>
      <c r="G174" s="41" t="s">
        <v>108</v>
      </c>
      <c r="H174" s="60">
        <f>H172-H46</f>
        <v>3779.9999999999995</v>
      </c>
      <c r="I174" s="19">
        <f>I172-I46</f>
        <v>3817.8000000000006</v>
      </c>
      <c r="J174" s="19">
        <f>J172-J46</f>
        <v>3855.9780000000001</v>
      </c>
      <c r="K174" s="19">
        <f>K172-K46</f>
        <v>3894.5377799999997</v>
      </c>
      <c r="L174" s="19">
        <f>L172-L46</f>
        <v>3933.4831577999985</v>
      </c>
      <c r="M174" s="19">
        <f>M172-M46</f>
        <v>3972.8179893779989</v>
      </c>
      <c r="N174" s="19">
        <f>N172-N46</f>
        <v>4012.5461692717799</v>
      </c>
      <c r="O174" s="19">
        <f>O172-O46</f>
        <v>4052.671630964498</v>
      </c>
      <c r="P174" s="19">
        <f>P172-P46</f>
        <v>4093.1983472741413</v>
      </c>
      <c r="Q174" s="19">
        <f>Q172-Q46</f>
        <v>4134.1303307468843</v>
      </c>
      <c r="R174" s="19">
        <f>R172-R46</f>
        <v>4175.4716340543528</v>
      </c>
      <c r="S174" s="19">
        <f>S172-S46</f>
        <v>4217.2263503948961</v>
      </c>
      <c r="T174" s="19">
        <f>T172-T46</f>
        <v>4259.3986138988457</v>
      </c>
      <c r="U174" s="19">
        <f>U172-U46</f>
        <v>4301.9926000378327</v>
      </c>
      <c r="V174" s="19">
        <f>V172-V46</f>
        <v>4345.0125260382119</v>
      </c>
      <c r="W174" s="19">
        <f>W172-W46</f>
        <v>4388.4626512985924</v>
      </c>
      <c r="X174" s="19">
        <f>X172-X46</f>
        <v>4432.3472778115811</v>
      </c>
      <c r="Y174" s="19">
        <f>Y172-Y46</f>
        <v>4476.6707505896957</v>
      </c>
      <c r="Z174" s="19">
        <f>Z172-Z46</f>
        <v>4521.4374580955937</v>
      </c>
      <c r="AA174" s="19">
        <f>AA172-AA46</f>
        <v>4566.651832676549</v>
      </c>
      <c r="AB174" s="19">
        <f>AB172-AB46</f>
        <v>4612.3183510033177</v>
      </c>
      <c r="AC174" s="19">
        <f>AC172-AC46</f>
        <v>4725.6974548083126</v>
      </c>
      <c r="AD174" s="19">
        <f>AD172-AD46</f>
        <v>4982.7404431758641</v>
      </c>
      <c r="AE174" s="19">
        <f>AE172-AE46</f>
        <v>5246.2214138416784</v>
      </c>
      <c r="AF174" s="19">
        <f>AF172-AF46</f>
        <v>5516.320773201167</v>
      </c>
      <c r="AG174" s="19">
        <f>AG172-AG46</f>
        <v>5793.2242125108842</v>
      </c>
      <c r="AH174" s="19">
        <f>AH172-AH46</f>
        <v>6077.1228651610309</v>
      </c>
      <c r="AI174" s="19">
        <f>AI172-AI46</f>
        <v>6368.2134686534264</v>
      </c>
      <c r="AJ174" s="19">
        <f>AJ172-AJ46</f>
        <v>6666.6985314259691</v>
      </c>
      <c r="AK174" s="27">
        <f>AK172-AK46</f>
        <v>6894.0470263463267</v>
      </c>
    </row>
    <row r="175" spans="1:37" s="53" customFormat="1" ht="38.25" customHeight="1" x14ac:dyDescent="0.25">
      <c r="A175" s="5"/>
      <c r="B175" s="48"/>
      <c r="E175" s="37"/>
      <c r="F175" s="182"/>
      <c r="G175" s="160" t="s">
        <v>120</v>
      </c>
      <c r="H175" s="161">
        <f>H12-H19-H26-H174-H14-H173</f>
        <v>-4536.9109046832755</v>
      </c>
      <c r="I175" s="162">
        <f>I12-I19-I26-I174-I14-I173</f>
        <v>-4461.3829046832761</v>
      </c>
      <c r="J175" s="162">
        <f>J12-J19-J26-J174-J14-J173</f>
        <v>-4385.0996246832738</v>
      </c>
      <c r="K175" s="162">
        <f>K12-K19-K26-K174-K14-K173</f>
        <v>-4308.0535118832759</v>
      </c>
      <c r="L175" s="162">
        <f>L12-L19-L26-L174-L14-L173</f>
        <v>-4230.2369379552711</v>
      </c>
      <c r="M175" s="162">
        <f>M12-M19-M26-M174-M14-M173</f>
        <v>-4151.6421982879947</v>
      </c>
      <c r="N175" s="162">
        <f>N12-N19-N26-N174-N14-N173</f>
        <v>-4072.2615112240387</v>
      </c>
      <c r="O175" s="162">
        <f>O12-O19-O26-O174-O14-O173</f>
        <v>-3992.087017289452</v>
      </c>
      <c r="P175" s="162">
        <f>P12-P19-P26-P174-P14-P173</f>
        <v>-3911.1107784155083</v>
      </c>
      <c r="Q175" s="162">
        <f>Q12-Q19-Q26-Q174-Q14-Q173</f>
        <v>-3829.3247771528322</v>
      </c>
      <c r="R175" s="162">
        <f>R12-R19-R26-R174-R14-R173</f>
        <v>-3746.720915877529</v>
      </c>
      <c r="S175" s="162">
        <f>S12-S19-S26-S174-S14-S173</f>
        <v>-3663.2910159894718</v>
      </c>
      <c r="T175" s="162">
        <f>T12-T19-T26-T174-T14-T173</f>
        <v>-3579.0268171025355</v>
      </c>
      <c r="U175" s="162">
        <f>U12-U19-U26-U174-U14-U173</f>
        <v>-3493.9199762267249</v>
      </c>
      <c r="V175" s="162">
        <f>V12-V19-V26-V174-V14-V173</f>
        <v>-3407.9620669421588</v>
      </c>
      <c r="W175" s="162">
        <f>W12-W19-W26-W174-W14-W173</f>
        <v>-3321.144578564747</v>
      </c>
      <c r="X175" s="162">
        <f>X12-X19-X26-X174-X14-X173</f>
        <v>-3233.4589153035622</v>
      </c>
      <c r="Y175" s="162">
        <f>Y12-Y19-Y26-Y174-Y14-Y173</f>
        <v>-3144.8963954097662</v>
      </c>
      <c r="Z175" s="162">
        <f>Z12-Z19-Z26-Z174-Z14-Z173</f>
        <v>-3055.4482503170275</v>
      </c>
      <c r="AA175" s="162">
        <f>AA12-AA19-AA26-AA174-AA14-AA173</f>
        <v>-2965.1056237733674</v>
      </c>
      <c r="AB175" s="162">
        <f>AB12-AB19-AB26-AB174-AB14-AB173</f>
        <v>-2873.8595709642718</v>
      </c>
      <c r="AC175" s="162">
        <f>AC12-AC19-AC26-AC174-AC14-AC173</f>
        <v>-2848.9569779220446</v>
      </c>
      <c r="AD175" s="162">
        <f>AD12-AD19-AD26-AD174-AD14-AD173</f>
        <v>-2966.3354524738966</v>
      </c>
      <c r="AE175" s="162">
        <f>AE12-AE19-AE26-AE174-AE14-AE173</f>
        <v>-3088.7552641858624</v>
      </c>
      <c r="AF175" s="162">
        <f>AF12-AF19-AF26-AF174-AF14-AF173</f>
        <v>-3216.3828530019582</v>
      </c>
      <c r="AG175" s="162">
        <f>AG12-AG19-AG26-AG174-AG14-AG173</f>
        <v>8540.3211006204274</v>
      </c>
      <c r="AH175" s="162">
        <f>AH12-AH19-AH26-AH174-AH14-AH173</f>
        <v>8401.7579011015969</v>
      </c>
      <c r="AI175" s="162">
        <f>AI12-AI19-AI26-AI174-AI14-AI173</f>
        <v>8257.4561052718163</v>
      </c>
      <c r="AJ175" s="162">
        <f>AJ12-AJ19-AJ26-AJ174-AJ14-AJ173</f>
        <v>8107.2277382385355</v>
      </c>
      <c r="AK175" s="163">
        <f>AK12-AK19-AK26-AK174-AK14-AK173</f>
        <v>8029.61850601482</v>
      </c>
    </row>
    <row r="176" spans="1:37" s="53" customFormat="1" ht="38.25" customHeight="1" x14ac:dyDescent="0.25">
      <c r="A176" s="5"/>
      <c r="B176" s="48"/>
      <c r="E176" s="37"/>
      <c r="F176" s="182"/>
      <c r="G176" s="160" t="s">
        <v>121</v>
      </c>
      <c r="H176" s="161">
        <f>IF(H10=1,H175,H175+G176)</f>
        <v>-4536.9109046832755</v>
      </c>
      <c r="I176" s="162">
        <f>IF(I10=1,I175,I175+H176)</f>
        <v>-8998.2938093665507</v>
      </c>
      <c r="J176" s="162">
        <f>IF(J10=1,J175,J175+I176)</f>
        <v>-13383.393434049824</v>
      </c>
      <c r="K176" s="162">
        <f>IF(K10=1,K175,K175+J176)</f>
        <v>-17691.446945933101</v>
      </c>
      <c r="L176" s="162">
        <f>IF(L10=1,L175,L175+K176)</f>
        <v>-21921.68388388837</v>
      </c>
      <c r="M176" s="162">
        <f>IF(M10=1,M175,M175+L176)</f>
        <v>-26073.326082176365</v>
      </c>
      <c r="N176" s="162">
        <f>IF(N10=1,N175,N175+M176)</f>
        <v>-30145.587593400403</v>
      </c>
      <c r="O176" s="162">
        <f>IF(O10=1,O175,O175+N176)</f>
        <v>-34137.674610689857</v>
      </c>
      <c r="P176" s="162">
        <f>IF(P10=1,P175,P175+O176)</f>
        <v>-38048.785389105367</v>
      </c>
      <c r="Q176" s="162">
        <f>IF(Q10=1,Q175,Q175+P176)</f>
        <v>-41878.1101662582</v>
      </c>
      <c r="R176" s="162">
        <f>IF(R10=1,R175,R175+Q176)</f>
        <v>-45624.83108213573</v>
      </c>
      <c r="S176" s="162">
        <f>IF(S10=1,S175,S175+R176)</f>
        <v>-49288.122098125205</v>
      </c>
      <c r="T176" s="162">
        <f>IF(T10=1,T175,T175+S176)</f>
        <v>-52867.148915227743</v>
      </c>
      <c r="U176" s="162">
        <f>IF(U10=1,U175,U175+T176)</f>
        <v>-56361.068891454466</v>
      </c>
      <c r="V176" s="162">
        <f>IF(V10=1,V175,V175+U176)</f>
        <v>-59769.030958396623</v>
      </c>
      <c r="W176" s="162">
        <f>IF(W10=1,W175,W175+V176)</f>
        <v>-63090.175536961367</v>
      </c>
      <c r="X176" s="162">
        <f>IF(X10=1,X175,X175+W176)</f>
        <v>-66323.634452264931</v>
      </c>
      <c r="Y176" s="162">
        <f>IF(Y10=1,Y175,Y175+X176)</f>
        <v>-69468.530847674701</v>
      </c>
      <c r="Z176" s="162">
        <f>IF(Z10=1,Z175,Z175+Y176)</f>
        <v>-72523.979097991731</v>
      </c>
      <c r="AA176" s="162">
        <f>IF(AA10=1,AA175,AA175+Z176)</f>
        <v>-75489.084721765103</v>
      </c>
      <c r="AB176" s="162">
        <f>IF(AB10=1,AB175,AB175+AA176)</f>
        <v>-78362.944292729371</v>
      </c>
      <c r="AC176" s="162">
        <f>IF(AC10=1,AC175,AC175+AB176)</f>
        <v>-81211.901270651419</v>
      </c>
      <c r="AD176" s="162">
        <f>IF(AD10=1,AD175,AD175+AC176)</f>
        <v>-84178.236723125316</v>
      </c>
      <c r="AE176" s="162">
        <f>IF(AE10=1,AE175,AE175+AD176)</f>
        <v>-87266.991987311179</v>
      </c>
      <c r="AF176" s="162">
        <f>IF(AF10=1,AF175,AF175+AE176)</f>
        <v>-90483.374840313132</v>
      </c>
      <c r="AG176" s="162">
        <f>IF(AG10=1,AG175,AG175+AF176)</f>
        <v>-81943.05373969271</v>
      </c>
      <c r="AH176" s="162">
        <f>IF(AH10=1,AH175,AH175+AG176)</f>
        <v>-73541.295838591119</v>
      </c>
      <c r="AI176" s="162">
        <f>IF(AI10=1,AI175,AI175+AH176)</f>
        <v>-65283.839733319299</v>
      </c>
      <c r="AJ176" s="162">
        <f>IF(AJ10=1,AJ175,AJ175+AI176)</f>
        <v>-57176.611995080762</v>
      </c>
      <c r="AK176" s="163">
        <f>IF(AK10=1,AK175,AK175+AJ176)</f>
        <v>-49146.993489065942</v>
      </c>
    </row>
    <row r="177" spans="1:37" s="53" customFormat="1" ht="38.25" customHeight="1" x14ac:dyDescent="0.25">
      <c r="A177" s="5"/>
      <c r="B177" s="48"/>
      <c r="E177" s="37"/>
      <c r="F177" s="182"/>
      <c r="G177" s="41" t="s">
        <v>166</v>
      </c>
      <c r="H177" s="60">
        <f>IF(H$10&lt;5,$C$13,
IF(AND(H$10&gt;=5,$C$13&gt;$C$11*0.15),$C$13,
IF(AND(H$10&gt;=5,$C$13&lt;=$C$11*0.15),$C$11*0.15)))</f>
        <v>10000</v>
      </c>
      <c r="I177" s="19">
        <f t="shared" ref="I177:AK177" si="139">IF(I$10&lt;5,$C$13,
IF(AND(I$10&gt;=5,$C$13&gt;$C$11*0.15),$C$13,
IF(AND(I$10&gt;=5,$C$13&lt;=$C$11*0.15),$C$11*0.15)))</f>
        <v>10000</v>
      </c>
      <c r="J177" s="19">
        <f t="shared" si="139"/>
        <v>10000</v>
      </c>
      <c r="K177" s="19">
        <f t="shared" si="139"/>
        <v>10000</v>
      </c>
      <c r="L177" s="19">
        <f t="shared" si="139"/>
        <v>33000</v>
      </c>
      <c r="M177" s="19">
        <f t="shared" si="139"/>
        <v>33000</v>
      </c>
      <c r="N177" s="19">
        <f t="shared" si="139"/>
        <v>33000</v>
      </c>
      <c r="O177" s="19">
        <f t="shared" si="139"/>
        <v>33000</v>
      </c>
      <c r="P177" s="19">
        <f t="shared" si="139"/>
        <v>33000</v>
      </c>
      <c r="Q177" s="19">
        <f t="shared" si="139"/>
        <v>33000</v>
      </c>
      <c r="R177" s="19">
        <f t="shared" si="139"/>
        <v>33000</v>
      </c>
      <c r="S177" s="19">
        <f t="shared" si="139"/>
        <v>33000</v>
      </c>
      <c r="T177" s="19">
        <f t="shared" si="139"/>
        <v>33000</v>
      </c>
      <c r="U177" s="19">
        <f t="shared" si="139"/>
        <v>33000</v>
      </c>
      <c r="V177" s="19">
        <f t="shared" si="139"/>
        <v>33000</v>
      </c>
      <c r="W177" s="19">
        <f t="shared" si="139"/>
        <v>33000</v>
      </c>
      <c r="X177" s="19">
        <f t="shared" si="139"/>
        <v>33000</v>
      </c>
      <c r="Y177" s="19">
        <f t="shared" si="139"/>
        <v>33000</v>
      </c>
      <c r="Z177" s="19">
        <f t="shared" si="139"/>
        <v>33000</v>
      </c>
      <c r="AA177" s="19">
        <f t="shared" si="139"/>
        <v>33000</v>
      </c>
      <c r="AB177" s="19">
        <f t="shared" si="139"/>
        <v>33000</v>
      </c>
      <c r="AC177" s="19">
        <f t="shared" si="139"/>
        <v>33000</v>
      </c>
      <c r="AD177" s="19">
        <f t="shared" si="139"/>
        <v>33000</v>
      </c>
      <c r="AE177" s="19">
        <f t="shared" si="139"/>
        <v>33000</v>
      </c>
      <c r="AF177" s="19">
        <f t="shared" si="139"/>
        <v>33000</v>
      </c>
      <c r="AG177" s="19">
        <f t="shared" si="139"/>
        <v>33000</v>
      </c>
      <c r="AH177" s="19">
        <f t="shared" si="139"/>
        <v>33000</v>
      </c>
      <c r="AI177" s="19">
        <f t="shared" si="139"/>
        <v>33000</v>
      </c>
      <c r="AJ177" s="19">
        <f t="shared" si="139"/>
        <v>33000</v>
      </c>
      <c r="AK177" s="27">
        <f t="shared" si="139"/>
        <v>33000</v>
      </c>
    </row>
    <row r="178" spans="1:37" s="53" customFormat="1" ht="38.25" customHeight="1" x14ac:dyDescent="0.25">
      <c r="A178" s="5"/>
      <c r="B178" s="48"/>
      <c r="E178" s="37"/>
      <c r="F178" s="182"/>
      <c r="G178" s="41" t="s">
        <v>167</v>
      </c>
      <c r="H178" s="60">
        <f>IF(H$48-($C$11+$C$15*$C$11+H177)&lt;0,0,
IF(H$48-($C$11+$C$15*$C$11+H177)&gt;0,H$48-($C$11+$C$15*$C$11+H177)))</f>
        <v>0</v>
      </c>
      <c r="I178" s="19">
        <f t="shared" ref="I178:AK178" si="140">IF(I$48-($C$11+$C$15*$C$11+I177)&lt;0,0,
IF(I$48-($C$11+$C$15*$C$11+I177)&gt;0,I$48-($C$11+$C$15*$C$11+I177)))</f>
        <v>0</v>
      </c>
      <c r="J178" s="19">
        <f t="shared" si="140"/>
        <v>0</v>
      </c>
      <c r="K178" s="19">
        <f t="shared" si="140"/>
        <v>0</v>
      </c>
      <c r="L178" s="19">
        <f t="shared" si="140"/>
        <v>0</v>
      </c>
      <c r="M178" s="19">
        <f t="shared" si="140"/>
        <v>0</v>
      </c>
      <c r="N178" s="19">
        <f t="shared" si="140"/>
        <v>0</v>
      </c>
      <c r="O178" s="19">
        <f t="shared" si="140"/>
        <v>0</v>
      </c>
      <c r="P178" s="19">
        <f t="shared" si="140"/>
        <v>0</v>
      </c>
      <c r="Q178" s="19">
        <f t="shared" si="140"/>
        <v>0</v>
      </c>
      <c r="R178" s="19">
        <f t="shared" si="140"/>
        <v>0</v>
      </c>
      <c r="S178" s="19">
        <f t="shared" si="140"/>
        <v>0</v>
      </c>
      <c r="T178" s="19">
        <f t="shared" si="140"/>
        <v>0</v>
      </c>
      <c r="U178" s="19">
        <f t="shared" si="140"/>
        <v>0</v>
      </c>
      <c r="V178" s="19">
        <f t="shared" si="140"/>
        <v>0</v>
      </c>
      <c r="W178" s="19">
        <f t="shared" si="140"/>
        <v>193.08833245071582</v>
      </c>
      <c r="X178" s="19">
        <f t="shared" si="140"/>
        <v>2890.0192157752463</v>
      </c>
      <c r="Y178" s="19">
        <f t="shared" si="140"/>
        <v>5613.9194079330191</v>
      </c>
      <c r="Z178" s="19">
        <f t="shared" si="140"/>
        <v>8365.0586020122864</v>
      </c>
      <c r="AA178" s="19">
        <f t="shared" si="140"/>
        <v>11143.70918803243</v>
      </c>
      <c r="AB178" s="19">
        <f t="shared" si="140"/>
        <v>13950.146279912733</v>
      </c>
      <c r="AC178" s="19">
        <f t="shared" si="140"/>
        <v>16784.647742711939</v>
      </c>
      <c r="AD178" s="19">
        <f t="shared" si="140"/>
        <v>19647.494220138993</v>
      </c>
      <c r="AE178" s="19">
        <f t="shared" si="140"/>
        <v>22538.969162340451</v>
      </c>
      <c r="AF178" s="19">
        <f t="shared" si="140"/>
        <v>25459.358853963902</v>
      </c>
      <c r="AG178" s="19">
        <f t="shared" si="140"/>
        <v>28408.952442503534</v>
      </c>
      <c r="AH178" s="19">
        <f t="shared" si="140"/>
        <v>31388.04196692846</v>
      </c>
      <c r="AI178" s="19">
        <f t="shared" si="140"/>
        <v>34396.922386597726</v>
      </c>
      <c r="AJ178" s="19">
        <f t="shared" si="140"/>
        <v>37435.891610463732</v>
      </c>
      <c r="AK178" s="27">
        <f t="shared" si="140"/>
        <v>40505.250526568445</v>
      </c>
    </row>
    <row r="179" spans="1:37" s="53" customFormat="1" ht="38.25" customHeight="1" x14ac:dyDescent="0.25">
      <c r="A179" s="5"/>
      <c r="B179" s="48"/>
      <c r="E179" s="37"/>
      <c r="F179" s="182"/>
      <c r="G179" s="41" t="s">
        <v>122</v>
      </c>
      <c r="H179" s="114">
        <f>IF(H$10&lt;=5,0,IF(AND(H$10&gt;5,H$10&lt;=21),(((H$10-5)*0.06)),IF(H$10&gt;21,1)))</f>
        <v>0</v>
      </c>
      <c r="I179" s="64">
        <f t="shared" ref="I179:AK179" si="141">IF(I$10&lt;=5,0,IF(AND(I$10&gt;5,I$10&lt;=21),(((I$10-5)*0.06)),IF(I$10&gt;21,1)))</f>
        <v>0</v>
      </c>
      <c r="J179" s="64">
        <f t="shared" si="141"/>
        <v>0</v>
      </c>
      <c r="K179" s="64">
        <f t="shared" si="141"/>
        <v>0</v>
      </c>
      <c r="L179" s="64">
        <f t="shared" si="141"/>
        <v>0</v>
      </c>
      <c r="M179" s="64">
        <f t="shared" si="141"/>
        <v>0.06</v>
      </c>
      <c r="N179" s="64">
        <f t="shared" si="141"/>
        <v>0.12</v>
      </c>
      <c r="O179" s="64">
        <f t="shared" si="141"/>
        <v>0.18</v>
      </c>
      <c r="P179" s="64">
        <f t="shared" si="141"/>
        <v>0.24</v>
      </c>
      <c r="Q179" s="64">
        <f t="shared" si="141"/>
        <v>0.3</v>
      </c>
      <c r="R179" s="64">
        <f t="shared" si="141"/>
        <v>0.36</v>
      </c>
      <c r="S179" s="64">
        <f t="shared" si="141"/>
        <v>0.42</v>
      </c>
      <c r="T179" s="64">
        <f t="shared" si="141"/>
        <v>0.48</v>
      </c>
      <c r="U179" s="64">
        <f t="shared" si="141"/>
        <v>0.54</v>
      </c>
      <c r="V179" s="64">
        <f t="shared" si="141"/>
        <v>0.6</v>
      </c>
      <c r="W179" s="64">
        <f t="shared" si="141"/>
        <v>0.65999999999999992</v>
      </c>
      <c r="X179" s="64">
        <f t="shared" si="141"/>
        <v>0.72</v>
      </c>
      <c r="Y179" s="64">
        <f t="shared" si="141"/>
        <v>0.78</v>
      </c>
      <c r="Z179" s="64">
        <f t="shared" si="141"/>
        <v>0.84</v>
      </c>
      <c r="AA179" s="64">
        <f t="shared" si="141"/>
        <v>0.89999999999999991</v>
      </c>
      <c r="AB179" s="64">
        <f t="shared" si="141"/>
        <v>0.96</v>
      </c>
      <c r="AC179" s="64">
        <f t="shared" si="141"/>
        <v>1</v>
      </c>
      <c r="AD179" s="64">
        <f t="shared" si="141"/>
        <v>1</v>
      </c>
      <c r="AE179" s="64">
        <f t="shared" si="141"/>
        <v>1</v>
      </c>
      <c r="AF179" s="64">
        <f t="shared" si="141"/>
        <v>1</v>
      </c>
      <c r="AG179" s="64">
        <f t="shared" si="141"/>
        <v>1</v>
      </c>
      <c r="AH179" s="64">
        <f t="shared" si="141"/>
        <v>1</v>
      </c>
      <c r="AI179" s="64">
        <f t="shared" si="141"/>
        <v>1</v>
      </c>
      <c r="AJ179" s="64">
        <f t="shared" si="141"/>
        <v>1</v>
      </c>
      <c r="AK179" s="67">
        <f t="shared" si="141"/>
        <v>1</v>
      </c>
    </row>
    <row r="180" spans="1:37" ht="38.25" customHeight="1" x14ac:dyDescent="0.25">
      <c r="F180" s="182"/>
      <c r="G180" s="41" t="s">
        <v>123</v>
      </c>
      <c r="H180" s="60">
        <f>H178*(1-H179)</f>
        <v>0</v>
      </c>
      <c r="I180" s="19">
        <f t="shared" ref="I180:AK180" si="142">I178*(1-I179)</f>
        <v>0</v>
      </c>
      <c r="J180" s="19">
        <f t="shared" si="142"/>
        <v>0</v>
      </c>
      <c r="K180" s="19">
        <f t="shared" si="142"/>
        <v>0</v>
      </c>
      <c r="L180" s="19">
        <f t="shared" si="142"/>
        <v>0</v>
      </c>
      <c r="M180" s="19">
        <f t="shared" si="142"/>
        <v>0</v>
      </c>
      <c r="N180" s="19">
        <f t="shared" si="142"/>
        <v>0</v>
      </c>
      <c r="O180" s="19">
        <f t="shared" si="142"/>
        <v>0</v>
      </c>
      <c r="P180" s="19">
        <f t="shared" si="142"/>
        <v>0</v>
      </c>
      <c r="Q180" s="19">
        <f t="shared" si="142"/>
        <v>0</v>
      </c>
      <c r="R180" s="19">
        <f t="shared" si="142"/>
        <v>0</v>
      </c>
      <c r="S180" s="19">
        <f t="shared" si="142"/>
        <v>0</v>
      </c>
      <c r="T180" s="19">
        <f t="shared" si="142"/>
        <v>0</v>
      </c>
      <c r="U180" s="19">
        <f t="shared" si="142"/>
        <v>0</v>
      </c>
      <c r="V180" s="19">
        <f t="shared" si="142"/>
        <v>0</v>
      </c>
      <c r="W180" s="19">
        <f t="shared" si="142"/>
        <v>65.650033033243389</v>
      </c>
      <c r="X180" s="19">
        <f t="shared" si="142"/>
        <v>809.20538041706902</v>
      </c>
      <c r="Y180" s="19">
        <f t="shared" si="142"/>
        <v>1235.0622697452641</v>
      </c>
      <c r="Z180" s="19">
        <f t="shared" si="142"/>
        <v>1338.4093763219662</v>
      </c>
      <c r="AA180" s="19">
        <f t="shared" si="142"/>
        <v>1114.370918803244</v>
      </c>
      <c r="AB180" s="19">
        <f t="shared" si="142"/>
        <v>558.00585119650987</v>
      </c>
      <c r="AC180" s="19">
        <f t="shared" si="142"/>
        <v>0</v>
      </c>
      <c r="AD180" s="19">
        <f t="shared" si="142"/>
        <v>0</v>
      </c>
      <c r="AE180" s="19">
        <f t="shared" si="142"/>
        <v>0</v>
      </c>
      <c r="AF180" s="19">
        <f t="shared" si="142"/>
        <v>0</v>
      </c>
      <c r="AG180" s="19">
        <f t="shared" si="142"/>
        <v>0</v>
      </c>
      <c r="AH180" s="19">
        <f t="shared" si="142"/>
        <v>0</v>
      </c>
      <c r="AI180" s="19">
        <f t="shared" si="142"/>
        <v>0</v>
      </c>
      <c r="AJ180" s="19">
        <f t="shared" si="142"/>
        <v>0</v>
      </c>
      <c r="AK180" s="27">
        <f t="shared" si="142"/>
        <v>0</v>
      </c>
    </row>
    <row r="181" spans="1:37" ht="38.25" customHeight="1" x14ac:dyDescent="0.25">
      <c r="F181" s="182"/>
      <c r="G181" s="41" t="s">
        <v>124</v>
      </c>
      <c r="H181" s="60">
        <f>IF(AND($C$32=0,H180&lt;=50000),H180*0.19,
IF(AND($C$32&lt;&gt;0,H180&lt;=100000),H180*0.19,
IF(AND($C$32=0,H180&gt;50000,H180&lt;=100000),H180*0.21,
IF(AND($C$32=0,H180&gt;=100000,H180&lt;=150000),H180*0.22,
IF(AND($C$32=0,H180&gt;=150000,H180&lt;=200000),H180*0.23,
IF(AND($C$32=0,H180&gt;=200000,H180&lt;=250000),H180*0.24,
IF(AND($C$32=0,H180&gt;250000),H180*0.25,
IF(AND($C$32&lt;&gt;0,H180&gt;100000,H180&lt;=200000),H180*0.21,
IF(AND($C$32&lt;&gt;0,H180&gt;=200000,H180&lt;=300000),H180*0.22,
IF(AND($C$32&lt;&gt;0,H180&gt;=300000,H180&lt;=400000),H180*0.23,
IF(AND($C$32&lt;&gt;0,H180&gt;=400000,H180&lt;=500000),H180*0.24,
IF(AND($C$32&lt;&gt;0,H180&gt;500000),H180*0.25))))))))))))</f>
        <v>0</v>
      </c>
      <c r="I181" s="19">
        <f t="shared" ref="I181:AK181" si="143">IF(AND($C$32=0,I180&lt;=50000),I180*0.19,
IF(AND($C$32&lt;&gt;0,I180&lt;=100000),I180*0.19,
IF(AND($C$32=0,I180&gt;50000,I180&lt;=100000),I180*0.21,
IF(AND($C$32=0,I180&gt;=100000,I180&lt;=150000),I180*0.22,
IF(AND($C$32=0,I180&gt;=150000,I180&lt;=200000),I180*0.23,
IF(AND($C$32=0,I180&gt;=200000,I180&lt;=250000),I180*0.24,
IF(AND($C$32=0,I180&gt;250000),I180*0.25,
IF(AND($C$32&lt;&gt;0,I180&gt;100000,I180&lt;=200000),I180*0.21,
IF(AND($C$32&lt;&gt;0,I180&gt;=200000,I180&lt;=300000),I180*0.22,
IF(AND($C$32&lt;&gt;0,I180&gt;=300000,I180&lt;=400000),I180*0.23,
IF(AND($C$32&lt;&gt;0,I180&gt;=400000,I180&lt;=500000),I180*0.24,
IF(AND($C$32&lt;&gt;0,I180&gt;500000),I180*0.25))))))))))))</f>
        <v>0</v>
      </c>
      <c r="J181" s="19">
        <f t="shared" si="143"/>
        <v>0</v>
      </c>
      <c r="K181" s="19">
        <f t="shared" si="143"/>
        <v>0</v>
      </c>
      <c r="L181" s="19">
        <f t="shared" si="143"/>
        <v>0</v>
      </c>
      <c r="M181" s="19">
        <f t="shared" si="143"/>
        <v>0</v>
      </c>
      <c r="N181" s="19">
        <f t="shared" si="143"/>
        <v>0</v>
      </c>
      <c r="O181" s="19">
        <f t="shared" si="143"/>
        <v>0</v>
      </c>
      <c r="P181" s="19">
        <f t="shared" si="143"/>
        <v>0</v>
      </c>
      <c r="Q181" s="19">
        <f t="shared" si="143"/>
        <v>0</v>
      </c>
      <c r="R181" s="19">
        <f t="shared" si="143"/>
        <v>0</v>
      </c>
      <c r="S181" s="19">
        <f t="shared" si="143"/>
        <v>0</v>
      </c>
      <c r="T181" s="19">
        <f t="shared" si="143"/>
        <v>0</v>
      </c>
      <c r="U181" s="19">
        <f t="shared" si="143"/>
        <v>0</v>
      </c>
      <c r="V181" s="19">
        <f t="shared" si="143"/>
        <v>0</v>
      </c>
      <c r="W181" s="19">
        <f t="shared" si="143"/>
        <v>12.473506276316243</v>
      </c>
      <c r="X181" s="19">
        <f t="shared" si="143"/>
        <v>153.74902227924312</v>
      </c>
      <c r="Y181" s="19">
        <f t="shared" si="143"/>
        <v>234.66183125160018</v>
      </c>
      <c r="Z181" s="19">
        <f t="shared" si="143"/>
        <v>254.29778150117357</v>
      </c>
      <c r="AA181" s="19">
        <f t="shared" si="143"/>
        <v>211.73047457261634</v>
      </c>
      <c r="AB181" s="19">
        <f t="shared" si="143"/>
        <v>106.02111172733687</v>
      </c>
      <c r="AC181" s="19">
        <f t="shared" si="143"/>
        <v>0</v>
      </c>
      <c r="AD181" s="19">
        <f t="shared" si="143"/>
        <v>0</v>
      </c>
      <c r="AE181" s="19">
        <f t="shared" si="143"/>
        <v>0</v>
      </c>
      <c r="AF181" s="19">
        <f t="shared" si="143"/>
        <v>0</v>
      </c>
      <c r="AG181" s="19">
        <f t="shared" si="143"/>
        <v>0</v>
      </c>
      <c r="AH181" s="19">
        <f t="shared" si="143"/>
        <v>0</v>
      </c>
      <c r="AI181" s="19">
        <f t="shared" si="143"/>
        <v>0</v>
      </c>
      <c r="AJ181" s="19">
        <f t="shared" si="143"/>
        <v>0</v>
      </c>
      <c r="AK181" s="27">
        <f t="shared" si="143"/>
        <v>0</v>
      </c>
    </row>
    <row r="182" spans="1:37" ht="38.25" customHeight="1" x14ac:dyDescent="0.25">
      <c r="F182" s="182"/>
      <c r="G182" s="41" t="s">
        <v>125</v>
      </c>
      <c r="H182" s="114">
        <f>IF(H$10&lt;=5,0%,IF(AND(H$10&gt;5,H$10&lt;=21),(((H$10-5)*0.0165)),IF(H$10=22,(0.28),IF(H$10&gt;22,(((H$10-22)*0.09+0.28))))))</f>
        <v>0</v>
      </c>
      <c r="I182" s="64">
        <f>IF(I$10&lt;=5,0%,IF(AND(I$10&gt;5,I$10&lt;=21),(((I$10-5)*0.0165)),IF(I$10=22,(0.28),IF(I$10&gt;22,(((I$10-22)*0.09+0.28))))))</f>
        <v>0</v>
      </c>
      <c r="J182" s="64">
        <f t="shared" ref="J182:AK182" si="144">IF(J$10&lt;=5,0%,IF(AND(J$10&gt;5,J$10&lt;=21),(((J$10-5)*0.0165)),IF(J$10=22,(0.28),IF(J$10&gt;22,(((J$10-22)*0.09+0.28))))))</f>
        <v>0</v>
      </c>
      <c r="K182" s="64">
        <f t="shared" si="144"/>
        <v>0</v>
      </c>
      <c r="L182" s="64">
        <f t="shared" si="144"/>
        <v>0</v>
      </c>
      <c r="M182" s="64">
        <f t="shared" si="144"/>
        <v>1.6500000000000001E-2</v>
      </c>
      <c r="N182" s="64">
        <f t="shared" si="144"/>
        <v>3.3000000000000002E-2</v>
      </c>
      <c r="O182" s="64">
        <f t="shared" si="144"/>
        <v>4.9500000000000002E-2</v>
      </c>
      <c r="P182" s="64">
        <f t="shared" si="144"/>
        <v>6.6000000000000003E-2</v>
      </c>
      <c r="Q182" s="64">
        <f t="shared" si="144"/>
        <v>8.2500000000000004E-2</v>
      </c>
      <c r="R182" s="64">
        <f t="shared" si="144"/>
        <v>9.9000000000000005E-2</v>
      </c>
      <c r="S182" s="64">
        <f t="shared" si="144"/>
        <v>0.11550000000000001</v>
      </c>
      <c r="T182" s="64">
        <f t="shared" si="144"/>
        <v>0.13200000000000001</v>
      </c>
      <c r="U182" s="64">
        <f t="shared" si="144"/>
        <v>0.14850000000000002</v>
      </c>
      <c r="V182" s="64">
        <f t="shared" si="144"/>
        <v>0.16500000000000001</v>
      </c>
      <c r="W182" s="64">
        <f t="shared" si="144"/>
        <v>0.18149999999999999</v>
      </c>
      <c r="X182" s="64">
        <f t="shared" si="144"/>
        <v>0.19800000000000001</v>
      </c>
      <c r="Y182" s="64">
        <f t="shared" si="144"/>
        <v>0.21450000000000002</v>
      </c>
      <c r="Z182" s="64">
        <f t="shared" si="144"/>
        <v>0.23100000000000001</v>
      </c>
      <c r="AA182" s="64">
        <f t="shared" si="144"/>
        <v>0.2475</v>
      </c>
      <c r="AB182" s="64">
        <f t="shared" si="144"/>
        <v>0.26400000000000001</v>
      </c>
      <c r="AC182" s="64">
        <f t="shared" si="144"/>
        <v>0.28000000000000003</v>
      </c>
      <c r="AD182" s="64">
        <f t="shared" si="144"/>
        <v>0.37</v>
      </c>
      <c r="AE182" s="64">
        <f t="shared" si="144"/>
        <v>0.46</v>
      </c>
      <c r="AF182" s="64">
        <f t="shared" si="144"/>
        <v>0.55000000000000004</v>
      </c>
      <c r="AG182" s="64">
        <f t="shared" si="144"/>
        <v>0.64</v>
      </c>
      <c r="AH182" s="64">
        <f t="shared" si="144"/>
        <v>0.73</v>
      </c>
      <c r="AI182" s="64">
        <f t="shared" si="144"/>
        <v>0.82000000000000006</v>
      </c>
      <c r="AJ182" s="64">
        <f>IF(AJ$10&lt;=5,0%,IF(AND(AJ$10&gt;5,AJ$10&lt;=21),(((AJ$10-5)*0.0165)),IF(AJ$10=22,(0.28),IF(AJ$10&gt;22,(((AJ$10-22)*0.09+0.28))))))</f>
        <v>0.91</v>
      </c>
      <c r="AK182" s="67">
        <f t="shared" si="144"/>
        <v>1</v>
      </c>
    </row>
    <row r="183" spans="1:37" ht="38.25" customHeight="1" x14ac:dyDescent="0.25">
      <c r="F183" s="182"/>
      <c r="G183" s="41" t="s">
        <v>126</v>
      </c>
      <c r="H183" s="60">
        <f>H178*(1-H182)</f>
        <v>0</v>
      </c>
      <c r="I183" s="19">
        <f t="shared" ref="I183:AK183" si="145">I178*(1-I182)</f>
        <v>0</v>
      </c>
      <c r="J183" s="19">
        <f t="shared" si="145"/>
        <v>0</v>
      </c>
      <c r="K183" s="19">
        <f t="shared" si="145"/>
        <v>0</v>
      </c>
      <c r="L183" s="19">
        <f t="shared" si="145"/>
        <v>0</v>
      </c>
      <c r="M183" s="19">
        <f t="shared" si="145"/>
        <v>0</v>
      </c>
      <c r="N183" s="19">
        <f t="shared" si="145"/>
        <v>0</v>
      </c>
      <c r="O183" s="19">
        <f t="shared" si="145"/>
        <v>0</v>
      </c>
      <c r="P183" s="19">
        <f t="shared" si="145"/>
        <v>0</v>
      </c>
      <c r="Q183" s="19">
        <f t="shared" si="145"/>
        <v>0</v>
      </c>
      <c r="R183" s="19">
        <f t="shared" si="145"/>
        <v>0</v>
      </c>
      <c r="S183" s="19">
        <f t="shared" si="145"/>
        <v>0</v>
      </c>
      <c r="T183" s="19">
        <f t="shared" si="145"/>
        <v>0</v>
      </c>
      <c r="U183" s="19">
        <f t="shared" si="145"/>
        <v>0</v>
      </c>
      <c r="V183" s="19">
        <f t="shared" si="145"/>
        <v>0</v>
      </c>
      <c r="W183" s="19">
        <f t="shared" si="145"/>
        <v>158.04280011091092</v>
      </c>
      <c r="X183" s="19">
        <f t="shared" si="145"/>
        <v>2317.7954110517476</v>
      </c>
      <c r="Y183" s="19">
        <f t="shared" si="145"/>
        <v>4409.7336949313867</v>
      </c>
      <c r="Z183" s="19">
        <f t="shared" si="145"/>
        <v>6432.7300649474482</v>
      </c>
      <c r="AA183" s="19">
        <f t="shared" si="145"/>
        <v>8385.6411639944035</v>
      </c>
      <c r="AB183" s="19">
        <f t="shared" si="145"/>
        <v>10267.307662015772</v>
      </c>
      <c r="AC183" s="19">
        <f t="shared" si="145"/>
        <v>12084.946374752595</v>
      </c>
      <c r="AD183" s="19">
        <f t="shared" si="145"/>
        <v>12377.921358687565</v>
      </c>
      <c r="AE183" s="19">
        <f t="shared" si="145"/>
        <v>12171.043347663845</v>
      </c>
      <c r="AF183" s="19">
        <f t="shared" si="145"/>
        <v>11456.711484283755</v>
      </c>
      <c r="AG183" s="19">
        <f t="shared" si="145"/>
        <v>10227.222879301273</v>
      </c>
      <c r="AH183" s="19">
        <f t="shared" si="145"/>
        <v>8474.771331070684</v>
      </c>
      <c r="AI183" s="19">
        <f t="shared" si="145"/>
        <v>6191.4460295875888</v>
      </c>
      <c r="AJ183" s="19">
        <f t="shared" si="145"/>
        <v>3369.2302449417348</v>
      </c>
      <c r="AK183" s="27">
        <f t="shared" si="145"/>
        <v>0</v>
      </c>
    </row>
    <row r="184" spans="1:37" ht="38.25" customHeight="1" x14ac:dyDescent="0.25">
      <c r="F184" s="182"/>
      <c r="G184" s="41" t="s">
        <v>127</v>
      </c>
      <c r="H184" s="60">
        <f>H183*0.172</f>
        <v>0</v>
      </c>
      <c r="I184" s="19">
        <f t="shared" ref="I184:AK184" si="146">I183*0.172</f>
        <v>0</v>
      </c>
      <c r="J184" s="19">
        <f t="shared" si="146"/>
        <v>0</v>
      </c>
      <c r="K184" s="19">
        <f t="shared" si="146"/>
        <v>0</v>
      </c>
      <c r="L184" s="19">
        <f t="shared" si="146"/>
        <v>0</v>
      </c>
      <c r="M184" s="19">
        <f t="shared" si="146"/>
        <v>0</v>
      </c>
      <c r="N184" s="19">
        <f t="shared" si="146"/>
        <v>0</v>
      </c>
      <c r="O184" s="19">
        <f t="shared" si="146"/>
        <v>0</v>
      </c>
      <c r="P184" s="19">
        <f t="shared" si="146"/>
        <v>0</v>
      </c>
      <c r="Q184" s="19">
        <f t="shared" si="146"/>
        <v>0</v>
      </c>
      <c r="R184" s="19">
        <f t="shared" si="146"/>
        <v>0</v>
      </c>
      <c r="S184" s="19">
        <f t="shared" si="146"/>
        <v>0</v>
      </c>
      <c r="T184" s="19">
        <f t="shared" si="146"/>
        <v>0</v>
      </c>
      <c r="U184" s="19">
        <f t="shared" si="146"/>
        <v>0</v>
      </c>
      <c r="V184" s="19">
        <f t="shared" si="146"/>
        <v>0</v>
      </c>
      <c r="W184" s="19">
        <f t="shared" si="146"/>
        <v>27.183361619076674</v>
      </c>
      <c r="X184" s="19">
        <f t="shared" si="146"/>
        <v>398.66081070090053</v>
      </c>
      <c r="Y184" s="19">
        <f t="shared" si="146"/>
        <v>758.47419552819849</v>
      </c>
      <c r="Z184" s="19">
        <f t="shared" si="146"/>
        <v>1106.429571170961</v>
      </c>
      <c r="AA184" s="19">
        <f t="shared" si="146"/>
        <v>1442.3302802070373</v>
      </c>
      <c r="AB184" s="19">
        <f t="shared" si="146"/>
        <v>1765.9769178667125</v>
      </c>
      <c r="AC184" s="19">
        <f t="shared" si="146"/>
        <v>2078.6107764574463</v>
      </c>
      <c r="AD184" s="19">
        <f t="shared" si="146"/>
        <v>2129.002473694261</v>
      </c>
      <c r="AE184" s="19">
        <f t="shared" si="146"/>
        <v>2093.4194557981809</v>
      </c>
      <c r="AF184" s="19">
        <f t="shared" si="146"/>
        <v>1970.5543752968056</v>
      </c>
      <c r="AG184" s="19">
        <f t="shared" si="146"/>
        <v>1759.0823352398188</v>
      </c>
      <c r="AH184" s="19">
        <f t="shared" si="146"/>
        <v>1457.6606689441576</v>
      </c>
      <c r="AI184" s="19">
        <f t="shared" si="146"/>
        <v>1064.9287170890652</v>
      </c>
      <c r="AJ184" s="19">
        <f t="shared" si="146"/>
        <v>579.5076021299783</v>
      </c>
      <c r="AK184" s="27">
        <f t="shared" si="146"/>
        <v>0</v>
      </c>
    </row>
    <row r="185" spans="1:37" ht="38.25" customHeight="1" x14ac:dyDescent="0.25">
      <c r="F185" s="182"/>
      <c r="G185" s="41" t="s">
        <v>128</v>
      </c>
      <c r="H185" s="60">
        <f>H184+H181</f>
        <v>0</v>
      </c>
      <c r="I185" s="19">
        <f t="shared" ref="I185:AK185" si="147">I184+I181</f>
        <v>0</v>
      </c>
      <c r="J185" s="19">
        <f t="shared" si="147"/>
        <v>0</v>
      </c>
      <c r="K185" s="19">
        <f t="shared" si="147"/>
        <v>0</v>
      </c>
      <c r="L185" s="19">
        <f t="shared" si="147"/>
        <v>0</v>
      </c>
      <c r="M185" s="19">
        <f t="shared" si="147"/>
        <v>0</v>
      </c>
      <c r="N185" s="19">
        <f t="shared" si="147"/>
        <v>0</v>
      </c>
      <c r="O185" s="19">
        <f t="shared" si="147"/>
        <v>0</v>
      </c>
      <c r="P185" s="19">
        <f t="shared" si="147"/>
        <v>0</v>
      </c>
      <c r="Q185" s="19">
        <f t="shared" si="147"/>
        <v>0</v>
      </c>
      <c r="R185" s="19">
        <f t="shared" si="147"/>
        <v>0</v>
      </c>
      <c r="S185" s="19">
        <f t="shared" si="147"/>
        <v>0</v>
      </c>
      <c r="T185" s="19">
        <f t="shared" si="147"/>
        <v>0</v>
      </c>
      <c r="U185" s="19">
        <f t="shared" si="147"/>
        <v>0</v>
      </c>
      <c r="V185" s="19">
        <f t="shared" si="147"/>
        <v>0</v>
      </c>
      <c r="W185" s="19">
        <f t="shared" si="147"/>
        <v>39.656867895392921</v>
      </c>
      <c r="X185" s="19">
        <f t="shared" si="147"/>
        <v>552.40983298014362</v>
      </c>
      <c r="Y185" s="19">
        <f t="shared" si="147"/>
        <v>993.13602677979861</v>
      </c>
      <c r="Z185" s="19">
        <f t="shared" si="147"/>
        <v>1360.7273526721347</v>
      </c>
      <c r="AA185" s="19">
        <f t="shared" si="147"/>
        <v>1654.0607547796535</v>
      </c>
      <c r="AB185" s="19">
        <f t="shared" si="147"/>
        <v>1871.9980295940493</v>
      </c>
      <c r="AC185" s="19">
        <f t="shared" si="147"/>
        <v>2078.6107764574463</v>
      </c>
      <c r="AD185" s="19">
        <f t="shared" si="147"/>
        <v>2129.002473694261</v>
      </c>
      <c r="AE185" s="19">
        <f t="shared" si="147"/>
        <v>2093.4194557981809</v>
      </c>
      <c r="AF185" s="19">
        <f t="shared" si="147"/>
        <v>1970.5543752968056</v>
      </c>
      <c r="AG185" s="19">
        <f t="shared" si="147"/>
        <v>1759.0823352398188</v>
      </c>
      <c r="AH185" s="19">
        <f t="shared" si="147"/>
        <v>1457.6606689441576</v>
      </c>
      <c r="AI185" s="19">
        <f t="shared" si="147"/>
        <v>1064.9287170890652</v>
      </c>
      <c r="AJ185" s="19">
        <f t="shared" si="147"/>
        <v>579.5076021299783</v>
      </c>
      <c r="AK185" s="27">
        <f t="shared" si="147"/>
        <v>0</v>
      </c>
    </row>
    <row r="186" spans="1:37" ht="38.25" customHeight="1" x14ac:dyDescent="0.25">
      <c r="F186" s="182"/>
      <c r="G186" s="41" t="s">
        <v>129</v>
      </c>
      <c r="H186" s="60">
        <f t="shared" ref="H186:AK186" si="148">H$48-H185</f>
        <v>232300</v>
      </c>
      <c r="I186" s="19">
        <f t="shared" si="148"/>
        <v>234623</v>
      </c>
      <c r="J186" s="19">
        <f t="shared" si="148"/>
        <v>236969.22999999998</v>
      </c>
      <c r="K186" s="19">
        <f t="shared" si="148"/>
        <v>239338.92230000001</v>
      </c>
      <c r="L186" s="19">
        <f t="shared" si="148"/>
        <v>241732.31152299998</v>
      </c>
      <c r="M186" s="19">
        <f t="shared" si="148"/>
        <v>244149.63463823003</v>
      </c>
      <c r="N186" s="19">
        <f t="shared" si="148"/>
        <v>246591.13098461227</v>
      </c>
      <c r="O186" s="19">
        <f t="shared" si="148"/>
        <v>249057.04229445846</v>
      </c>
      <c r="P186" s="19">
        <f t="shared" si="148"/>
        <v>251547.61271740304</v>
      </c>
      <c r="Q186" s="19">
        <f t="shared" si="148"/>
        <v>254063.08884457708</v>
      </c>
      <c r="R186" s="19">
        <f t="shared" si="148"/>
        <v>256603.71973302279</v>
      </c>
      <c r="S186" s="19">
        <f t="shared" si="148"/>
        <v>259169.75693035306</v>
      </c>
      <c r="T186" s="19">
        <f t="shared" si="148"/>
        <v>261761.4544996566</v>
      </c>
      <c r="U186" s="19">
        <f t="shared" si="148"/>
        <v>264379.06904465321</v>
      </c>
      <c r="V186" s="19">
        <f t="shared" si="148"/>
        <v>267022.85973509966</v>
      </c>
      <c r="W186" s="19">
        <f t="shared" si="148"/>
        <v>269653.43146455532</v>
      </c>
      <c r="X186" s="19">
        <f t="shared" si="148"/>
        <v>271837.60938279511</v>
      </c>
      <c r="Y186" s="19">
        <f t="shared" si="148"/>
        <v>274120.78338115325</v>
      </c>
      <c r="Z186" s="19">
        <f t="shared" si="148"/>
        <v>276504.33124934015</v>
      </c>
      <c r="AA186" s="19">
        <f t="shared" si="148"/>
        <v>278989.64843325276</v>
      </c>
      <c r="AB186" s="19">
        <f t="shared" si="148"/>
        <v>281578.14825031866</v>
      </c>
      <c r="AC186" s="19">
        <f t="shared" si="148"/>
        <v>284206.03696625447</v>
      </c>
      <c r="AD186" s="19">
        <f t="shared" si="148"/>
        <v>287018.49174644472</v>
      </c>
      <c r="AE186" s="19">
        <f t="shared" si="148"/>
        <v>289945.54970654228</v>
      </c>
      <c r="AF186" s="19">
        <f t="shared" si="148"/>
        <v>292988.80447866709</v>
      </c>
      <c r="AG186" s="19">
        <f t="shared" si="148"/>
        <v>296149.87010726373</v>
      </c>
      <c r="AH186" s="19">
        <f t="shared" si="148"/>
        <v>299430.38129798428</v>
      </c>
      <c r="AI186" s="19">
        <f t="shared" si="148"/>
        <v>302831.99366950867</v>
      </c>
      <c r="AJ186" s="19">
        <f t="shared" si="148"/>
        <v>306356.38400833373</v>
      </c>
      <c r="AK186" s="27">
        <f t="shared" si="148"/>
        <v>310005.25052656844</v>
      </c>
    </row>
    <row r="187" spans="1:37" ht="38.25" customHeight="1" x14ac:dyDescent="0.25">
      <c r="F187" s="182"/>
      <c r="G187" s="169" t="s">
        <v>352</v>
      </c>
      <c r="H187" s="161">
        <f t="shared" ref="H187:AK187" si="149">H186-H$16</f>
        <v>-4939.9208197635016</v>
      </c>
      <c r="I187" s="162">
        <f t="shared" si="149"/>
        <v>5759.5443927056913</v>
      </c>
      <c r="J187" s="162">
        <f t="shared" si="149"/>
        <v>16600.265537970641</v>
      </c>
      <c r="K187" s="162">
        <f t="shared" si="149"/>
        <v>27584.137923094531</v>
      </c>
      <c r="L187" s="162">
        <f t="shared" si="149"/>
        <v>38713.082610215235</v>
      </c>
      <c r="M187" s="162">
        <f t="shared" si="149"/>
        <v>49989.046769937937</v>
      </c>
      <c r="N187" s="162">
        <f t="shared" si="149"/>
        <v>61414.004039611202</v>
      </c>
      <c r="O187" s="162">
        <f t="shared" si="149"/>
        <v>72989.954886556487</v>
      </c>
      <c r="P187" s="162">
        <f t="shared" si="149"/>
        <v>84718.926976317132</v>
      </c>
      <c r="Q187" s="162">
        <f t="shared" si="149"/>
        <v>96602.975545999652</v>
      </c>
      <c r="R187" s="162">
        <f t="shared" si="149"/>
        <v>108644.18378277571</v>
      </c>
      <c r="S187" s="162">
        <f t="shared" si="149"/>
        <v>120844.66320761776</v>
      </c>
      <c r="T187" s="162">
        <f t="shared" si="149"/>
        <v>133206.55406434039</v>
      </c>
      <c r="U187" s="162">
        <f t="shared" si="149"/>
        <v>145732.02571402187</v>
      </c>
      <c r="V187" s="162">
        <f t="shared" si="149"/>
        <v>158423.27703487989</v>
      </c>
      <c r="W187" s="162">
        <f t="shared" si="149"/>
        <v>171242.87995978308</v>
      </c>
      <c r="X187" s="162">
        <f t="shared" si="149"/>
        <v>183759.65439376057</v>
      </c>
      <c r="Y187" s="162">
        <f t="shared" si="149"/>
        <v>196521.01308986868</v>
      </c>
      <c r="Z187" s="162">
        <f t="shared" si="149"/>
        <v>209530.38520203292</v>
      </c>
      <c r="AA187" s="162">
        <f t="shared" si="149"/>
        <v>222791.24644446382</v>
      </c>
      <c r="AB187" s="162">
        <f t="shared" si="149"/>
        <v>236307.11971426493</v>
      </c>
      <c r="AC187" s="162">
        <f t="shared" si="149"/>
        <v>250016.35058119392</v>
      </c>
      <c r="AD187" s="162">
        <f t="shared" si="149"/>
        <v>264066.28565786302</v>
      </c>
      <c r="AE187" s="162">
        <f t="shared" si="149"/>
        <v>278389.16207506252</v>
      </c>
      <c r="AF187" s="162">
        <f t="shared" si="149"/>
        <v>292988.80447866715</v>
      </c>
      <c r="AG187" s="162">
        <f t="shared" si="149"/>
        <v>296149.87010726373</v>
      </c>
      <c r="AH187" s="162">
        <f t="shared" si="149"/>
        <v>299430.38129798428</v>
      </c>
      <c r="AI187" s="162">
        <f t="shared" si="149"/>
        <v>302831.99366950867</v>
      </c>
      <c r="AJ187" s="162">
        <f t="shared" si="149"/>
        <v>306356.38400833373</v>
      </c>
      <c r="AK187" s="163">
        <f t="shared" si="149"/>
        <v>310005.25052656844</v>
      </c>
    </row>
    <row r="188" spans="1:37" ht="38.25" customHeight="1" x14ac:dyDescent="0.25">
      <c r="F188" s="182"/>
      <c r="G188" s="41" t="s">
        <v>299</v>
      </c>
      <c r="H188" s="60">
        <f t="shared" ref="H188:AK188" si="150">IF(H$10=1,($C$18*-1)+H175,H175)</f>
        <v>-24536.910904683275</v>
      </c>
      <c r="I188" s="19">
        <f t="shared" si="150"/>
        <v>-4461.3829046832761</v>
      </c>
      <c r="J188" s="19">
        <f t="shared" si="150"/>
        <v>-4385.0996246832738</v>
      </c>
      <c r="K188" s="19">
        <f t="shared" si="150"/>
        <v>-4308.0535118832759</v>
      </c>
      <c r="L188" s="19">
        <f t="shared" si="150"/>
        <v>-4230.2369379552711</v>
      </c>
      <c r="M188" s="19">
        <f t="shared" si="150"/>
        <v>-4151.6421982879947</v>
      </c>
      <c r="N188" s="19">
        <f t="shared" si="150"/>
        <v>-4072.2615112240387</v>
      </c>
      <c r="O188" s="19">
        <f t="shared" si="150"/>
        <v>-3992.087017289452</v>
      </c>
      <c r="P188" s="19">
        <f t="shared" si="150"/>
        <v>-3911.1107784155083</v>
      </c>
      <c r="Q188" s="19">
        <f t="shared" si="150"/>
        <v>-3829.3247771528322</v>
      </c>
      <c r="R188" s="19">
        <f t="shared" si="150"/>
        <v>-3746.720915877529</v>
      </c>
      <c r="S188" s="19">
        <f t="shared" si="150"/>
        <v>-3663.2910159894718</v>
      </c>
      <c r="T188" s="19">
        <f t="shared" si="150"/>
        <v>-3579.0268171025355</v>
      </c>
      <c r="U188" s="19">
        <f t="shared" si="150"/>
        <v>-3493.9199762267249</v>
      </c>
      <c r="V188" s="19">
        <f t="shared" si="150"/>
        <v>-3407.9620669421588</v>
      </c>
      <c r="W188" s="19">
        <f t="shared" si="150"/>
        <v>-3321.144578564747</v>
      </c>
      <c r="X188" s="19">
        <f t="shared" si="150"/>
        <v>-3233.4589153035622</v>
      </c>
      <c r="Y188" s="19">
        <f t="shared" si="150"/>
        <v>-3144.8963954097662</v>
      </c>
      <c r="Z188" s="19">
        <f t="shared" si="150"/>
        <v>-3055.4482503170275</v>
      </c>
      <c r="AA188" s="19">
        <f t="shared" si="150"/>
        <v>-2965.1056237733674</v>
      </c>
      <c r="AB188" s="19">
        <f t="shared" si="150"/>
        <v>-2873.8595709642718</v>
      </c>
      <c r="AC188" s="19">
        <f t="shared" si="150"/>
        <v>-2848.9569779220446</v>
      </c>
      <c r="AD188" s="19">
        <f t="shared" si="150"/>
        <v>-2966.3354524738966</v>
      </c>
      <c r="AE188" s="19">
        <f t="shared" si="150"/>
        <v>-3088.7552641858624</v>
      </c>
      <c r="AF188" s="19">
        <f t="shared" si="150"/>
        <v>-3216.3828530019582</v>
      </c>
      <c r="AG188" s="19">
        <f t="shared" si="150"/>
        <v>8540.3211006204274</v>
      </c>
      <c r="AH188" s="19">
        <f t="shared" si="150"/>
        <v>8401.7579011015969</v>
      </c>
      <c r="AI188" s="19">
        <f t="shared" si="150"/>
        <v>8257.4561052718163</v>
      </c>
      <c r="AJ188" s="19">
        <f t="shared" si="150"/>
        <v>8107.2277382385355</v>
      </c>
      <c r="AK188" s="27">
        <f t="shared" si="150"/>
        <v>8029.61850601482</v>
      </c>
    </row>
    <row r="189" spans="1:37" ht="38.25" customHeight="1" x14ac:dyDescent="0.25">
      <c r="F189" s="182"/>
      <c r="G189" s="160" t="s">
        <v>298</v>
      </c>
      <c r="H189" s="164" t="str">
        <f>TRI!C204</f>
        <v>N/A</v>
      </c>
      <c r="I189" s="165">
        <f>TRI!D204</f>
        <v>-0.94709352399471602</v>
      </c>
      <c r="J189" s="165">
        <f>TRI!E204</f>
        <v>-0.37950944531796604</v>
      </c>
      <c r="K189" s="165">
        <f>TRI!F204</f>
        <v>-0.13108279574228854</v>
      </c>
      <c r="L189" s="165">
        <f>TRI!G204</f>
        <v>-2.6675803437109291E-2</v>
      </c>
      <c r="M189" s="165">
        <f>TRI!H204</f>
        <v>2.2605914617200185E-2</v>
      </c>
      <c r="N189" s="165">
        <f>TRI!I204</f>
        <v>4.7802887302880626E-2</v>
      </c>
      <c r="O189" s="165">
        <f>TRI!J204</f>
        <v>6.1259152692893615E-2</v>
      </c>
      <c r="P189" s="165">
        <f>TRI!K204</f>
        <v>6.851329572057363E-2</v>
      </c>
      <c r="Q189" s="165">
        <f>TRI!L204</f>
        <v>7.2294530160243342E-2</v>
      </c>
      <c r="R189" s="165">
        <f>TRI!M204</f>
        <v>7.4048298774757271E-2</v>
      </c>
      <c r="S189" s="165">
        <f>TRI!N204</f>
        <v>7.4584325875682866E-2</v>
      </c>
      <c r="T189" s="165">
        <f>TRI!O204</f>
        <v>7.4376669126790196E-2</v>
      </c>
      <c r="U189" s="165">
        <f>TRI!P204</f>
        <v>7.3712701852945317E-2</v>
      </c>
      <c r="V189" s="165">
        <f>TRI!Q204</f>
        <v>7.2771456833991222E-2</v>
      </c>
      <c r="W189" s="165">
        <f>TRI!R204</f>
        <v>7.1644693794062242E-2</v>
      </c>
      <c r="X189" s="165">
        <f>TRI!S204</f>
        <v>7.0203964306270406E-2</v>
      </c>
      <c r="Y189" s="165">
        <f>TRI!T204</f>
        <v>6.8813057253383381E-2</v>
      </c>
      <c r="Z189" s="165">
        <f>TRI!U204</f>
        <v>6.747799353737105E-2</v>
      </c>
      <c r="AA189" s="165">
        <f>TRI!V204</f>
        <v>6.6201215825445248E-2</v>
      </c>
      <c r="AB189" s="165">
        <f>TRI!W204</f>
        <v>6.4982938198818063E-2</v>
      </c>
      <c r="AC189" s="165">
        <f>TRI!X204</f>
        <v>6.3786415855214829E-2</v>
      </c>
      <c r="AD189" s="165">
        <f>TRI!Y204</f>
        <v>6.2619325324348774E-2</v>
      </c>
      <c r="AE189" s="165">
        <f>TRI!Z204</f>
        <v>6.1467412595875182E-2</v>
      </c>
      <c r="AF189" s="165">
        <f>TRI!AA204</f>
        <v>6.0335509962316403E-2</v>
      </c>
      <c r="AG189" s="165">
        <f>TRI!AB204</f>
        <v>5.9257857326928898E-2</v>
      </c>
      <c r="AH189" s="165">
        <f>TRI!AC204</f>
        <v>5.8288148514072269E-2</v>
      </c>
      <c r="AI189" s="165">
        <f>TRI!AD204</f>
        <v>5.740740913122333E-2</v>
      </c>
      <c r="AJ189" s="165">
        <f>TRI!AE204</f>
        <v>5.6600691147148829E-2</v>
      </c>
      <c r="AK189" s="166">
        <f>TRI!AF204</f>
        <v>5.5866379034592351E-2</v>
      </c>
    </row>
    <row r="190" spans="1:37" ht="38.25" customHeight="1" x14ac:dyDescent="0.25">
      <c r="F190" s="183"/>
      <c r="G190" s="147" t="s">
        <v>305</v>
      </c>
      <c r="H190" s="159">
        <f>H$187+H176-$C$18</f>
        <v>-29476.831724446776</v>
      </c>
      <c r="I190" s="150">
        <f>I$187+I176-$C$18</f>
        <v>-23238.749416660859</v>
      </c>
      <c r="J190" s="150">
        <f>J$187+J176-$C$18</f>
        <v>-16783.127896079182</v>
      </c>
      <c r="K190" s="150">
        <f>K$187+K176-$C$18</f>
        <v>-10107.30902283857</v>
      </c>
      <c r="L190" s="150">
        <f>L$187+L176-$C$18</f>
        <v>-3208.6012736731354</v>
      </c>
      <c r="M190" s="150">
        <f>M$187+M176-$C$18</f>
        <v>3915.7206877615718</v>
      </c>
      <c r="N190" s="150">
        <f>N$187+N176-$C$18</f>
        <v>11268.416446210798</v>
      </c>
      <c r="O190" s="150">
        <f>O$187+O176-$C$18</f>
        <v>18852.280275866629</v>
      </c>
      <c r="P190" s="150">
        <f>P$187+P176-$C$18</f>
        <v>26670.141587211765</v>
      </c>
      <c r="Q190" s="150">
        <f>Q$187+Q176-$C$18</f>
        <v>34724.865379741452</v>
      </c>
      <c r="R190" s="150">
        <f>R$187+R176-$C$18</f>
        <v>43019.352700639982</v>
      </c>
      <c r="S190" s="150">
        <f>S$187+S176-$C$18</f>
        <v>51556.541109492566</v>
      </c>
      <c r="T190" s="150">
        <f>T$187+T176-$C$18</f>
        <v>60339.405149112659</v>
      </c>
      <c r="U190" s="150">
        <f>U$187+U176-$C$18</f>
        <v>69370.956822567416</v>
      </c>
      <c r="V190" s="150">
        <f>V$187+V176-$C$18</f>
        <v>78654.246076483279</v>
      </c>
      <c r="W190" s="150">
        <f>W$187+W176-$C$18</f>
        <v>88152.704422821713</v>
      </c>
      <c r="X190" s="150">
        <f>X$187+X176-$C$18</f>
        <v>97436.019941495644</v>
      </c>
      <c r="Y190" s="150">
        <f>Y$187+Y176-$C$18</f>
        <v>107052.48224219398</v>
      </c>
      <c r="Z190" s="150">
        <f>Z$187+Z176-$C$18</f>
        <v>117006.40610404121</v>
      </c>
      <c r="AA190" s="150">
        <f>AA$187+AA176-$C$18</f>
        <v>127302.16172269871</v>
      </c>
      <c r="AB190" s="150">
        <f>AB$187+AB176-$C$18</f>
        <v>137944.17542153556</v>
      </c>
      <c r="AC190" s="150">
        <f>AC$187+AC176-$C$18</f>
        <v>148804.44931054249</v>
      </c>
      <c r="AD190" s="150">
        <f>AD$187+AD176-$C$18</f>
        <v>159888.04893473769</v>
      </c>
      <c r="AE190" s="150">
        <f>AE$187+AE176-$C$18</f>
        <v>171122.17008775135</v>
      </c>
      <c r="AF190" s="150">
        <f>AF$187+AF176-$C$18</f>
        <v>182505.42963835402</v>
      </c>
      <c r="AG190" s="150">
        <f>AG$187+AG176-$C$18</f>
        <v>194206.81636757101</v>
      </c>
      <c r="AH190" s="150">
        <f>AH$187+AH176-$C$18</f>
        <v>205889.08545939316</v>
      </c>
      <c r="AI190" s="150">
        <f>AI$187+AI176-$C$18</f>
        <v>217548.15393618937</v>
      </c>
      <c r="AJ190" s="150">
        <f>AJ$187+AJ176-$C$18</f>
        <v>229179.77201325295</v>
      </c>
      <c r="AK190" s="151">
        <f>AK$187+AK176-$C$18</f>
        <v>240858.25703750251</v>
      </c>
    </row>
    <row r="191" spans="1:37" ht="30" customHeight="1" x14ac:dyDescent="0.25">
      <c r="F191" s="4"/>
      <c r="G191" s="4"/>
      <c r="H191" s="4"/>
      <c r="I191" s="4"/>
      <c r="J191" s="4"/>
      <c r="K191" s="4"/>
      <c r="L191" s="4"/>
      <c r="M191" s="4"/>
      <c r="N191" s="4"/>
      <c r="O191" s="4"/>
      <c r="P191" s="4"/>
      <c r="Q191" s="4"/>
      <c r="R191" s="4"/>
    </row>
    <row r="192" spans="1:37" ht="30" customHeight="1" x14ac:dyDescent="0.25">
      <c r="F192" s="4"/>
      <c r="G192" s="4"/>
      <c r="H192" s="4"/>
      <c r="I192" s="4"/>
      <c r="J192" s="4"/>
      <c r="K192" s="4"/>
      <c r="L192" s="4"/>
      <c r="M192" s="4"/>
      <c r="N192" s="4"/>
      <c r="O192" s="4"/>
      <c r="P192" s="4"/>
      <c r="Q192" s="4"/>
      <c r="R192" s="4"/>
    </row>
    <row r="193" spans="6:18" ht="30" customHeight="1" x14ac:dyDescent="0.25">
      <c r="F193" s="4"/>
      <c r="G193" s="4"/>
      <c r="H193" s="4"/>
      <c r="I193" s="4"/>
      <c r="J193" s="4"/>
      <c r="K193" s="4"/>
      <c r="L193" s="4"/>
      <c r="M193" s="4"/>
      <c r="N193" s="4"/>
      <c r="O193" s="4"/>
      <c r="P193" s="4"/>
      <c r="Q193" s="4"/>
      <c r="R193" s="4"/>
    </row>
    <row r="194" spans="6:18" ht="30" customHeight="1" x14ac:dyDescent="0.25">
      <c r="F194" s="4"/>
      <c r="G194" s="4"/>
      <c r="H194" s="4"/>
      <c r="I194" s="4"/>
      <c r="J194" s="4"/>
      <c r="K194" s="4"/>
      <c r="L194" s="4"/>
      <c r="M194" s="4"/>
      <c r="N194" s="4"/>
      <c r="O194" s="4"/>
      <c r="P194" s="4"/>
      <c r="Q194" s="4"/>
      <c r="R194" s="4"/>
    </row>
    <row r="195" spans="6:18" ht="28.5" customHeight="1" x14ac:dyDescent="0.25">
      <c r="F195" s="4"/>
      <c r="G195" s="4"/>
      <c r="H195" s="4"/>
      <c r="I195" s="4"/>
      <c r="J195" s="4"/>
      <c r="K195" s="4"/>
      <c r="L195" s="4"/>
      <c r="M195" s="4"/>
      <c r="N195" s="4"/>
      <c r="O195" s="4"/>
      <c r="P195" s="4"/>
      <c r="Q195" s="4"/>
      <c r="R195" s="4"/>
    </row>
    <row r="196" spans="6:18" ht="33.75" customHeight="1" x14ac:dyDescent="0.25">
      <c r="F196" s="4"/>
      <c r="G196" s="4"/>
      <c r="H196" s="4"/>
      <c r="I196" s="4"/>
      <c r="J196" s="4"/>
      <c r="K196" s="4"/>
      <c r="L196" s="4"/>
      <c r="M196" s="4"/>
      <c r="N196" s="4"/>
      <c r="O196" s="4"/>
      <c r="P196" s="4"/>
      <c r="Q196" s="4"/>
      <c r="R196" s="4"/>
    </row>
  </sheetData>
  <mergeCells count="11">
    <mergeCell ref="F164:F190"/>
    <mergeCell ref="B4:G6"/>
    <mergeCell ref="F14:F19"/>
    <mergeCell ref="F21:F26"/>
    <mergeCell ref="F28:F32"/>
    <mergeCell ref="F34:F36"/>
    <mergeCell ref="F38:F46"/>
    <mergeCell ref="F50:F72"/>
    <mergeCell ref="F74:F102"/>
    <mergeCell ref="F104:F130"/>
    <mergeCell ref="F132:F16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4EFAA-0586-4C9A-9E6A-7813E1C32D0C}">
  <dimension ref="B2:AF235"/>
  <sheetViews>
    <sheetView showGridLines="0" zoomScale="55" zoomScaleNormal="55" workbookViewId="0">
      <selection activeCell="B4" sqref="B4"/>
    </sheetView>
  </sheetViews>
  <sheetFormatPr baseColWidth="10" defaultRowHeight="15" x14ac:dyDescent="0.25"/>
  <cols>
    <col min="1" max="1" width="3.42578125" customWidth="1"/>
    <col min="2" max="2" width="13" style="134" customWidth="1"/>
    <col min="3" max="32" width="10.85546875" style="4" customWidth="1"/>
  </cols>
  <sheetData>
    <row r="2" spans="2:32" ht="21" x14ac:dyDescent="0.35">
      <c r="B2" s="175" t="s">
        <v>303</v>
      </c>
      <c r="C2" s="176"/>
      <c r="D2" s="176"/>
      <c r="E2" s="176"/>
      <c r="F2" s="176"/>
      <c r="G2" s="176"/>
      <c r="H2" s="176"/>
      <c r="I2" s="176"/>
      <c r="J2" s="176"/>
      <c r="K2" s="176"/>
      <c r="L2" s="176"/>
      <c r="M2" s="176"/>
      <c r="N2" s="176"/>
      <c r="O2" s="176"/>
      <c r="P2" s="176"/>
      <c r="Q2" s="176"/>
      <c r="R2" s="176"/>
      <c r="S2" s="176"/>
      <c r="T2" s="176"/>
      <c r="U2" s="176"/>
      <c r="V2" s="176"/>
      <c r="W2" s="176"/>
      <c r="X2" s="176"/>
      <c r="Y2" s="176"/>
      <c r="Z2" s="176"/>
      <c r="AA2" s="176"/>
      <c r="AB2" s="176"/>
      <c r="AC2" s="176"/>
      <c r="AD2" s="176"/>
      <c r="AE2" s="176"/>
      <c r="AF2" s="177"/>
    </row>
    <row r="3" spans="2:32" s="180" customFormat="1" ht="9.75" customHeight="1" x14ac:dyDescent="0.35">
      <c r="B3" s="178"/>
      <c r="C3" s="179"/>
      <c r="D3" s="179"/>
      <c r="E3" s="179"/>
      <c r="F3" s="179"/>
      <c r="G3" s="179"/>
      <c r="H3" s="179"/>
      <c r="I3" s="179"/>
      <c r="J3" s="179"/>
      <c r="K3" s="179"/>
      <c r="L3" s="179"/>
      <c r="M3" s="179"/>
      <c r="N3" s="179"/>
      <c r="O3" s="179"/>
      <c r="P3" s="179"/>
      <c r="Q3" s="179"/>
      <c r="R3" s="179"/>
      <c r="S3" s="179"/>
      <c r="T3" s="179"/>
      <c r="U3" s="179"/>
      <c r="V3" s="179"/>
      <c r="W3" s="179"/>
      <c r="X3" s="179"/>
      <c r="Y3" s="179"/>
      <c r="Z3" s="179"/>
      <c r="AA3" s="179"/>
      <c r="AB3" s="179"/>
      <c r="AC3" s="179"/>
      <c r="AD3" s="179"/>
      <c r="AE3" s="179"/>
      <c r="AF3" s="179"/>
    </row>
    <row r="4" spans="2:32" s="83" customFormat="1" ht="26.25" customHeight="1" x14ac:dyDescent="0.35">
      <c r="B4" s="178"/>
      <c r="C4" s="179"/>
      <c r="D4" s="179"/>
      <c r="E4" s="179"/>
      <c r="F4" s="179"/>
      <c r="G4" s="179"/>
      <c r="H4" s="179"/>
      <c r="I4" s="179"/>
      <c r="J4" s="179"/>
      <c r="K4" s="179"/>
      <c r="L4" s="179"/>
      <c r="M4" s="179"/>
      <c r="N4" s="179"/>
      <c r="O4" s="179"/>
      <c r="P4" s="179"/>
      <c r="Q4" s="179"/>
      <c r="R4" s="179"/>
      <c r="S4" s="179"/>
      <c r="T4" s="179"/>
      <c r="U4" s="179"/>
      <c r="V4" s="179"/>
      <c r="W4" s="179"/>
      <c r="X4" s="179"/>
      <c r="Y4" s="179"/>
      <c r="Z4" s="179"/>
      <c r="AA4" s="179"/>
      <c r="AB4" s="179"/>
      <c r="AC4" s="179"/>
      <c r="AD4" s="179"/>
      <c r="AE4" s="179"/>
      <c r="AF4" s="179"/>
    </row>
    <row r="5" spans="2:32" ht="9.75" customHeight="1" x14ac:dyDescent="0.25">
      <c r="B5" s="137"/>
      <c r="C5" s="138"/>
      <c r="D5" s="138"/>
      <c r="E5" s="138"/>
      <c r="F5" s="138"/>
      <c r="G5" s="138"/>
      <c r="H5" s="138"/>
      <c r="I5" s="138"/>
      <c r="J5" s="138"/>
      <c r="K5" s="138"/>
      <c r="L5" s="138"/>
      <c r="M5" s="138"/>
      <c r="N5" s="138"/>
      <c r="O5" s="138"/>
      <c r="P5" s="138"/>
      <c r="Q5" s="138"/>
      <c r="R5" s="138"/>
      <c r="S5" s="138"/>
      <c r="T5" s="138"/>
      <c r="U5" s="138"/>
      <c r="V5" s="138"/>
      <c r="W5" s="138"/>
      <c r="X5" s="138"/>
      <c r="Y5" s="138"/>
      <c r="Z5" s="138"/>
      <c r="AA5" s="138"/>
      <c r="AB5" s="138"/>
      <c r="AC5" s="138"/>
      <c r="AD5" s="138"/>
      <c r="AE5" s="138"/>
      <c r="AF5" s="138"/>
    </row>
    <row r="7" spans="2:32" ht="15.75" x14ac:dyDescent="0.25">
      <c r="B7" s="145" t="s">
        <v>310</v>
      </c>
    </row>
    <row r="9" spans="2:32" x14ac:dyDescent="0.25">
      <c r="B9" s="133" t="s">
        <v>301</v>
      </c>
      <c r="C9" s="133">
        <v>1</v>
      </c>
      <c r="D9" s="133">
        <v>2</v>
      </c>
      <c r="E9" s="133">
        <v>3</v>
      </c>
      <c r="F9" s="133">
        <v>4</v>
      </c>
      <c r="G9" s="133">
        <v>5</v>
      </c>
      <c r="H9" s="133">
        <v>6</v>
      </c>
      <c r="I9" s="133">
        <v>7</v>
      </c>
      <c r="J9" s="133">
        <v>8</v>
      </c>
      <c r="K9" s="133">
        <v>9</v>
      </c>
      <c r="L9" s="133">
        <v>10</v>
      </c>
      <c r="M9" s="133">
        <v>11</v>
      </c>
      <c r="N9" s="133">
        <v>12</v>
      </c>
      <c r="O9" s="133">
        <v>13</v>
      </c>
      <c r="P9" s="133">
        <v>14</v>
      </c>
      <c r="Q9" s="133">
        <v>15</v>
      </c>
      <c r="R9" s="133">
        <v>16</v>
      </c>
      <c r="S9" s="133">
        <v>17</v>
      </c>
      <c r="T9" s="133">
        <v>18</v>
      </c>
      <c r="U9" s="133">
        <v>19</v>
      </c>
      <c r="V9" s="133">
        <v>20</v>
      </c>
      <c r="W9" s="133">
        <v>21</v>
      </c>
      <c r="X9" s="133">
        <v>22</v>
      </c>
      <c r="Y9" s="133">
        <v>23</v>
      </c>
      <c r="Z9" s="133">
        <v>24</v>
      </c>
      <c r="AA9" s="133">
        <v>25</v>
      </c>
      <c r="AB9" s="133">
        <v>26</v>
      </c>
      <c r="AC9" s="133">
        <v>27</v>
      </c>
      <c r="AD9" s="133">
        <v>28</v>
      </c>
      <c r="AE9" s="133">
        <v>29</v>
      </c>
      <c r="AF9" s="133">
        <v>30</v>
      </c>
    </row>
    <row r="10" spans="2:32" s="174" customFormat="1" x14ac:dyDescent="0.25">
      <c r="B10" s="173" t="s">
        <v>300</v>
      </c>
      <c r="C10" s="172" t="str">
        <f>IFERROR(IRR(C12),"N/A")</f>
        <v>N/A</v>
      </c>
      <c r="D10" s="172">
        <f>IFERROR(IRR(C13:D13),"N/A")</f>
        <v>-0.64020811438174685</v>
      </c>
      <c r="E10" s="172">
        <f>IFERROR(IRR(C14:E14),"N/A")</f>
        <v>-2.437417836801048E-2</v>
      </c>
      <c r="F10" s="172">
        <f>IFERROR(IRR(C15:F15),"N/A")</f>
        <v>0.15352393225814787</v>
      </c>
      <c r="G10" s="172">
        <f>IFERROR(IRR(C16:G16),"N/A")</f>
        <v>0.21252929047108426</v>
      </c>
      <c r="H10" s="172">
        <f>IFERROR(IRR(C17:H17),"N/A")</f>
        <v>0.23725832037469963</v>
      </c>
      <c r="I10" s="172">
        <f>IFERROR(IRR(C18:I18),"N/A")</f>
        <v>0.22804152606145456</v>
      </c>
      <c r="J10" s="172">
        <f>IFERROR(IRR(C19:J19),"N/A")</f>
        <v>0.22287399682617237</v>
      </c>
      <c r="K10" s="172">
        <f>IFERROR(IRR(C20:K20),"N/A")</f>
        <v>0.21685110709599242</v>
      </c>
      <c r="L10" s="172">
        <f>IFERROR(IRR(C21:L21),"N/A")</f>
        <v>0.2108270477382943</v>
      </c>
      <c r="M10" s="172">
        <f>IFERROR(IRR(C22:M22),"N/A")</f>
        <v>0.20466591386977906</v>
      </c>
      <c r="N10" s="172">
        <f>IFERROR(IRR(C23:N23),"N/A")</f>
        <v>0.19874833747208176</v>
      </c>
      <c r="O10" s="172">
        <f>IFERROR(IRR(C24:O24),"N/A")</f>
        <v>0.19304947924206917</v>
      </c>
      <c r="P10" s="172">
        <f>IFERROR(IRR(C25:P25),"N/A")</f>
        <v>0.18764576152480106</v>
      </c>
      <c r="Q10" s="172">
        <f>IFERROR(IRR(C26:Q26),"N/A")</f>
        <v>0.1825649597807435</v>
      </c>
      <c r="R10" s="172">
        <f>IFERROR(IRR(C27:R27),"N/A")</f>
        <v>0.17780936624255772</v>
      </c>
      <c r="S10" s="172">
        <f>IFERROR(IRR(C28:S28),"N/A")</f>
        <v>0.17336819009793802</v>
      </c>
      <c r="T10" s="172">
        <f>IFERROR(IRR(C29:T29),"N/A")</f>
        <v>0.16922431820076733</v>
      </c>
      <c r="U10" s="172">
        <f>IFERROR(IRR(C30:U30),"N/A")</f>
        <v>0.1653580320736916</v>
      </c>
      <c r="V10" s="172">
        <f>IFERROR(IRR(C31:V31),"N/A")</f>
        <v>0.16174904362130316</v>
      </c>
      <c r="W10" s="172">
        <f>IFERROR(IRR(C32:W32),"N/A")</f>
        <v>0.15837758625168985</v>
      </c>
      <c r="X10" s="172">
        <f>IFERROR(IRR(C33:X33),"N/A")</f>
        <v>0.15522496974096645</v>
      </c>
      <c r="Y10" s="172">
        <f>IFERROR(IRR(C34:Y34),"N/A")</f>
        <v>0.15227382976922921</v>
      </c>
      <c r="Z10" s="172">
        <f>IFERROR(IRR(C35:Z35),"N/A")</f>
        <v>0.14950820478411764</v>
      </c>
      <c r="AA10" s="172">
        <f>IFERROR(IRR(C36:AA36),"N/A")</f>
        <v>0.14691351724218249</v>
      </c>
      <c r="AB10" s="172">
        <f>IFERROR(IRR(C37:AB37),"N/A")</f>
        <v>0.1444926110259428</v>
      </c>
      <c r="AC10" s="172">
        <f>IFERROR(IRR(C38:AC38),"N/A")</f>
        <v>0.14240178378656099</v>
      </c>
      <c r="AD10" s="172">
        <f>IFERROR(IRR(C39:AD39),"N/A")</f>
        <v>0.14058716611963651</v>
      </c>
      <c r="AE10" s="172">
        <f>IFERROR(IRR(C40:AE40),"N/A")</f>
        <v>0.1390091023008615</v>
      </c>
      <c r="AF10" s="172">
        <f>IFERROR(IRR(C41:AF41),"N/A")</f>
        <v>0.13763434154366627</v>
      </c>
    </row>
    <row r="11" spans="2:32" x14ac:dyDescent="0.25">
      <c r="B11" s="136"/>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2:32" x14ac:dyDescent="0.25">
      <c r="B12" s="133">
        <v>1</v>
      </c>
      <c r="C12" s="143">
        <f>SIMULIMO!H65</f>
        <v>-3979.6317244467791</v>
      </c>
      <c r="D12" s="1"/>
      <c r="E12" s="1"/>
      <c r="F12" s="1"/>
      <c r="G12" s="1"/>
      <c r="H12" s="1"/>
      <c r="I12" s="135"/>
      <c r="J12" s="1"/>
      <c r="K12" s="1"/>
      <c r="L12" s="1"/>
      <c r="M12" s="1"/>
      <c r="N12" s="1"/>
      <c r="O12" s="1"/>
      <c r="P12" s="1"/>
      <c r="Q12" s="1"/>
      <c r="R12" s="1"/>
      <c r="S12" s="1"/>
      <c r="T12" s="1"/>
      <c r="U12" s="1"/>
      <c r="V12" s="1"/>
      <c r="W12" s="1"/>
      <c r="X12" s="1"/>
      <c r="Y12" s="1"/>
      <c r="Z12" s="1"/>
      <c r="AA12" s="1"/>
      <c r="AB12" s="1"/>
      <c r="AC12" s="1"/>
      <c r="AD12" s="1"/>
      <c r="AE12" s="1"/>
      <c r="AF12" s="1"/>
    </row>
    <row r="13" spans="2:32" x14ac:dyDescent="0.25">
      <c r="B13" s="133">
        <v>2</v>
      </c>
      <c r="C13" s="1">
        <f>SIMULIMO!H66</f>
        <v>-19039.710904683277</v>
      </c>
      <c r="D13" s="143">
        <f>SIMULIMO!I65</f>
        <v>6850.3334880224138</v>
      </c>
      <c r="E13" s="1"/>
      <c r="F13" s="1"/>
      <c r="H13" s="1"/>
      <c r="J13" s="1"/>
      <c r="K13" s="1"/>
      <c r="L13" s="1"/>
      <c r="M13" s="1"/>
      <c r="N13" s="1"/>
      <c r="O13" s="1"/>
      <c r="P13" s="1"/>
      <c r="Q13" s="1"/>
      <c r="R13" s="1"/>
      <c r="S13" s="1"/>
      <c r="T13" s="1"/>
      <c r="U13" s="1"/>
      <c r="V13" s="1"/>
      <c r="W13" s="1"/>
      <c r="X13" s="1"/>
      <c r="Y13" s="1"/>
      <c r="Z13" s="1"/>
      <c r="AA13" s="1"/>
      <c r="AB13" s="1"/>
      <c r="AC13" s="1"/>
      <c r="AD13" s="1"/>
      <c r="AE13" s="1"/>
      <c r="AF13" s="1"/>
    </row>
    <row r="14" spans="2:32" x14ac:dyDescent="0.25">
      <c r="B14" s="133">
        <v>3</v>
      </c>
      <c r="C14" s="1">
        <f>SIMULIMO!H66</f>
        <v>-19039.710904683277</v>
      </c>
      <c r="D14" s="1">
        <f>SIMULIMO!I66</f>
        <v>1090.7890953167243</v>
      </c>
      <c r="E14" s="143">
        <f>SIMULIMO!J65</f>
        <v>17058.665781127813</v>
      </c>
      <c r="F14" s="1"/>
      <c r="G14" s="139"/>
      <c r="H14" s="1"/>
      <c r="J14" s="1"/>
      <c r="K14" s="135"/>
      <c r="L14" s="1"/>
      <c r="M14" s="146"/>
      <c r="N14" s="1"/>
      <c r="O14" s="1"/>
      <c r="P14" s="1"/>
      <c r="Q14" s="140"/>
      <c r="R14" s="1"/>
      <c r="S14" s="1"/>
      <c r="T14" s="1"/>
      <c r="U14" s="1"/>
      <c r="V14" s="1"/>
      <c r="W14" s="1"/>
      <c r="X14" s="1"/>
      <c r="Y14" s="1"/>
      <c r="Z14" s="1"/>
      <c r="AA14" s="1"/>
      <c r="AB14" s="1"/>
      <c r="AC14" s="1"/>
      <c r="AD14" s="1"/>
      <c r="AE14" s="1"/>
      <c r="AF14" s="1"/>
    </row>
    <row r="15" spans="2:32" x14ac:dyDescent="0.25">
      <c r="B15" s="133">
        <v>4</v>
      </c>
      <c r="C15" s="1">
        <f>SIMULIMO!H66</f>
        <v>-19039.710904683277</v>
      </c>
      <c r="D15" s="1">
        <f>SIMULIMO!I66</f>
        <v>1090.7890953167243</v>
      </c>
      <c r="E15" s="1">
        <f>SIMULIMO!J66</f>
        <v>1222.5940953167265</v>
      </c>
      <c r="F15" s="143">
        <f>SIMULIMO!K65</f>
        <v>26362.320326328452</v>
      </c>
      <c r="G15" s="1"/>
      <c r="H15" s="1"/>
      <c r="J15" s="1"/>
      <c r="K15" s="139"/>
      <c r="L15" s="1"/>
      <c r="M15" s="1"/>
      <c r="N15" s="1"/>
      <c r="O15" s="1"/>
      <c r="P15" s="1"/>
      <c r="Q15" s="1"/>
      <c r="R15" s="1"/>
      <c r="S15" s="1"/>
      <c r="T15" s="1"/>
      <c r="U15" s="1"/>
      <c r="V15" s="1"/>
      <c r="W15" s="1"/>
      <c r="X15" s="1"/>
      <c r="Y15" s="1"/>
      <c r="Z15" s="1"/>
      <c r="AA15" s="1"/>
      <c r="AB15" s="1"/>
      <c r="AC15" s="1"/>
      <c r="AD15" s="1"/>
      <c r="AE15" s="1"/>
      <c r="AF15" s="1"/>
    </row>
    <row r="16" spans="2:32" x14ac:dyDescent="0.25">
      <c r="B16" s="133">
        <v>5</v>
      </c>
      <c r="C16" s="1">
        <f>SIMULIMO!H66</f>
        <v>-19039.710904683277</v>
      </c>
      <c r="D16" s="1">
        <f>SIMULIMO!I66</f>
        <v>1090.7890953167243</v>
      </c>
      <c r="E16" s="1">
        <f>SIMULIMO!J66</f>
        <v>1222.5940953167265</v>
      </c>
      <c r="F16" s="1">
        <f>SIMULIMO!K66</f>
        <v>1355.7171453167227</v>
      </c>
      <c r="G16" s="143">
        <f>SIMULIMO!L65</f>
        <v>35769.753963476396</v>
      </c>
      <c r="H16" s="1"/>
      <c r="J16" s="135"/>
      <c r="K16" s="1"/>
      <c r="L16" s="1"/>
      <c r="M16" s="1"/>
      <c r="N16" s="1"/>
      <c r="O16" s="1"/>
      <c r="P16" s="1"/>
      <c r="Q16" s="1"/>
      <c r="R16" s="1"/>
      <c r="S16" s="1"/>
      <c r="T16" s="1"/>
      <c r="U16" s="1"/>
      <c r="V16" s="1"/>
      <c r="W16" s="1"/>
      <c r="X16" s="1"/>
      <c r="Y16" s="1"/>
      <c r="Z16" s="1"/>
      <c r="AA16" s="1"/>
      <c r="AB16" s="1"/>
      <c r="AC16" s="1"/>
      <c r="AD16" s="1"/>
      <c r="AE16" s="1"/>
      <c r="AF16" s="1"/>
    </row>
    <row r="17" spans="2:32" x14ac:dyDescent="0.25">
      <c r="B17" s="133">
        <v>6</v>
      </c>
      <c r="C17" s="1">
        <f>SIMULIMO!H66</f>
        <v>-19039.710904683277</v>
      </c>
      <c r="D17" s="1">
        <f>SIMULIMO!I66</f>
        <v>1090.7890953167243</v>
      </c>
      <c r="E17" s="1">
        <f>SIMULIMO!J66</f>
        <v>1222.5940953167265</v>
      </c>
      <c r="F17" s="1">
        <f>SIMULIMO!K66</f>
        <v>1355.7171453167227</v>
      </c>
      <c r="G17" s="1">
        <f>SIMULIMO!L66</f>
        <v>1490.1714258167267</v>
      </c>
      <c r="H17" s="143">
        <f>SIMULIMO!M65+SIMULIMO!M66</f>
        <v>46412.151565288666</v>
      </c>
      <c r="J17" s="1"/>
      <c r="K17" s="1"/>
      <c r="L17" s="1"/>
      <c r="M17" s="1"/>
      <c r="N17" s="1"/>
      <c r="O17" s="1"/>
      <c r="P17" s="1"/>
      <c r="Q17" s="1"/>
      <c r="R17" s="1"/>
      <c r="S17" s="1"/>
      <c r="T17" s="1"/>
      <c r="U17" s="1"/>
      <c r="V17" s="1"/>
      <c r="W17" s="1"/>
      <c r="X17" s="1"/>
      <c r="Y17" s="1"/>
      <c r="Z17" s="1"/>
      <c r="AA17" s="1"/>
      <c r="AB17" s="1"/>
      <c r="AC17" s="1"/>
      <c r="AD17" s="1"/>
      <c r="AE17" s="1"/>
      <c r="AF17" s="1"/>
    </row>
    <row r="18" spans="2:32" x14ac:dyDescent="0.25">
      <c r="B18" s="133">
        <v>7</v>
      </c>
      <c r="C18" s="1">
        <f>SIMULIMO!H66</f>
        <v>-19039.710904683277</v>
      </c>
      <c r="D18" s="1">
        <f>SIMULIMO!I66</f>
        <v>1090.7890953167243</v>
      </c>
      <c r="E18" s="1">
        <f>SIMULIMO!J66</f>
        <v>1222.5940953167265</v>
      </c>
      <c r="F18" s="1">
        <f>SIMULIMO!K66</f>
        <v>1355.7171453167227</v>
      </c>
      <c r="G18" s="1">
        <f>SIMULIMO!L66</f>
        <v>1490.1714258167267</v>
      </c>
      <c r="H18" s="1">
        <f>SIMULIMO!M66</f>
        <v>1625.9702491217233</v>
      </c>
      <c r="I18" s="143">
        <f>SIMULIMO!N65</f>
        <v>52721.880245909299</v>
      </c>
      <c r="J18" s="1"/>
      <c r="K18" s="1"/>
      <c r="L18" s="1"/>
      <c r="M18" s="1"/>
      <c r="N18" s="1"/>
      <c r="O18" s="1"/>
      <c r="P18" s="1"/>
      <c r="Q18" s="1"/>
      <c r="R18" s="1"/>
      <c r="S18" s="1"/>
      <c r="T18" s="1"/>
      <c r="U18" s="1"/>
      <c r="V18" s="1"/>
      <c r="W18" s="1"/>
      <c r="X18" s="1"/>
      <c r="Y18" s="1"/>
      <c r="Z18" s="1"/>
      <c r="AA18" s="1"/>
      <c r="AB18" s="1"/>
      <c r="AC18" s="1"/>
      <c r="AD18" s="1"/>
      <c r="AE18" s="1"/>
      <c r="AF18" s="1"/>
    </row>
    <row r="19" spans="2:32" x14ac:dyDescent="0.25">
      <c r="B19" s="133">
        <v>8</v>
      </c>
      <c r="C19" s="1">
        <f>SIMULIMO!H66</f>
        <v>-19039.710904683277</v>
      </c>
      <c r="D19" s="1">
        <f>SIMULIMO!I66</f>
        <v>1090.7890953167243</v>
      </c>
      <c r="E19" s="1">
        <f>SIMULIMO!J66</f>
        <v>1222.5940953167265</v>
      </c>
      <c r="F19" s="1">
        <f>SIMULIMO!K66</f>
        <v>1355.7171453167227</v>
      </c>
      <c r="G19" s="1">
        <f>SIMULIMO!L66</f>
        <v>1490.1714258167267</v>
      </c>
      <c r="H19" s="1">
        <f>SIMULIMO!M66</f>
        <v>1625.9702491217233</v>
      </c>
      <c r="I19" s="1">
        <f>SIMULIMO!N66</f>
        <v>1763.1270606597784</v>
      </c>
      <c r="J19" s="143">
        <f>SIMULIMO!O65</f>
        <v>60527.540657710138</v>
      </c>
      <c r="K19" s="1"/>
      <c r="L19" s="1"/>
      <c r="M19" s="1"/>
      <c r="N19" s="1"/>
      <c r="O19" s="1"/>
      <c r="P19" s="1"/>
      <c r="Q19" s="1"/>
      <c r="R19" s="1"/>
      <c r="S19" s="1"/>
      <c r="T19" s="1"/>
      <c r="U19" s="1"/>
      <c r="V19" s="1"/>
      <c r="W19" s="1"/>
      <c r="X19" s="1"/>
      <c r="Y19" s="1"/>
      <c r="Z19" s="1"/>
      <c r="AA19" s="1"/>
      <c r="AB19" s="1"/>
      <c r="AC19" s="1"/>
      <c r="AD19" s="1"/>
      <c r="AE19" s="1"/>
      <c r="AF19" s="1"/>
    </row>
    <row r="20" spans="2:32" x14ac:dyDescent="0.25">
      <c r="B20" s="133">
        <v>9</v>
      </c>
      <c r="C20" s="1">
        <f>SIMULIMO!H66</f>
        <v>-19039.710904683277</v>
      </c>
      <c r="D20" s="1">
        <f>SIMULIMO!I66</f>
        <v>1090.7890953167243</v>
      </c>
      <c r="E20" s="1">
        <f>SIMULIMO!J66</f>
        <v>1222.5940953167265</v>
      </c>
      <c r="F20" s="1">
        <f>SIMULIMO!K66</f>
        <v>1355.7171453167227</v>
      </c>
      <c r="G20" s="1">
        <f>SIMULIMO!L66</f>
        <v>1490.1714258167267</v>
      </c>
      <c r="H20" s="1">
        <f>SIMULIMO!M66</f>
        <v>1625.9702491217233</v>
      </c>
      <c r="I20" s="1">
        <f>SIMULIMO!N66</f>
        <v>1763.1270606597784</v>
      </c>
      <c r="J20" s="1">
        <f>SIMULIMO!O66</f>
        <v>1735.8887474322082</v>
      </c>
      <c r="K20" s="143">
        <f>SIMULIMO!P65</f>
        <v>68713.666091869469</v>
      </c>
      <c r="L20" s="1"/>
      <c r="M20" s="1"/>
      <c r="N20" s="1"/>
      <c r="O20" s="1"/>
      <c r="P20" s="1"/>
      <c r="Q20" s="1"/>
      <c r="R20" s="1"/>
      <c r="S20" s="1"/>
      <c r="T20" s="1"/>
      <c r="U20" s="1"/>
      <c r="V20" s="1"/>
      <c r="W20" s="1"/>
      <c r="X20" s="1"/>
      <c r="Y20" s="1"/>
      <c r="Z20" s="1"/>
      <c r="AA20" s="1"/>
      <c r="AB20" s="1"/>
      <c r="AC20" s="1"/>
      <c r="AD20" s="1"/>
      <c r="AE20" s="1"/>
      <c r="AF20" s="1"/>
    </row>
    <row r="21" spans="2:32" x14ac:dyDescent="0.25">
      <c r="B21" s="133">
        <v>10</v>
      </c>
      <c r="C21" s="1">
        <f>SIMULIMO!H66</f>
        <v>-19039.710904683277</v>
      </c>
      <c r="D21" s="1">
        <f>SIMULIMO!I66</f>
        <v>1090.7890953167243</v>
      </c>
      <c r="E21" s="1">
        <f>SIMULIMO!J66</f>
        <v>1222.5940953167265</v>
      </c>
      <c r="F21" s="1">
        <f>SIMULIMO!K66</f>
        <v>1355.7171453167227</v>
      </c>
      <c r="G21" s="1">
        <f>SIMULIMO!L66</f>
        <v>1490.1714258167267</v>
      </c>
      <c r="H21" s="1">
        <f>SIMULIMO!M66</f>
        <v>1625.9702491217233</v>
      </c>
      <c r="I21" s="1">
        <f>SIMULIMO!N66</f>
        <v>1763.1270606597784</v>
      </c>
      <c r="J21" s="1">
        <f>SIMULIMO!O66</f>
        <v>1735.8887474322082</v>
      </c>
      <c r="K21" s="1">
        <f>SIMULIMO!P66</f>
        <v>1503.9806605463946</v>
      </c>
      <c r="L21" s="143">
        <f>SIMULIMO!Q65</f>
        <v>77665.981012027769</v>
      </c>
      <c r="M21" s="1"/>
      <c r="N21" s="1"/>
      <c r="O21" s="1"/>
      <c r="P21" s="1"/>
      <c r="Q21" s="1"/>
      <c r="R21" s="1"/>
      <c r="S21" s="1"/>
      <c r="T21" s="1"/>
      <c r="U21" s="1"/>
      <c r="V21" s="1"/>
      <c r="W21" s="1"/>
      <c r="X21" s="1"/>
      <c r="Y21" s="1"/>
      <c r="Z21" s="1"/>
      <c r="AA21" s="1"/>
      <c r="AB21" s="1"/>
      <c r="AC21" s="1"/>
      <c r="AD21" s="1"/>
      <c r="AE21" s="1"/>
      <c r="AF21" s="1"/>
    </row>
    <row r="22" spans="2:32" x14ac:dyDescent="0.25">
      <c r="B22" s="133">
        <v>11</v>
      </c>
      <c r="C22" s="1">
        <f>SIMULIMO!H66</f>
        <v>-19039.710904683277</v>
      </c>
      <c r="D22" s="1">
        <f>SIMULIMO!I66</f>
        <v>1090.7890953167243</v>
      </c>
      <c r="E22" s="1">
        <f>SIMULIMO!J66</f>
        <v>1222.5940953167265</v>
      </c>
      <c r="F22" s="1">
        <f>SIMULIMO!K66</f>
        <v>1355.7171453167227</v>
      </c>
      <c r="G22" s="1">
        <f>SIMULIMO!L66</f>
        <v>1490.1714258167267</v>
      </c>
      <c r="H22" s="1">
        <f>SIMULIMO!M66</f>
        <v>1625.9702491217233</v>
      </c>
      <c r="I22" s="1">
        <f>SIMULIMO!N66</f>
        <v>1763.1270606597784</v>
      </c>
      <c r="J22" s="1">
        <f>SIMULIMO!O66</f>
        <v>1735.8887474322082</v>
      </c>
      <c r="K22" s="1">
        <f>SIMULIMO!P66</f>
        <v>1503.9806605463946</v>
      </c>
      <c r="L22" s="1">
        <f>SIMULIMO!Q66</f>
        <v>1603.8399959880217</v>
      </c>
      <c r="M22" s="143">
        <f>SIMULIMO!R65</f>
        <v>86768.902517853421</v>
      </c>
      <c r="N22" s="1"/>
      <c r="O22" s="1"/>
      <c r="P22" s="1"/>
      <c r="Q22" s="1"/>
      <c r="R22" s="1"/>
      <c r="S22" s="1"/>
      <c r="T22" s="1"/>
      <c r="U22" s="1"/>
      <c r="V22" s="1"/>
      <c r="W22" s="1"/>
      <c r="X22" s="1"/>
      <c r="Y22" s="1"/>
      <c r="Z22" s="1"/>
      <c r="AA22" s="1"/>
      <c r="AB22" s="1"/>
      <c r="AC22" s="1"/>
      <c r="AD22" s="1"/>
      <c r="AE22" s="1"/>
      <c r="AF22" s="1"/>
    </row>
    <row r="23" spans="2:32" x14ac:dyDescent="0.25">
      <c r="B23" s="133">
        <v>12</v>
      </c>
      <c r="C23" s="1">
        <f>SIMULIMO!H66</f>
        <v>-19039.710904683277</v>
      </c>
      <c r="D23" s="1">
        <f>SIMULIMO!I66</f>
        <v>1090.7890953167243</v>
      </c>
      <c r="E23" s="1">
        <f>SIMULIMO!J66</f>
        <v>1222.5940953167265</v>
      </c>
      <c r="F23" s="1">
        <f>SIMULIMO!K66</f>
        <v>1355.7171453167227</v>
      </c>
      <c r="G23" s="1">
        <f>SIMULIMO!L66</f>
        <v>1490.1714258167267</v>
      </c>
      <c r="H23" s="1">
        <f>SIMULIMO!M66</f>
        <v>1625.9702491217233</v>
      </c>
      <c r="I23" s="1">
        <f>SIMULIMO!N66</f>
        <v>1763.1270606597784</v>
      </c>
      <c r="J23" s="1">
        <f>SIMULIMO!O66</f>
        <v>1735.8887474322082</v>
      </c>
      <c r="K23" s="1">
        <f>SIMULIMO!P66</f>
        <v>1503.9806605463946</v>
      </c>
      <c r="L23" s="1">
        <f>SIMULIMO!Q66</f>
        <v>1603.8399959880217</v>
      </c>
      <c r="M23" s="1">
        <f>SIMULIMO!R66</f>
        <v>1554.6180614281966</v>
      </c>
      <c r="N23" s="143">
        <f>SIMULIMO!S65</f>
        <v>96304.474498964468</v>
      </c>
      <c r="O23" s="1"/>
      <c r="P23" s="1"/>
      <c r="Q23" s="1"/>
      <c r="R23" s="1"/>
      <c r="S23" s="1"/>
      <c r="T23" s="1"/>
      <c r="U23" s="1"/>
      <c r="V23" s="1"/>
      <c r="W23" s="1"/>
      <c r="X23" s="1"/>
      <c r="Y23" s="1"/>
      <c r="Z23" s="1"/>
      <c r="AA23" s="1"/>
      <c r="AB23" s="1"/>
      <c r="AC23" s="1"/>
      <c r="AD23" s="1"/>
      <c r="AE23" s="1"/>
      <c r="AF23" s="1"/>
    </row>
    <row r="24" spans="2:32" x14ac:dyDescent="0.25">
      <c r="B24" s="133">
        <v>13</v>
      </c>
      <c r="C24" s="1">
        <f>SIMULIMO!H66</f>
        <v>-19039.710904683277</v>
      </c>
      <c r="D24" s="1">
        <f>SIMULIMO!I66</f>
        <v>1090.7890953167243</v>
      </c>
      <c r="E24" s="1">
        <f>SIMULIMO!J66</f>
        <v>1222.5940953167265</v>
      </c>
      <c r="F24" s="1">
        <f>SIMULIMO!K66</f>
        <v>1355.7171453167227</v>
      </c>
      <c r="G24" s="1">
        <f>SIMULIMO!L66</f>
        <v>1490.1714258167267</v>
      </c>
      <c r="H24" s="1">
        <f>SIMULIMO!M66</f>
        <v>1625.9702491217233</v>
      </c>
      <c r="I24" s="1">
        <f>SIMULIMO!N66</f>
        <v>1763.1270606597784</v>
      </c>
      <c r="J24" s="1">
        <f>SIMULIMO!O66</f>
        <v>1735.8887474322082</v>
      </c>
      <c r="K24" s="1">
        <f>SIMULIMO!P66</f>
        <v>1503.9806605463946</v>
      </c>
      <c r="L24" s="1">
        <f>SIMULIMO!Q66</f>
        <v>1603.8399959880217</v>
      </c>
      <c r="M24" s="1">
        <f>SIMULIMO!R66</f>
        <v>1554.6180614281966</v>
      </c>
      <c r="N24" s="1">
        <f>SIMULIMO!S66</f>
        <v>1656.322918877559</v>
      </c>
      <c r="O24" s="143">
        <f>SIMULIMO!T65</f>
        <v>105994.76886191062</v>
      </c>
      <c r="P24" s="1"/>
      <c r="Q24" s="1"/>
      <c r="R24" s="1"/>
      <c r="S24" s="1"/>
      <c r="T24" s="1"/>
      <c r="U24" s="1"/>
      <c r="V24" s="1"/>
      <c r="W24" s="1"/>
      <c r="X24" s="1"/>
      <c r="Y24" s="1"/>
      <c r="Z24" s="1"/>
      <c r="AA24" s="1"/>
      <c r="AB24" s="1"/>
      <c r="AC24" s="1"/>
      <c r="AD24" s="1"/>
      <c r="AE24" s="1"/>
      <c r="AF24" s="1"/>
    </row>
    <row r="25" spans="2:32" x14ac:dyDescent="0.25">
      <c r="B25" s="133">
        <v>14</v>
      </c>
      <c r="C25" s="1">
        <f>SIMULIMO!H66</f>
        <v>-19039.710904683277</v>
      </c>
      <c r="D25" s="1">
        <f>SIMULIMO!I66</f>
        <v>1090.7890953167243</v>
      </c>
      <c r="E25" s="1">
        <f>SIMULIMO!J66</f>
        <v>1222.5940953167265</v>
      </c>
      <c r="F25" s="1">
        <f>SIMULIMO!K66</f>
        <v>1355.7171453167227</v>
      </c>
      <c r="G25" s="1">
        <f>SIMULIMO!L66</f>
        <v>1490.1714258167267</v>
      </c>
      <c r="H25" s="1">
        <f>SIMULIMO!M66</f>
        <v>1625.9702491217233</v>
      </c>
      <c r="I25" s="1">
        <f>SIMULIMO!N66</f>
        <v>1763.1270606597784</v>
      </c>
      <c r="J25" s="1">
        <f>SIMULIMO!O66</f>
        <v>1735.8887474322082</v>
      </c>
      <c r="K25" s="1">
        <f>SIMULIMO!P66</f>
        <v>1503.9806605463946</v>
      </c>
      <c r="L25" s="1">
        <f>SIMULIMO!Q66</f>
        <v>1603.8399959880217</v>
      </c>
      <c r="M25" s="1">
        <f>SIMULIMO!R66</f>
        <v>1554.6180614281966</v>
      </c>
      <c r="N25" s="1">
        <f>SIMULIMO!S66</f>
        <v>1656.322918877559</v>
      </c>
      <c r="O25" s="1">
        <f>SIMULIMO!T66</f>
        <v>1758.9626951113187</v>
      </c>
      <c r="P25" s="143">
        <f>SIMULIMO!U65</f>
        <v>115841.88591711853</v>
      </c>
      <c r="Q25" s="1"/>
      <c r="R25" s="1"/>
      <c r="S25" s="1"/>
      <c r="T25" s="1"/>
      <c r="U25" s="1"/>
      <c r="V25" s="1"/>
      <c r="W25" s="1"/>
      <c r="X25" s="1"/>
      <c r="Y25" s="1"/>
      <c r="Z25" s="1"/>
      <c r="AA25" s="1"/>
      <c r="AB25" s="1"/>
      <c r="AC25" s="1"/>
      <c r="AD25" s="1"/>
      <c r="AE25" s="1"/>
      <c r="AF25" s="1"/>
    </row>
    <row r="26" spans="2:32" x14ac:dyDescent="0.25">
      <c r="B26" s="133">
        <v>15</v>
      </c>
      <c r="C26" s="1">
        <f>SIMULIMO!H66</f>
        <v>-19039.710904683277</v>
      </c>
      <c r="D26" s="1">
        <f>SIMULIMO!I66</f>
        <v>1090.7890953167243</v>
      </c>
      <c r="E26" s="1">
        <f>SIMULIMO!J66</f>
        <v>1222.5940953167265</v>
      </c>
      <c r="F26" s="1">
        <f>SIMULIMO!K66</f>
        <v>1355.7171453167227</v>
      </c>
      <c r="G26" s="1">
        <f>SIMULIMO!L66</f>
        <v>1490.1714258167267</v>
      </c>
      <c r="H26" s="1">
        <f>SIMULIMO!M66</f>
        <v>1625.9702491217233</v>
      </c>
      <c r="I26" s="1">
        <f>SIMULIMO!N66</f>
        <v>1763.1270606597784</v>
      </c>
      <c r="J26" s="1">
        <f>SIMULIMO!O66</f>
        <v>1735.8887474322082</v>
      </c>
      <c r="K26" s="1">
        <f>SIMULIMO!P66</f>
        <v>1503.9806605463946</v>
      </c>
      <c r="L26" s="1">
        <f>SIMULIMO!Q66</f>
        <v>1603.8399959880217</v>
      </c>
      <c r="M26" s="1">
        <f>SIMULIMO!R66</f>
        <v>1554.6180614281966</v>
      </c>
      <c r="N26" s="1">
        <f>SIMULIMO!S66</f>
        <v>1656.322918877559</v>
      </c>
      <c r="O26" s="1">
        <f>SIMULIMO!T66</f>
        <v>1758.9626951113187</v>
      </c>
      <c r="P26" s="1">
        <f>SIMULIMO!U66</f>
        <v>1862.5455820935003</v>
      </c>
      <c r="Q26" s="143">
        <f>SIMULIMO!V65</f>
        <v>125847.95477121091</v>
      </c>
      <c r="R26" s="1"/>
      <c r="S26" s="1"/>
      <c r="T26" s="1"/>
      <c r="U26" s="1"/>
      <c r="V26" s="1"/>
      <c r="W26" s="1"/>
      <c r="X26" s="1"/>
      <c r="Y26" s="1"/>
      <c r="Z26" s="1"/>
      <c r="AA26" s="1"/>
      <c r="AB26" s="1"/>
      <c r="AC26" s="1"/>
      <c r="AD26" s="1"/>
      <c r="AE26" s="1"/>
      <c r="AF26" s="1"/>
    </row>
    <row r="27" spans="2:32" x14ac:dyDescent="0.25">
      <c r="B27" s="133">
        <v>16</v>
      </c>
      <c r="C27" s="1">
        <f>SIMULIMO!H66</f>
        <v>-19039.710904683277</v>
      </c>
      <c r="D27" s="1">
        <f>SIMULIMO!I66</f>
        <v>1090.7890953167243</v>
      </c>
      <c r="E27" s="1">
        <f>SIMULIMO!J66</f>
        <v>1222.5940953167265</v>
      </c>
      <c r="F27" s="1">
        <f>SIMULIMO!K66</f>
        <v>1355.7171453167227</v>
      </c>
      <c r="G27" s="1">
        <f>SIMULIMO!L66</f>
        <v>1490.1714258167267</v>
      </c>
      <c r="H27" s="1">
        <f>SIMULIMO!M66</f>
        <v>1625.9702491217233</v>
      </c>
      <c r="I27" s="1">
        <f>SIMULIMO!N66</f>
        <v>1763.1270606597784</v>
      </c>
      <c r="J27" s="1">
        <f>SIMULIMO!O66</f>
        <v>1735.8887474322082</v>
      </c>
      <c r="K27" s="1">
        <f>SIMULIMO!P66</f>
        <v>1503.9806605463946</v>
      </c>
      <c r="L27" s="1">
        <f>SIMULIMO!Q66</f>
        <v>1603.8399959880217</v>
      </c>
      <c r="M27" s="1">
        <f>SIMULIMO!R66</f>
        <v>1554.6180614281966</v>
      </c>
      <c r="N27" s="1">
        <f>SIMULIMO!S66</f>
        <v>1656.322918877559</v>
      </c>
      <c r="O27" s="1">
        <f>SIMULIMO!T66</f>
        <v>1758.9626951113187</v>
      </c>
      <c r="P27" s="1">
        <f>SIMULIMO!U66</f>
        <v>1862.5455820935003</v>
      </c>
      <c r="Q27" s="1">
        <f>SIMULIMO!V66</f>
        <v>1967.0798374022679</v>
      </c>
      <c r="R27" s="143">
        <f>SIMULIMO!W65</f>
        <v>136015.1337247749</v>
      </c>
      <c r="S27" s="1"/>
      <c r="T27" s="1"/>
      <c r="U27" s="1"/>
      <c r="V27" s="1"/>
      <c r="W27" s="1"/>
      <c r="X27" s="1"/>
      <c r="Y27" s="1"/>
      <c r="Z27" s="1"/>
      <c r="AA27" s="1"/>
      <c r="AB27" s="1"/>
      <c r="AC27" s="1"/>
      <c r="AD27" s="1"/>
      <c r="AE27" s="1"/>
      <c r="AF27" s="1"/>
    </row>
    <row r="28" spans="2:32" x14ac:dyDescent="0.25">
      <c r="B28" s="133">
        <v>17</v>
      </c>
      <c r="C28" s="1">
        <f>SIMULIMO!H66</f>
        <v>-19039.710904683277</v>
      </c>
      <c r="D28" s="1">
        <f>SIMULIMO!I66</f>
        <v>1090.7890953167243</v>
      </c>
      <c r="E28" s="1">
        <f>SIMULIMO!J66</f>
        <v>1222.5940953167265</v>
      </c>
      <c r="F28" s="1">
        <f>SIMULIMO!K66</f>
        <v>1355.7171453167227</v>
      </c>
      <c r="G28" s="1">
        <f>SIMULIMO!L66</f>
        <v>1490.1714258167267</v>
      </c>
      <c r="H28" s="1">
        <f>SIMULIMO!M66</f>
        <v>1625.9702491217233</v>
      </c>
      <c r="I28" s="1">
        <f>SIMULIMO!N66</f>
        <v>1763.1270606597784</v>
      </c>
      <c r="J28" s="1">
        <f>SIMULIMO!O66</f>
        <v>1735.8887474322082</v>
      </c>
      <c r="K28" s="1">
        <f>SIMULIMO!P66</f>
        <v>1503.9806605463946</v>
      </c>
      <c r="L28" s="1">
        <f>SIMULIMO!Q66</f>
        <v>1603.8399959880217</v>
      </c>
      <c r="M28" s="1">
        <f>SIMULIMO!R66</f>
        <v>1554.6180614281966</v>
      </c>
      <c r="N28" s="1">
        <f>SIMULIMO!S66</f>
        <v>1656.322918877559</v>
      </c>
      <c r="O28" s="1">
        <f>SIMULIMO!T66</f>
        <v>1758.9626951113187</v>
      </c>
      <c r="P28" s="1">
        <f>SIMULIMO!U66</f>
        <v>1862.5455820935003</v>
      </c>
      <c r="Q28" s="1">
        <f>SIMULIMO!V66</f>
        <v>1967.0798374022679</v>
      </c>
      <c r="R28" s="1">
        <f>SIMULIMO!W66</f>
        <v>2072.5737846563247</v>
      </c>
      <c r="S28" s="143">
        <f>SIMULIMO!X65</f>
        <v>146345.61067565446</v>
      </c>
      <c r="T28" s="1"/>
      <c r="U28" s="1"/>
      <c r="V28" s="1"/>
      <c r="W28" s="1"/>
      <c r="X28" s="1"/>
      <c r="Y28" s="1"/>
      <c r="Z28" s="1"/>
      <c r="AA28" s="1"/>
      <c r="AB28" s="1"/>
      <c r="AC28" s="1"/>
      <c r="AD28" s="1"/>
      <c r="AE28" s="1"/>
      <c r="AF28" s="1"/>
    </row>
    <row r="29" spans="2:32" x14ac:dyDescent="0.25">
      <c r="B29" s="133">
        <v>18</v>
      </c>
      <c r="C29" s="1">
        <f>SIMULIMO!H66</f>
        <v>-19039.710904683277</v>
      </c>
      <c r="D29" s="1">
        <f>SIMULIMO!I66</f>
        <v>1090.7890953167243</v>
      </c>
      <c r="E29" s="1">
        <f>SIMULIMO!J66</f>
        <v>1222.5940953167265</v>
      </c>
      <c r="F29" s="1">
        <f>SIMULIMO!K66</f>
        <v>1355.7171453167227</v>
      </c>
      <c r="G29" s="1">
        <f>SIMULIMO!L66</f>
        <v>1490.1714258167267</v>
      </c>
      <c r="H29" s="1">
        <f>SIMULIMO!M66</f>
        <v>1625.9702491217233</v>
      </c>
      <c r="I29" s="1">
        <f>SIMULIMO!N66</f>
        <v>1763.1270606597784</v>
      </c>
      <c r="J29" s="1">
        <f>SIMULIMO!O66</f>
        <v>1735.8887474322082</v>
      </c>
      <c r="K29" s="1">
        <f>SIMULIMO!P66</f>
        <v>1503.9806605463946</v>
      </c>
      <c r="L29" s="1">
        <f>SIMULIMO!Q66</f>
        <v>1603.8399959880217</v>
      </c>
      <c r="M29" s="1">
        <f>SIMULIMO!R66</f>
        <v>1554.6180614281966</v>
      </c>
      <c r="N29" s="1">
        <f>SIMULIMO!S66</f>
        <v>1656.322918877559</v>
      </c>
      <c r="O29" s="1">
        <f>SIMULIMO!T66</f>
        <v>1758.9626951113187</v>
      </c>
      <c r="P29" s="1">
        <f>SIMULIMO!U66</f>
        <v>1862.5455820935003</v>
      </c>
      <c r="Q29" s="1">
        <f>SIMULIMO!V66</f>
        <v>1967.0798374022679</v>
      </c>
      <c r="R29" s="1">
        <f>SIMULIMO!W66</f>
        <v>2072.5737846563247</v>
      </c>
      <c r="S29" s="1">
        <f>SIMULIMO!X66</f>
        <v>2179.0358139423383</v>
      </c>
      <c r="T29" s="143">
        <f>SIMULIMO!Y65</f>
        <v>156841.60352784567</v>
      </c>
      <c r="U29" s="1"/>
      <c r="V29" s="1"/>
      <c r="W29" s="1"/>
      <c r="X29" s="1"/>
      <c r="Y29" s="1"/>
      <c r="Z29" s="1"/>
      <c r="AA29" s="1"/>
      <c r="AB29" s="1"/>
      <c r="AC29" s="1"/>
      <c r="AD29" s="1"/>
      <c r="AE29" s="1"/>
      <c r="AF29" s="1"/>
    </row>
    <row r="30" spans="2:32" x14ac:dyDescent="0.25">
      <c r="B30" s="133">
        <v>19</v>
      </c>
      <c r="C30" s="1">
        <f>SIMULIMO!H66</f>
        <v>-19039.710904683277</v>
      </c>
      <c r="D30" s="1">
        <f>SIMULIMO!I66</f>
        <v>1090.7890953167243</v>
      </c>
      <c r="E30" s="1">
        <f>SIMULIMO!J66</f>
        <v>1222.5940953167265</v>
      </c>
      <c r="F30" s="1">
        <f>SIMULIMO!K66</f>
        <v>1355.7171453167227</v>
      </c>
      <c r="G30" s="1">
        <f>SIMULIMO!L66</f>
        <v>1490.1714258167267</v>
      </c>
      <c r="H30" s="1">
        <f>SIMULIMO!M66</f>
        <v>1625.9702491217233</v>
      </c>
      <c r="I30" s="1">
        <f>SIMULIMO!N66</f>
        <v>1763.1270606597784</v>
      </c>
      <c r="J30" s="1">
        <f>SIMULIMO!O66</f>
        <v>1735.8887474322082</v>
      </c>
      <c r="K30" s="1">
        <f>SIMULIMO!P66</f>
        <v>1503.9806605463946</v>
      </c>
      <c r="L30" s="1">
        <f>SIMULIMO!Q66</f>
        <v>1603.8399959880217</v>
      </c>
      <c r="M30" s="1">
        <f>SIMULIMO!R66</f>
        <v>1554.6180614281966</v>
      </c>
      <c r="N30" s="1">
        <f>SIMULIMO!S66</f>
        <v>1656.322918877559</v>
      </c>
      <c r="O30" s="1">
        <f>SIMULIMO!T66</f>
        <v>1758.9626951113187</v>
      </c>
      <c r="P30" s="1">
        <f>SIMULIMO!U66</f>
        <v>1862.5455820935003</v>
      </c>
      <c r="Q30" s="1">
        <f>SIMULIMO!V66</f>
        <v>1967.0798374022679</v>
      </c>
      <c r="R30" s="1">
        <f>SIMULIMO!W66</f>
        <v>2072.5737846563247</v>
      </c>
      <c r="S30" s="1">
        <f>SIMULIMO!X66</f>
        <v>2179.0358139423383</v>
      </c>
      <c r="T30" s="1">
        <f>SIMULIMO!Y66</f>
        <v>2286.4743822433347</v>
      </c>
      <c r="U30" s="143">
        <f>SIMULIMO!Z65</f>
        <v>167505.36060607142</v>
      </c>
      <c r="V30" s="1"/>
      <c r="W30" s="1"/>
      <c r="X30" s="1"/>
      <c r="Y30" s="1"/>
      <c r="Z30" s="1"/>
      <c r="AA30" s="1"/>
      <c r="AB30" s="1"/>
      <c r="AC30" s="1"/>
      <c r="AD30" s="1"/>
      <c r="AE30" s="1"/>
      <c r="AF30" s="1"/>
    </row>
    <row r="31" spans="2:32" x14ac:dyDescent="0.25">
      <c r="B31" s="133">
        <v>20</v>
      </c>
      <c r="C31" s="1">
        <f>SIMULIMO!H66</f>
        <v>-19039.710904683277</v>
      </c>
      <c r="D31" s="1">
        <f>SIMULIMO!I66</f>
        <v>1090.7890953167243</v>
      </c>
      <c r="E31" s="1">
        <f>SIMULIMO!J66</f>
        <v>1222.5940953167265</v>
      </c>
      <c r="F31" s="1">
        <f>SIMULIMO!K66</f>
        <v>1355.7171453167227</v>
      </c>
      <c r="G31" s="1">
        <f>SIMULIMO!L66</f>
        <v>1490.1714258167267</v>
      </c>
      <c r="H31" s="1">
        <f>SIMULIMO!M66</f>
        <v>1625.9702491217233</v>
      </c>
      <c r="I31" s="1">
        <f>SIMULIMO!N66</f>
        <v>1763.1270606597784</v>
      </c>
      <c r="J31" s="1">
        <f>SIMULIMO!O66</f>
        <v>1735.8887474322082</v>
      </c>
      <c r="K31" s="1">
        <f>SIMULIMO!P66</f>
        <v>1503.9806605463946</v>
      </c>
      <c r="L31" s="1">
        <f>SIMULIMO!Q66</f>
        <v>1603.8399959880217</v>
      </c>
      <c r="M31" s="1">
        <f>SIMULIMO!R66</f>
        <v>1554.6180614281966</v>
      </c>
      <c r="N31" s="1">
        <f>SIMULIMO!S66</f>
        <v>1656.322918877559</v>
      </c>
      <c r="O31" s="1">
        <f>SIMULIMO!T66</f>
        <v>1758.9626951113187</v>
      </c>
      <c r="P31" s="1">
        <f>SIMULIMO!U66</f>
        <v>1862.5455820935003</v>
      </c>
      <c r="Q31" s="1">
        <f>SIMULIMO!V66</f>
        <v>1967.0798374022679</v>
      </c>
      <c r="R31" s="1">
        <f>SIMULIMO!W66</f>
        <v>2072.5737846563247</v>
      </c>
      <c r="S31" s="1">
        <f>SIMULIMO!X66</f>
        <v>2179.0358139423383</v>
      </c>
      <c r="T31" s="1">
        <f>SIMULIMO!Y66</f>
        <v>2286.4743822433347</v>
      </c>
      <c r="U31" s="1">
        <f>SIMULIMO!Z66</f>
        <v>2394.898013868099</v>
      </c>
      <c r="V31" s="143">
        <f>SIMULIMO!AA65</f>
        <v>178339.16107611553</v>
      </c>
      <c r="W31" s="1"/>
      <c r="X31" s="1"/>
      <c r="Y31" s="1"/>
      <c r="Z31" s="1"/>
      <c r="AA31" s="1"/>
      <c r="AB31" s="1"/>
      <c r="AC31" s="1"/>
      <c r="AD31" s="1"/>
      <c r="AE31" s="1"/>
      <c r="AF31" s="1"/>
    </row>
    <row r="32" spans="2:32" x14ac:dyDescent="0.25">
      <c r="B32" s="133">
        <v>21</v>
      </c>
      <c r="C32" s="1">
        <f>SIMULIMO!H66</f>
        <v>-19039.710904683277</v>
      </c>
      <c r="D32" s="1">
        <f>SIMULIMO!I66</f>
        <v>1090.7890953167243</v>
      </c>
      <c r="E32" s="1">
        <f>SIMULIMO!J66</f>
        <v>1222.5940953167265</v>
      </c>
      <c r="F32" s="1">
        <f>SIMULIMO!K66</f>
        <v>1355.7171453167227</v>
      </c>
      <c r="G32" s="1">
        <f>SIMULIMO!L66</f>
        <v>1490.1714258167267</v>
      </c>
      <c r="H32" s="1">
        <f>SIMULIMO!M66</f>
        <v>1625.9702491217233</v>
      </c>
      <c r="I32" s="1">
        <f>SIMULIMO!N66</f>
        <v>1763.1270606597784</v>
      </c>
      <c r="J32" s="1">
        <f>SIMULIMO!O66</f>
        <v>1735.8887474322082</v>
      </c>
      <c r="K32" s="1">
        <f>SIMULIMO!P66</f>
        <v>1503.9806605463946</v>
      </c>
      <c r="L32" s="1">
        <f>SIMULIMO!Q66</f>
        <v>1603.8399959880217</v>
      </c>
      <c r="M32" s="1">
        <f>SIMULIMO!R66</f>
        <v>1554.6180614281966</v>
      </c>
      <c r="N32" s="1">
        <f>SIMULIMO!S66</f>
        <v>1656.322918877559</v>
      </c>
      <c r="O32" s="1">
        <f>SIMULIMO!T66</f>
        <v>1758.9626951113187</v>
      </c>
      <c r="P32" s="1">
        <f>SIMULIMO!U66</f>
        <v>1862.5455820935003</v>
      </c>
      <c r="Q32" s="1">
        <f>SIMULIMO!V66</f>
        <v>1967.0798374022679</v>
      </c>
      <c r="R32" s="1">
        <f>SIMULIMO!W66</f>
        <v>2072.5737846563247</v>
      </c>
      <c r="S32" s="1">
        <f>SIMULIMO!X66</f>
        <v>2179.0358139423383</v>
      </c>
      <c r="T32" s="1">
        <f>SIMULIMO!Y66</f>
        <v>2286.4743822433347</v>
      </c>
      <c r="U32" s="1">
        <f>SIMULIMO!Z66</f>
        <v>2394.898013868099</v>
      </c>
      <c r="V32" s="1">
        <f>SIMULIMO!AA66</f>
        <v>2504.3153008814129</v>
      </c>
      <c r="W32" s="143">
        <f>SIMULIMO!AB65</f>
        <v>189345.3153709966</v>
      </c>
      <c r="X32" s="1"/>
      <c r="Y32" s="1"/>
      <c r="Z32" s="1"/>
      <c r="AA32" s="1"/>
      <c r="AB32" s="1"/>
      <c r="AC32" s="1"/>
      <c r="AD32" s="1"/>
      <c r="AE32" s="1"/>
      <c r="AF32" s="1"/>
    </row>
    <row r="33" spans="2:32" x14ac:dyDescent="0.25">
      <c r="B33" s="133">
        <v>22</v>
      </c>
      <c r="C33" s="1">
        <f>SIMULIMO!H66</f>
        <v>-19039.710904683277</v>
      </c>
      <c r="D33" s="1">
        <f>SIMULIMO!I66</f>
        <v>1090.7890953167243</v>
      </c>
      <c r="E33" s="1">
        <f>SIMULIMO!J66</f>
        <v>1222.5940953167265</v>
      </c>
      <c r="F33" s="1">
        <f>SIMULIMO!K66</f>
        <v>1355.7171453167227</v>
      </c>
      <c r="G33" s="1">
        <f>SIMULIMO!L66</f>
        <v>1490.1714258167267</v>
      </c>
      <c r="H33" s="1">
        <f>SIMULIMO!M66</f>
        <v>1625.9702491217233</v>
      </c>
      <c r="I33" s="1">
        <f>SIMULIMO!N66</f>
        <v>1763.1270606597784</v>
      </c>
      <c r="J33" s="1">
        <f>SIMULIMO!O66</f>
        <v>1735.8887474322082</v>
      </c>
      <c r="K33" s="1">
        <f>SIMULIMO!P66</f>
        <v>1503.9806605463946</v>
      </c>
      <c r="L33" s="1">
        <f>SIMULIMO!Q66</f>
        <v>1603.8399959880217</v>
      </c>
      <c r="M33" s="1">
        <f>SIMULIMO!R66</f>
        <v>1554.6180614281966</v>
      </c>
      <c r="N33" s="1">
        <f>SIMULIMO!S66</f>
        <v>1656.322918877559</v>
      </c>
      <c r="O33" s="1">
        <f>SIMULIMO!T66</f>
        <v>1758.9626951113187</v>
      </c>
      <c r="P33" s="1">
        <f>SIMULIMO!U66</f>
        <v>1862.5455820935003</v>
      </c>
      <c r="Q33" s="1">
        <f>SIMULIMO!V66</f>
        <v>1967.0798374022679</v>
      </c>
      <c r="R33" s="1">
        <f>SIMULIMO!W66</f>
        <v>2072.5737846563247</v>
      </c>
      <c r="S33" s="1">
        <f>SIMULIMO!X66</f>
        <v>2179.0358139423383</v>
      </c>
      <c r="T33" s="1">
        <f>SIMULIMO!Y66</f>
        <v>2286.4743822433347</v>
      </c>
      <c r="U33" s="1">
        <f>SIMULIMO!Z66</f>
        <v>2394.898013868099</v>
      </c>
      <c r="V33" s="1">
        <f>SIMULIMO!AA66</f>
        <v>2504.3153008814129</v>
      </c>
      <c r="W33" s="1">
        <f>SIMULIMO!AB66</f>
        <v>2614.734903535269</v>
      </c>
      <c r="X33" s="143">
        <f>SIMULIMO!AC65</f>
        <v>200526.16562306281</v>
      </c>
      <c r="Y33" s="1"/>
      <c r="Z33" s="1"/>
      <c r="AA33" s="1"/>
      <c r="AB33" s="1"/>
      <c r="AC33" s="1"/>
      <c r="AD33" s="1"/>
      <c r="AE33" s="1"/>
      <c r="AF33" s="1"/>
    </row>
    <row r="34" spans="2:32" x14ac:dyDescent="0.25">
      <c r="B34" s="133">
        <v>23</v>
      </c>
      <c r="C34" s="1">
        <f>SIMULIMO!H66</f>
        <v>-19039.710904683277</v>
      </c>
      <c r="D34" s="1">
        <f>SIMULIMO!I66</f>
        <v>1090.7890953167243</v>
      </c>
      <c r="E34" s="1">
        <f>SIMULIMO!J66</f>
        <v>1222.5940953167265</v>
      </c>
      <c r="F34" s="1">
        <f>SIMULIMO!K66</f>
        <v>1355.7171453167227</v>
      </c>
      <c r="G34" s="1">
        <f>SIMULIMO!L66</f>
        <v>1490.1714258167267</v>
      </c>
      <c r="H34" s="1">
        <f>SIMULIMO!M66</f>
        <v>1625.9702491217233</v>
      </c>
      <c r="I34" s="1">
        <f>SIMULIMO!N66</f>
        <v>1763.1270606597784</v>
      </c>
      <c r="J34" s="1">
        <f>SIMULIMO!O66</f>
        <v>1735.8887474322082</v>
      </c>
      <c r="K34" s="1">
        <f>SIMULIMO!P66</f>
        <v>1503.9806605463946</v>
      </c>
      <c r="L34" s="1">
        <f>SIMULIMO!Q66</f>
        <v>1603.8399959880217</v>
      </c>
      <c r="M34" s="1">
        <f>SIMULIMO!R66</f>
        <v>1554.6180614281966</v>
      </c>
      <c r="N34" s="1">
        <f>SIMULIMO!S66</f>
        <v>1656.322918877559</v>
      </c>
      <c r="O34" s="1">
        <f>SIMULIMO!T66</f>
        <v>1758.9626951113187</v>
      </c>
      <c r="P34" s="1">
        <f>SIMULIMO!U66</f>
        <v>1862.5455820935003</v>
      </c>
      <c r="Q34" s="1">
        <f>SIMULIMO!V66</f>
        <v>1967.0798374022679</v>
      </c>
      <c r="R34" s="1">
        <f>SIMULIMO!W66</f>
        <v>2072.5737846563247</v>
      </c>
      <c r="S34" s="1">
        <f>SIMULIMO!X66</f>
        <v>2179.0358139423383</v>
      </c>
      <c r="T34" s="1">
        <f>SIMULIMO!Y66</f>
        <v>2286.4743822433347</v>
      </c>
      <c r="U34" s="1">
        <f>SIMULIMO!Z66</f>
        <v>2394.898013868099</v>
      </c>
      <c r="V34" s="1">
        <f>SIMULIMO!AA66</f>
        <v>2504.3153008814129</v>
      </c>
      <c r="W34" s="1">
        <f>SIMULIMO!AB66</f>
        <v>2614.734903535269</v>
      </c>
      <c r="X34" s="1">
        <f>SIMULIMO!AC66</f>
        <v>2726.165550700839</v>
      </c>
      <c r="Y34" s="143">
        <f>SIMULIMO!AD65</f>
        <v>211884.08610209002</v>
      </c>
      <c r="Z34" s="1"/>
      <c r="AA34" s="1"/>
      <c r="AB34" s="1"/>
      <c r="AC34" s="1"/>
      <c r="AD34" s="1"/>
      <c r="AE34" s="1"/>
      <c r="AF34" s="1"/>
    </row>
    <row r="35" spans="2:32" x14ac:dyDescent="0.25">
      <c r="B35" s="133">
        <v>24</v>
      </c>
      <c r="C35" s="1">
        <f>SIMULIMO!H66</f>
        <v>-19039.710904683277</v>
      </c>
      <c r="D35" s="1">
        <f>SIMULIMO!I66</f>
        <v>1090.7890953167243</v>
      </c>
      <c r="E35" s="1">
        <f>SIMULIMO!J66</f>
        <v>1222.5940953167265</v>
      </c>
      <c r="F35" s="1">
        <f>SIMULIMO!K66</f>
        <v>1355.7171453167227</v>
      </c>
      <c r="G35" s="1">
        <f>SIMULIMO!L66</f>
        <v>1490.1714258167267</v>
      </c>
      <c r="H35" s="1">
        <f>SIMULIMO!M66</f>
        <v>1625.9702491217233</v>
      </c>
      <c r="I35" s="1">
        <f>SIMULIMO!N66</f>
        <v>1763.1270606597784</v>
      </c>
      <c r="J35" s="1">
        <f>SIMULIMO!O66</f>
        <v>1735.8887474322082</v>
      </c>
      <c r="K35" s="1">
        <f>SIMULIMO!P66</f>
        <v>1503.9806605463946</v>
      </c>
      <c r="L35" s="1">
        <f>SIMULIMO!Q66</f>
        <v>1603.8399959880217</v>
      </c>
      <c r="M35" s="1">
        <f>SIMULIMO!R66</f>
        <v>1554.6180614281966</v>
      </c>
      <c r="N35" s="1">
        <f>SIMULIMO!S66</f>
        <v>1656.322918877559</v>
      </c>
      <c r="O35" s="1">
        <f>SIMULIMO!T66</f>
        <v>1758.9626951113187</v>
      </c>
      <c r="P35" s="1">
        <f>SIMULIMO!U66</f>
        <v>1862.5455820935003</v>
      </c>
      <c r="Q35" s="1">
        <f>SIMULIMO!V66</f>
        <v>1967.0798374022679</v>
      </c>
      <c r="R35" s="1">
        <f>SIMULIMO!W66</f>
        <v>2072.5737846563247</v>
      </c>
      <c r="S35" s="1">
        <f>SIMULIMO!X66</f>
        <v>2179.0358139423383</v>
      </c>
      <c r="T35" s="1">
        <f>SIMULIMO!Y66</f>
        <v>2286.4743822433347</v>
      </c>
      <c r="U35" s="1">
        <f>SIMULIMO!Z66</f>
        <v>2394.898013868099</v>
      </c>
      <c r="V35" s="1">
        <f>SIMULIMO!AA66</f>
        <v>2504.3153008814129</v>
      </c>
      <c r="W35" s="1">
        <f>SIMULIMO!AB66</f>
        <v>2614.734903535269</v>
      </c>
      <c r="X35" s="1">
        <f>SIMULIMO!AC66</f>
        <v>2726.165550700839</v>
      </c>
      <c r="Y35" s="1">
        <f>SIMULIMO!AD66</f>
        <v>2838.6160403013</v>
      </c>
      <c r="Z35" s="143">
        <f>SIMULIMO!AE65</f>
        <v>223421.4836594681</v>
      </c>
      <c r="AA35" s="1"/>
      <c r="AB35" s="1"/>
      <c r="AC35" s="1"/>
      <c r="AD35" s="1"/>
      <c r="AE35" s="1"/>
      <c r="AF35" s="1"/>
    </row>
    <row r="36" spans="2:32" x14ac:dyDescent="0.25">
      <c r="B36" s="133">
        <v>25</v>
      </c>
      <c r="C36" s="1">
        <f>SIMULIMO!H66</f>
        <v>-19039.710904683277</v>
      </c>
      <c r="D36" s="1">
        <f>SIMULIMO!I66</f>
        <v>1090.7890953167243</v>
      </c>
      <c r="E36" s="1">
        <f>SIMULIMO!J66</f>
        <v>1222.5940953167265</v>
      </c>
      <c r="F36" s="1">
        <f>SIMULIMO!K66</f>
        <v>1355.7171453167227</v>
      </c>
      <c r="G36" s="1">
        <f>SIMULIMO!L66</f>
        <v>1490.1714258167267</v>
      </c>
      <c r="H36" s="1">
        <f>SIMULIMO!M66</f>
        <v>1625.9702491217233</v>
      </c>
      <c r="I36" s="1">
        <f>SIMULIMO!N66</f>
        <v>1763.1270606597784</v>
      </c>
      <c r="J36" s="1">
        <f>SIMULIMO!O66</f>
        <v>1735.8887474322082</v>
      </c>
      <c r="K36" s="1">
        <f>SIMULIMO!P66</f>
        <v>1503.9806605463946</v>
      </c>
      <c r="L36" s="1">
        <f>SIMULIMO!Q66</f>
        <v>1603.8399959880217</v>
      </c>
      <c r="M36" s="1">
        <f>SIMULIMO!R66</f>
        <v>1554.6180614281966</v>
      </c>
      <c r="N36" s="1">
        <f>SIMULIMO!S66</f>
        <v>1656.322918877559</v>
      </c>
      <c r="O36" s="1">
        <f>SIMULIMO!T66</f>
        <v>1758.9626951113187</v>
      </c>
      <c r="P36" s="1">
        <f>SIMULIMO!U66</f>
        <v>1862.5455820935003</v>
      </c>
      <c r="Q36" s="1">
        <f>SIMULIMO!V66</f>
        <v>1967.0798374022679</v>
      </c>
      <c r="R36" s="1">
        <f>SIMULIMO!W66</f>
        <v>2072.5737846563247</v>
      </c>
      <c r="S36" s="1">
        <f>SIMULIMO!X66</f>
        <v>2179.0358139423383</v>
      </c>
      <c r="T36" s="1">
        <f>SIMULIMO!Y66</f>
        <v>2286.4743822433347</v>
      </c>
      <c r="U36" s="1">
        <f>SIMULIMO!Z66</f>
        <v>2394.898013868099</v>
      </c>
      <c r="V36" s="1">
        <f>SIMULIMO!AA66</f>
        <v>2504.3153008814129</v>
      </c>
      <c r="W36" s="1">
        <f>SIMULIMO!AB66</f>
        <v>2614.734903535269</v>
      </c>
      <c r="X36" s="1">
        <f>SIMULIMO!AC66</f>
        <v>2726.165550700839</v>
      </c>
      <c r="Y36" s="1">
        <f>SIMULIMO!AD66</f>
        <v>2838.6160403013</v>
      </c>
      <c r="Z36" s="1">
        <f>SIMULIMO!AE66</f>
        <v>2952.0952397453652</v>
      </c>
      <c r="AA36" s="143">
        <f>SIMULIMO!AF65</f>
        <v>235140.79817855859</v>
      </c>
      <c r="AB36" s="1"/>
      <c r="AC36" s="1"/>
      <c r="AD36" s="1"/>
      <c r="AE36" s="1"/>
      <c r="AF36" s="1"/>
    </row>
    <row r="37" spans="2:32" x14ac:dyDescent="0.25">
      <c r="B37" s="133">
        <v>26</v>
      </c>
      <c r="C37" s="1">
        <f>SIMULIMO!H66</f>
        <v>-19039.710904683277</v>
      </c>
      <c r="D37" s="1">
        <f>SIMULIMO!I66</f>
        <v>1090.7890953167243</v>
      </c>
      <c r="E37" s="1">
        <f>SIMULIMO!J66</f>
        <v>1222.5940953167265</v>
      </c>
      <c r="F37" s="1">
        <f>SIMULIMO!K66</f>
        <v>1355.7171453167227</v>
      </c>
      <c r="G37" s="1">
        <f>SIMULIMO!L66</f>
        <v>1490.1714258167267</v>
      </c>
      <c r="H37" s="1">
        <f>SIMULIMO!M66</f>
        <v>1625.9702491217233</v>
      </c>
      <c r="I37" s="1">
        <f>SIMULIMO!N66</f>
        <v>1763.1270606597784</v>
      </c>
      <c r="J37" s="1">
        <f>SIMULIMO!O66</f>
        <v>1735.8887474322082</v>
      </c>
      <c r="K37" s="1">
        <f>SIMULIMO!P66</f>
        <v>1503.9806605463946</v>
      </c>
      <c r="L37" s="1">
        <f>SIMULIMO!Q66</f>
        <v>1603.8399959880217</v>
      </c>
      <c r="M37" s="1">
        <f>SIMULIMO!R66</f>
        <v>1554.6180614281966</v>
      </c>
      <c r="N37" s="1">
        <f>SIMULIMO!S66</f>
        <v>1656.322918877559</v>
      </c>
      <c r="O37" s="1">
        <f>SIMULIMO!T66</f>
        <v>1758.9626951113187</v>
      </c>
      <c r="P37" s="1">
        <f>SIMULIMO!U66</f>
        <v>1862.5455820935003</v>
      </c>
      <c r="Q37" s="1">
        <f>SIMULIMO!V66</f>
        <v>1967.0798374022679</v>
      </c>
      <c r="R37" s="1">
        <f>SIMULIMO!W66</f>
        <v>2072.5737846563247</v>
      </c>
      <c r="S37" s="1">
        <f>SIMULIMO!X66</f>
        <v>2179.0358139423383</v>
      </c>
      <c r="T37" s="1">
        <f>SIMULIMO!Y66</f>
        <v>2286.4743822433347</v>
      </c>
      <c r="U37" s="1">
        <f>SIMULIMO!Z66</f>
        <v>2394.898013868099</v>
      </c>
      <c r="V37" s="1">
        <f>SIMULIMO!AA66</f>
        <v>2504.3153008814129</v>
      </c>
      <c r="W37" s="1">
        <f>SIMULIMO!AB66</f>
        <v>2614.734903535269</v>
      </c>
      <c r="X37" s="1">
        <f>SIMULIMO!AC66</f>
        <v>2726.165550700839</v>
      </c>
      <c r="Y37" s="1">
        <f>SIMULIMO!AD66</f>
        <v>2838.6160403013</v>
      </c>
      <c r="Z37" s="1">
        <f>SIMULIMO!AE66</f>
        <v>2952.0952397453652</v>
      </c>
      <c r="AA37" s="1">
        <f>SIMULIMO!AF66</f>
        <v>3066.6120863616075</v>
      </c>
      <c r="AB37" s="143">
        <f>SIMULIMO!AG65</f>
        <v>247167.25701907894</v>
      </c>
      <c r="AC37" s="1"/>
      <c r="AD37" s="1"/>
      <c r="AE37" s="1"/>
      <c r="AF37" s="1"/>
    </row>
    <row r="38" spans="2:32" x14ac:dyDescent="0.25">
      <c r="B38" s="133">
        <v>27</v>
      </c>
      <c r="C38" s="1">
        <f>SIMULIMO!H66</f>
        <v>-19039.710904683277</v>
      </c>
      <c r="D38" s="1">
        <f>SIMULIMO!I66</f>
        <v>1090.7890953167243</v>
      </c>
      <c r="E38" s="1">
        <f>SIMULIMO!J66</f>
        <v>1222.5940953167265</v>
      </c>
      <c r="F38" s="1">
        <f>SIMULIMO!K66</f>
        <v>1355.7171453167227</v>
      </c>
      <c r="G38" s="1">
        <f>SIMULIMO!L66</f>
        <v>1490.1714258167267</v>
      </c>
      <c r="H38" s="1">
        <f>SIMULIMO!M66</f>
        <v>1625.9702491217233</v>
      </c>
      <c r="I38" s="1">
        <f>SIMULIMO!N66</f>
        <v>1763.1270606597784</v>
      </c>
      <c r="J38" s="1">
        <f>SIMULIMO!O66</f>
        <v>1735.8887474322082</v>
      </c>
      <c r="K38" s="1">
        <f>SIMULIMO!P66</f>
        <v>1503.9806605463946</v>
      </c>
      <c r="L38" s="1">
        <f>SIMULIMO!Q66</f>
        <v>1603.8399959880217</v>
      </c>
      <c r="M38" s="1">
        <f>SIMULIMO!R66</f>
        <v>1554.6180614281966</v>
      </c>
      <c r="N38" s="1">
        <f>SIMULIMO!S66</f>
        <v>1656.322918877559</v>
      </c>
      <c r="O38" s="1">
        <f>SIMULIMO!T66</f>
        <v>1758.9626951113187</v>
      </c>
      <c r="P38" s="1">
        <f>SIMULIMO!U66</f>
        <v>1862.5455820935003</v>
      </c>
      <c r="Q38" s="1">
        <f>SIMULIMO!V66</f>
        <v>1967.0798374022679</v>
      </c>
      <c r="R38" s="1">
        <f>SIMULIMO!W66</f>
        <v>2072.5737846563247</v>
      </c>
      <c r="S38" s="1">
        <f>SIMULIMO!X66</f>
        <v>2179.0358139423383</v>
      </c>
      <c r="T38" s="1">
        <f>SIMULIMO!Y66</f>
        <v>2286.4743822433347</v>
      </c>
      <c r="U38" s="1">
        <f>SIMULIMO!Z66</f>
        <v>2394.898013868099</v>
      </c>
      <c r="V38" s="1">
        <f>SIMULIMO!AA66</f>
        <v>2504.3153008814129</v>
      </c>
      <c r="W38" s="1">
        <f>SIMULIMO!AB66</f>
        <v>2614.734903535269</v>
      </c>
      <c r="X38" s="1">
        <f>SIMULIMO!AC66</f>
        <v>2726.165550700839</v>
      </c>
      <c r="Y38" s="1">
        <f>SIMULIMO!AD66</f>
        <v>2838.6160403013</v>
      </c>
      <c r="Z38" s="1">
        <f>SIMULIMO!AE66</f>
        <v>2952.0952397453652</v>
      </c>
      <c r="AA38" s="1">
        <f>SIMULIMO!AF66</f>
        <v>3066.6120863616075</v>
      </c>
      <c r="AB38" s="1">
        <f>SIMULIMO!AG66</f>
        <v>15046.312745065006</v>
      </c>
      <c r="AC38" s="143">
        <f>SIMULIMO!AH65</f>
        <v>247419.74958926963</v>
      </c>
      <c r="AD38" s="1"/>
      <c r="AE38" s="1"/>
      <c r="AF38" s="1"/>
    </row>
    <row r="39" spans="2:32" x14ac:dyDescent="0.25">
      <c r="B39" s="133">
        <v>28</v>
      </c>
      <c r="C39" s="1">
        <f>SIMULIMO!H66</f>
        <v>-19039.710904683277</v>
      </c>
      <c r="D39" s="1">
        <f>SIMULIMO!I66</f>
        <v>1090.7890953167243</v>
      </c>
      <c r="E39" s="1">
        <f>SIMULIMO!J66</f>
        <v>1222.5940953167265</v>
      </c>
      <c r="F39" s="1">
        <f>SIMULIMO!K66</f>
        <v>1355.7171453167227</v>
      </c>
      <c r="G39" s="1">
        <f>SIMULIMO!L66</f>
        <v>1490.1714258167267</v>
      </c>
      <c r="H39" s="1">
        <f>SIMULIMO!M66</f>
        <v>1625.9702491217233</v>
      </c>
      <c r="I39" s="1">
        <f>SIMULIMO!N66</f>
        <v>1763.1270606597784</v>
      </c>
      <c r="J39" s="1">
        <f>SIMULIMO!O66</f>
        <v>1735.8887474322082</v>
      </c>
      <c r="K39" s="1">
        <f>SIMULIMO!P66</f>
        <v>1503.9806605463946</v>
      </c>
      <c r="L39" s="1">
        <f>SIMULIMO!Q66</f>
        <v>1603.8399959880217</v>
      </c>
      <c r="M39" s="1">
        <f>SIMULIMO!R66</f>
        <v>1554.6180614281966</v>
      </c>
      <c r="N39" s="1">
        <f>SIMULIMO!S66</f>
        <v>1656.322918877559</v>
      </c>
      <c r="O39" s="1">
        <f>SIMULIMO!T66</f>
        <v>1758.9626951113187</v>
      </c>
      <c r="P39" s="1">
        <f>SIMULIMO!U66</f>
        <v>1862.5455820935003</v>
      </c>
      <c r="Q39" s="1">
        <f>SIMULIMO!V66</f>
        <v>1967.0798374022679</v>
      </c>
      <c r="R39" s="1">
        <f>SIMULIMO!W66</f>
        <v>2072.5737846563247</v>
      </c>
      <c r="S39" s="1">
        <f>SIMULIMO!X66</f>
        <v>2179.0358139423383</v>
      </c>
      <c r="T39" s="1">
        <f>SIMULIMO!Y66</f>
        <v>2286.4743822433347</v>
      </c>
      <c r="U39" s="1">
        <f>SIMULIMO!Z66</f>
        <v>2394.898013868099</v>
      </c>
      <c r="V39" s="1">
        <f>SIMULIMO!AA66</f>
        <v>2504.3153008814129</v>
      </c>
      <c r="W39" s="1">
        <f>SIMULIMO!AB66</f>
        <v>2614.734903535269</v>
      </c>
      <c r="X39" s="1">
        <f>SIMULIMO!AC66</f>
        <v>2726.165550700839</v>
      </c>
      <c r="Y39" s="1">
        <f>SIMULIMO!AD66</f>
        <v>2838.6160403013</v>
      </c>
      <c r="Z39" s="1">
        <f>SIMULIMO!AE66</f>
        <v>2952.0952397453652</v>
      </c>
      <c r="AA39" s="1">
        <f>SIMULIMO!AF66</f>
        <v>3066.6120863616075</v>
      </c>
      <c r="AB39" s="1">
        <f>SIMULIMO!AG66</f>
        <v>15046.312745065006</v>
      </c>
      <c r="AC39" s="1">
        <f>SIMULIMO!AH66</f>
        <v>15187.700872515659</v>
      </c>
      <c r="AD39" s="143">
        <f>SIMULIMO!AI65</f>
        <v>247694.88041849565</v>
      </c>
      <c r="AE39" s="1"/>
      <c r="AF39" s="1"/>
    </row>
    <row r="40" spans="2:32" x14ac:dyDescent="0.25">
      <c r="B40" s="133">
        <v>29</v>
      </c>
      <c r="C40" s="1">
        <f>SIMULIMO!H66</f>
        <v>-19039.710904683277</v>
      </c>
      <c r="D40" s="1">
        <f>SIMULIMO!I66</f>
        <v>1090.7890953167243</v>
      </c>
      <c r="E40" s="1">
        <f>SIMULIMO!J66</f>
        <v>1222.5940953167265</v>
      </c>
      <c r="F40" s="1">
        <f>SIMULIMO!K66</f>
        <v>1355.7171453167227</v>
      </c>
      <c r="G40" s="1">
        <f>SIMULIMO!L66</f>
        <v>1490.1714258167267</v>
      </c>
      <c r="H40" s="1">
        <f>SIMULIMO!M66</f>
        <v>1625.9702491217233</v>
      </c>
      <c r="I40" s="1">
        <f>SIMULIMO!N66</f>
        <v>1763.1270606597784</v>
      </c>
      <c r="J40" s="1">
        <f>SIMULIMO!O66</f>
        <v>1735.8887474322082</v>
      </c>
      <c r="K40" s="1">
        <f>SIMULIMO!P66</f>
        <v>1503.9806605463946</v>
      </c>
      <c r="L40" s="1">
        <f>SIMULIMO!Q66</f>
        <v>1603.8399959880217</v>
      </c>
      <c r="M40" s="1">
        <f>SIMULIMO!R66</f>
        <v>1554.6180614281966</v>
      </c>
      <c r="N40" s="1">
        <f>SIMULIMO!S66</f>
        <v>1656.322918877559</v>
      </c>
      <c r="O40" s="1">
        <f>SIMULIMO!T66</f>
        <v>1758.9626951113187</v>
      </c>
      <c r="P40" s="1">
        <f>SIMULIMO!U66</f>
        <v>1862.5455820935003</v>
      </c>
      <c r="Q40" s="1">
        <f>SIMULIMO!V66</f>
        <v>1967.0798374022679</v>
      </c>
      <c r="R40" s="1">
        <f>SIMULIMO!W66</f>
        <v>2072.5737846563247</v>
      </c>
      <c r="S40" s="1">
        <f>SIMULIMO!X66</f>
        <v>2179.0358139423383</v>
      </c>
      <c r="T40" s="1">
        <f>SIMULIMO!Y66</f>
        <v>2286.4743822433347</v>
      </c>
      <c r="U40" s="1">
        <f>SIMULIMO!Z66</f>
        <v>2394.898013868099</v>
      </c>
      <c r="V40" s="1">
        <f>SIMULIMO!AA66</f>
        <v>2504.3153008814129</v>
      </c>
      <c r="W40" s="1">
        <f>SIMULIMO!AB66</f>
        <v>2614.734903535269</v>
      </c>
      <c r="X40" s="1">
        <f>SIMULIMO!AC66</f>
        <v>2726.165550700839</v>
      </c>
      <c r="Y40" s="1">
        <f>SIMULIMO!AD66</f>
        <v>2838.6160403013</v>
      </c>
      <c r="Z40" s="1">
        <f>SIMULIMO!AE66</f>
        <v>2952.0952397453652</v>
      </c>
      <c r="AA40" s="1">
        <f>SIMULIMO!AF66</f>
        <v>3066.6120863616075</v>
      </c>
      <c r="AB40" s="1">
        <f>SIMULIMO!AG66</f>
        <v>15046.312745065006</v>
      </c>
      <c r="AC40" s="1">
        <f>SIMULIMO!AH66</f>
        <v>15187.700872515659</v>
      </c>
      <c r="AD40" s="1">
        <f>SIMULIMO!AI66</f>
        <v>15330.502881240805</v>
      </c>
      <c r="AE40" s="143">
        <f>SIMULIMO!AJ65</f>
        <v>247992.87588934728</v>
      </c>
      <c r="AF40" s="1"/>
    </row>
    <row r="41" spans="2:32" x14ac:dyDescent="0.25">
      <c r="B41" s="133">
        <v>30</v>
      </c>
      <c r="C41" s="1">
        <f>SIMULIMO!H66</f>
        <v>-19039.710904683277</v>
      </c>
      <c r="D41" s="1">
        <f>SIMULIMO!I66</f>
        <v>1090.7890953167243</v>
      </c>
      <c r="E41" s="1">
        <f>SIMULIMO!J66</f>
        <v>1222.5940953167265</v>
      </c>
      <c r="F41" s="1">
        <f>SIMULIMO!K66</f>
        <v>1355.7171453167227</v>
      </c>
      <c r="G41" s="1">
        <f>SIMULIMO!L66</f>
        <v>1490.1714258167267</v>
      </c>
      <c r="H41" s="1">
        <f>SIMULIMO!M66</f>
        <v>1625.9702491217233</v>
      </c>
      <c r="I41" s="1">
        <f>SIMULIMO!N66</f>
        <v>1763.1270606597784</v>
      </c>
      <c r="J41" s="1">
        <f>SIMULIMO!O66</f>
        <v>1735.8887474322082</v>
      </c>
      <c r="K41" s="1">
        <f>SIMULIMO!P66</f>
        <v>1503.9806605463946</v>
      </c>
      <c r="L41" s="1">
        <f>SIMULIMO!Q66</f>
        <v>1603.8399959880217</v>
      </c>
      <c r="M41" s="1">
        <f>SIMULIMO!R66</f>
        <v>1554.6180614281966</v>
      </c>
      <c r="N41" s="1">
        <f>SIMULIMO!S66</f>
        <v>1656.322918877559</v>
      </c>
      <c r="O41" s="1">
        <f>SIMULIMO!T66</f>
        <v>1758.9626951113187</v>
      </c>
      <c r="P41" s="1">
        <f>SIMULIMO!U66</f>
        <v>1862.5455820935003</v>
      </c>
      <c r="Q41" s="1">
        <f>SIMULIMO!V66</f>
        <v>1967.0798374022679</v>
      </c>
      <c r="R41" s="1">
        <f>SIMULIMO!W66</f>
        <v>2072.5737846563247</v>
      </c>
      <c r="S41" s="1">
        <f>SIMULIMO!X66</f>
        <v>2179.0358139423383</v>
      </c>
      <c r="T41" s="1">
        <f>SIMULIMO!Y66</f>
        <v>2286.4743822433347</v>
      </c>
      <c r="U41" s="1">
        <f>SIMULIMO!Z66</f>
        <v>2394.898013868099</v>
      </c>
      <c r="V41" s="1">
        <f>SIMULIMO!AA66</f>
        <v>2504.3153008814129</v>
      </c>
      <c r="W41" s="1">
        <f>SIMULIMO!AB66</f>
        <v>2614.734903535269</v>
      </c>
      <c r="X41" s="1">
        <f>SIMULIMO!AC66</f>
        <v>2726.165550700839</v>
      </c>
      <c r="Y41" s="1">
        <f>SIMULIMO!AD66</f>
        <v>2838.6160403013</v>
      </c>
      <c r="Z41" s="1">
        <f>SIMULIMO!AE66</f>
        <v>2952.0952397453652</v>
      </c>
      <c r="AA41" s="1">
        <f>SIMULIMO!AF66</f>
        <v>3066.6120863616075</v>
      </c>
      <c r="AB41" s="1">
        <f>SIMULIMO!AG66</f>
        <v>15046.312745065006</v>
      </c>
      <c r="AC41" s="1">
        <f>SIMULIMO!AH66</f>
        <v>15187.700872515659</v>
      </c>
      <c r="AD41" s="1">
        <f>SIMULIMO!AI66</f>
        <v>15330.502881240805</v>
      </c>
      <c r="AE41" s="1">
        <f>SIMULIMO!AJ66</f>
        <v>15474.732910053222</v>
      </c>
      <c r="AF41" s="143">
        <f>SIMULIMO!AK65</f>
        <v>248313.96464824083</v>
      </c>
    </row>
    <row r="42" spans="2:32" x14ac:dyDescent="0.25">
      <c r="B42" s="13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2:32" x14ac:dyDescent="0.25">
      <c r="B43" s="137"/>
      <c r="C43" s="138"/>
      <c r="D43" s="138"/>
      <c r="E43" s="138"/>
      <c r="F43" s="138"/>
      <c r="G43" s="138"/>
      <c r="H43" s="138"/>
      <c r="I43" s="138"/>
      <c r="J43" s="138"/>
      <c r="K43" s="138"/>
      <c r="L43" s="138"/>
      <c r="M43" s="138"/>
      <c r="N43" s="138"/>
      <c r="O43" s="138"/>
      <c r="P43" s="138"/>
      <c r="Q43" s="138"/>
      <c r="R43" s="138"/>
      <c r="S43" s="138"/>
      <c r="T43" s="138"/>
      <c r="U43" s="138"/>
      <c r="V43" s="138"/>
      <c r="W43" s="138"/>
      <c r="X43" s="138"/>
      <c r="Y43" s="138"/>
      <c r="Z43" s="138"/>
      <c r="AA43" s="138"/>
      <c r="AB43" s="138"/>
      <c r="AC43" s="138"/>
      <c r="AD43" s="138"/>
      <c r="AE43" s="138"/>
      <c r="AF43" s="138"/>
    </row>
    <row r="44" spans="2:32" x14ac:dyDescent="0.25">
      <c r="B44" s="13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2:32" ht="15.75" x14ac:dyDescent="0.25">
      <c r="B45" s="145" t="s">
        <v>306</v>
      </c>
    </row>
    <row r="47" spans="2:32" x14ac:dyDescent="0.25">
      <c r="B47" s="133" t="s">
        <v>301</v>
      </c>
      <c r="C47" s="133">
        <v>1</v>
      </c>
      <c r="D47" s="133">
        <v>2</v>
      </c>
      <c r="E47" s="133">
        <v>3</v>
      </c>
      <c r="F47" s="133">
        <v>4</v>
      </c>
      <c r="G47" s="133">
        <v>5</v>
      </c>
      <c r="H47" s="133">
        <v>6</v>
      </c>
      <c r="I47" s="133">
        <v>7</v>
      </c>
      <c r="J47" s="133">
        <v>8</v>
      </c>
      <c r="K47" s="133">
        <v>9</v>
      </c>
      <c r="L47" s="133">
        <v>10</v>
      </c>
      <c r="M47" s="133">
        <v>11</v>
      </c>
      <c r="N47" s="133">
        <v>12</v>
      </c>
      <c r="O47" s="133">
        <v>13</v>
      </c>
      <c r="P47" s="133">
        <v>14</v>
      </c>
      <c r="Q47" s="133">
        <v>15</v>
      </c>
      <c r="R47" s="133">
        <v>16</v>
      </c>
      <c r="S47" s="133">
        <v>17</v>
      </c>
      <c r="T47" s="133">
        <v>18</v>
      </c>
      <c r="U47" s="133">
        <v>19</v>
      </c>
      <c r="V47" s="133">
        <v>20</v>
      </c>
      <c r="W47" s="133">
        <v>21</v>
      </c>
      <c r="X47" s="133">
        <v>22</v>
      </c>
      <c r="Y47" s="133">
        <v>23</v>
      </c>
      <c r="Z47" s="133">
        <v>24</v>
      </c>
      <c r="AA47" s="133">
        <v>25</v>
      </c>
      <c r="AB47" s="133">
        <v>26</v>
      </c>
      <c r="AC47" s="133">
        <v>27</v>
      </c>
      <c r="AD47" s="133">
        <v>28</v>
      </c>
      <c r="AE47" s="133">
        <v>29</v>
      </c>
      <c r="AF47" s="133">
        <v>30</v>
      </c>
    </row>
    <row r="48" spans="2:32" s="174" customFormat="1" x14ac:dyDescent="0.25">
      <c r="B48" s="173" t="s">
        <v>300</v>
      </c>
      <c r="C48" s="172" t="str">
        <f>IFERROR(IRR(C50),"N/A")</f>
        <v>N/A</v>
      </c>
      <c r="D48" s="172">
        <f>IFERROR(IRR(C51:D51),"N/A")</f>
        <v>-0.75189964565029732</v>
      </c>
      <c r="E48" s="172">
        <f>IFERROR(IRR(C52:E52),"N/A")</f>
        <v>-0.19398499296345606</v>
      </c>
      <c r="F48" s="172">
        <f>IFERROR(IRR(C53:F53),"N/A")</f>
        <v>1.3221955568439636E-2</v>
      </c>
      <c r="G48" s="172">
        <f>IFERROR(IRR(C54:G54),"N/A")</f>
        <v>9.8317943871502278E-2</v>
      </c>
      <c r="H48" s="172">
        <f>IFERROR(IRR(C55:H55),"N/A")</f>
        <v>0.13412979578186612</v>
      </c>
      <c r="I48" s="172">
        <f>IFERROR(IRR(C56:I56),"N/A")</f>
        <v>0.14700542201417255</v>
      </c>
      <c r="J48" s="172">
        <f>IFERROR(IRR(C57:J57),"N/A")</f>
        <v>0.1521652536820659</v>
      </c>
      <c r="K48" s="172">
        <f>IFERROR(IRR(C58:K58),"N/A")</f>
        <v>0.15399849286909939</v>
      </c>
      <c r="L48" s="172">
        <f>IFERROR(IRR(C59:L59),"N/A")</f>
        <v>0.15415326606952395</v>
      </c>
      <c r="M48" s="172">
        <f>IFERROR(IRR(C60:M60),"N/A")</f>
        <v>0.1529738497482751</v>
      </c>
      <c r="N48" s="172">
        <f>IFERROR(IRR(C61:N61),"N/A")</f>
        <v>0.15115067598345311</v>
      </c>
      <c r="O48" s="172">
        <f>IFERROR(IRR(C62:O62),"N/A")</f>
        <v>0.14886980867765032</v>
      </c>
      <c r="P48" s="172">
        <f>IFERROR(IRR(C63:P63),"N/A")</f>
        <v>0.14635560461450758</v>
      </c>
      <c r="Q48" s="172">
        <f>IFERROR(IRR(C64:Q64),"N/A")</f>
        <v>0.14374428169927533</v>
      </c>
      <c r="R48" s="172">
        <f>IFERROR(IRR(C65:R65),"N/A")</f>
        <v>0.14111919958505159</v>
      </c>
      <c r="S48" s="172">
        <f>IFERROR(IRR(C66:S66),"N/A")</f>
        <v>0.13853125546501088</v>
      </c>
      <c r="T48" s="172">
        <f>IFERROR(IRR(C67:T67),"N/A")</f>
        <v>0.13601103416808735</v>
      </c>
      <c r="U48" s="172">
        <f>IFERROR(IRR(C68:U68),"N/A")</f>
        <v>0.13357623308276745</v>
      </c>
      <c r="V48" s="172">
        <f>IFERROR(IRR(C69:V69),"N/A")</f>
        <v>0.13123629846584861</v>
      </c>
      <c r="W48" s="172">
        <f>IFERROR(IRR(C70:W70),"N/A")</f>
        <v>0.12899537329818567</v>
      </c>
      <c r="X48" s="172">
        <f>IFERROR(IRR(C71:X71),"N/A")</f>
        <v>0.12685419971975143</v>
      </c>
      <c r="Y48" s="172">
        <f>IFERROR(IRR(C72:Y72),"N/A")</f>
        <v>0.12481136146332861</v>
      </c>
      <c r="Z48" s="172">
        <f>IFERROR(IRR(C73:Z73),"N/A")</f>
        <v>0.12286410250998547</v>
      </c>
      <c r="AA48" s="172">
        <f>IFERROR(IRR(C74:AA74),"N/A")</f>
        <v>0.12100886964525603</v>
      </c>
      <c r="AB48" s="172">
        <f>IFERROR(IRR(C75:AB75),"N/A")</f>
        <v>0.11925856670689639</v>
      </c>
      <c r="AC48" s="172">
        <f>IFERROR(IRR(C76:AC76),"N/A")</f>
        <v>0.11959232938206998</v>
      </c>
      <c r="AD48" s="172">
        <f>IFERROR(IRR(C77:AD77),"N/A")</f>
        <v>0.11812179159600134</v>
      </c>
      <c r="AE48" s="172">
        <f>IFERROR(IRR(C78:AE78),"N/A")</f>
        <v>0.11530370575406046</v>
      </c>
      <c r="AF48" s="172">
        <f>IFERROR(IRR(C79:AF79),"N/A")</f>
        <v>0.11431127076679992</v>
      </c>
    </row>
    <row r="49" spans="2:32" x14ac:dyDescent="0.25">
      <c r="B49" s="136"/>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2:32" x14ac:dyDescent="0.25">
      <c r="B50" s="133">
        <v>1</v>
      </c>
      <c r="C50" s="143">
        <f>SIMULIMO!H69</f>
        <v>-3979.6317244467791</v>
      </c>
      <c r="D50" s="1"/>
      <c r="E50" s="1"/>
      <c r="F50" s="1"/>
      <c r="G50" s="1"/>
      <c r="H50" s="1"/>
      <c r="I50" s="135"/>
      <c r="J50" s="1"/>
      <c r="K50" s="1"/>
      <c r="L50" s="1"/>
      <c r="M50" s="1"/>
      <c r="N50" s="1"/>
      <c r="O50" s="1"/>
      <c r="P50" s="1"/>
      <c r="Q50" s="1"/>
      <c r="R50" s="1"/>
      <c r="S50" s="1"/>
      <c r="T50" s="1"/>
      <c r="U50" s="1"/>
      <c r="V50" s="1"/>
      <c r="W50" s="1"/>
      <c r="X50" s="1"/>
      <c r="Y50" s="1"/>
      <c r="Z50" s="1"/>
      <c r="AA50" s="1"/>
      <c r="AB50" s="1"/>
      <c r="AC50" s="1"/>
      <c r="AD50" s="1"/>
      <c r="AE50" s="1"/>
      <c r="AF50" s="1"/>
    </row>
    <row r="51" spans="2:32" x14ac:dyDescent="0.25">
      <c r="B51" s="133">
        <v>2</v>
      </c>
      <c r="C51" s="1">
        <f>SIMULIMO!H70</f>
        <v>-19327.797633278293</v>
      </c>
      <c r="D51" s="143">
        <f>SIMULIMO!I69</f>
        <v>4795.2334416156891</v>
      </c>
      <c r="E51" s="1"/>
      <c r="F51" s="1"/>
      <c r="H51" s="1"/>
      <c r="J51" s="1"/>
      <c r="K51" s="1"/>
      <c r="L51" s="1"/>
      <c r="M51" s="1"/>
      <c r="N51" s="1"/>
      <c r="O51" s="1"/>
      <c r="P51" s="1"/>
      <c r="Q51" s="1"/>
      <c r="R51" s="1"/>
      <c r="S51" s="1"/>
      <c r="T51" s="1"/>
      <c r="U51" s="1"/>
      <c r="V51" s="1"/>
      <c r="W51" s="1"/>
      <c r="X51" s="1"/>
      <c r="Y51" s="1"/>
      <c r="Z51" s="1"/>
      <c r="AA51" s="1"/>
      <c r="AB51" s="1"/>
      <c r="AC51" s="1"/>
      <c r="AD51" s="1"/>
      <c r="AE51" s="1"/>
      <c r="AF51" s="1"/>
    </row>
    <row r="52" spans="2:32" x14ac:dyDescent="0.25">
      <c r="B52" s="133">
        <v>3</v>
      </c>
      <c r="C52" s="1">
        <f>SIMULIMO!H70</f>
        <v>-19327.797633278293</v>
      </c>
      <c r="D52" s="1">
        <f>SIMULIMO!I70</f>
        <v>763.55236672170702</v>
      </c>
      <c r="E52" s="143">
        <f>SIMULIMO!J69</f>
        <v>11941.066046789469</v>
      </c>
      <c r="F52" s="1"/>
      <c r="G52" s="139"/>
      <c r="H52" s="1"/>
      <c r="J52" s="1"/>
      <c r="K52" s="135"/>
      <c r="L52" s="1"/>
      <c r="M52" s="1"/>
      <c r="N52" s="1"/>
      <c r="O52" s="1"/>
      <c r="P52" s="1"/>
      <c r="Q52" s="1"/>
      <c r="R52" s="1"/>
      <c r="S52" s="1"/>
      <c r="T52" s="1"/>
      <c r="U52" s="1"/>
      <c r="V52" s="1"/>
      <c r="W52" s="1"/>
      <c r="X52" s="1"/>
      <c r="Y52" s="1"/>
      <c r="Z52" s="1"/>
      <c r="AA52" s="1"/>
      <c r="AB52" s="1"/>
      <c r="AC52" s="1"/>
      <c r="AD52" s="1"/>
      <c r="AE52" s="1"/>
      <c r="AF52" s="1"/>
    </row>
    <row r="53" spans="2:32" x14ac:dyDescent="0.25">
      <c r="B53" s="133">
        <v>4</v>
      </c>
      <c r="C53" s="1">
        <f>SIMULIMO!H70</f>
        <v>-19327.797633278293</v>
      </c>
      <c r="D53" s="1">
        <f>SIMULIMO!I70</f>
        <v>763.55236672170702</v>
      </c>
      <c r="E53" s="1">
        <f>SIMULIMO!J70</f>
        <v>855.81586672170852</v>
      </c>
      <c r="F53" s="143">
        <f>SIMULIMO!K69</f>
        <v>18453.624228429915</v>
      </c>
      <c r="G53" s="1"/>
      <c r="H53" s="1"/>
      <c r="J53" s="1"/>
      <c r="K53" s="139"/>
      <c r="L53" s="1"/>
      <c r="M53" s="1"/>
      <c r="N53" s="1"/>
      <c r="O53" s="1"/>
      <c r="P53" s="1"/>
      <c r="Q53" s="1"/>
      <c r="R53" s="1"/>
      <c r="S53" s="1"/>
      <c r="T53" s="1"/>
      <c r="U53" s="1"/>
      <c r="V53" s="1"/>
      <c r="W53" s="1"/>
      <c r="X53" s="1"/>
      <c r="Y53" s="1"/>
      <c r="Z53" s="1"/>
      <c r="AA53" s="1"/>
      <c r="AB53" s="1"/>
      <c r="AC53" s="1"/>
      <c r="AD53" s="1"/>
      <c r="AE53" s="1"/>
      <c r="AF53" s="1"/>
    </row>
    <row r="54" spans="2:32" x14ac:dyDescent="0.25">
      <c r="B54" s="133">
        <v>5</v>
      </c>
      <c r="C54" s="1">
        <f>SIMULIMO!H70</f>
        <v>-19327.797633278293</v>
      </c>
      <c r="D54" s="1">
        <f>SIMULIMO!I70</f>
        <v>763.55236672170702</v>
      </c>
      <c r="E54" s="1">
        <f>SIMULIMO!J70</f>
        <v>855.81586672170852</v>
      </c>
      <c r="F54" s="1">
        <f>SIMULIMO!K70</f>
        <v>949.00200172170582</v>
      </c>
      <c r="G54" s="143">
        <f>SIMULIMO!L69</f>
        <v>25038.827774433477</v>
      </c>
      <c r="H54" s="1"/>
      <c r="J54" s="135"/>
      <c r="K54" s="1"/>
      <c r="L54" s="1"/>
      <c r="M54" s="1"/>
      <c r="N54" s="1"/>
      <c r="O54" s="1"/>
      <c r="P54" s="1"/>
      <c r="Q54" s="1"/>
      <c r="R54" s="1"/>
      <c r="S54" s="1"/>
      <c r="T54" s="1"/>
      <c r="U54" s="1"/>
      <c r="V54" s="1"/>
      <c r="W54" s="1"/>
      <c r="X54" s="1"/>
      <c r="Y54" s="1"/>
      <c r="Z54" s="1"/>
      <c r="AA54" s="1"/>
      <c r="AB54" s="1"/>
      <c r="AC54" s="1"/>
      <c r="AD54" s="1"/>
      <c r="AE54" s="1"/>
      <c r="AF54" s="1"/>
    </row>
    <row r="55" spans="2:32" x14ac:dyDescent="0.25">
      <c r="B55" s="133">
        <v>6</v>
      </c>
      <c r="C55" s="1">
        <f>SIMULIMO!H70</f>
        <v>-19327.797633278293</v>
      </c>
      <c r="D55" s="1">
        <f>SIMULIMO!I70</f>
        <v>763.55236672170702</v>
      </c>
      <c r="E55" s="1">
        <f>SIMULIMO!J70</f>
        <v>855.81586672170852</v>
      </c>
      <c r="F55" s="1">
        <f>SIMULIMO!K70</f>
        <v>949.00200172170582</v>
      </c>
      <c r="G55" s="1">
        <f>SIMULIMO!L70</f>
        <v>1043.1199980717086</v>
      </c>
      <c r="H55" s="143">
        <f>SIMULIMO!M69</f>
        <v>31350.326921316857</v>
      </c>
      <c r="J55" s="1"/>
      <c r="K55" s="1"/>
      <c r="L55" s="1"/>
      <c r="M55" s="1"/>
      <c r="N55" s="1"/>
      <c r="O55" s="1"/>
      <c r="P55" s="1"/>
      <c r="Q55" s="1"/>
      <c r="R55" s="1"/>
      <c r="S55" s="1"/>
      <c r="T55" s="1"/>
      <c r="U55" s="1"/>
      <c r="V55" s="1"/>
      <c r="W55" s="1"/>
      <c r="X55" s="1"/>
      <c r="Y55" s="1"/>
      <c r="Z55" s="1"/>
      <c r="AA55" s="1"/>
      <c r="AB55" s="1"/>
      <c r="AC55" s="1"/>
      <c r="AD55" s="1"/>
      <c r="AE55" s="1"/>
      <c r="AF55" s="1"/>
    </row>
    <row r="56" spans="2:32" x14ac:dyDescent="0.25">
      <c r="B56" s="133">
        <v>7</v>
      </c>
      <c r="C56" s="1">
        <f>SIMULIMO!H70</f>
        <v>-19327.797633278293</v>
      </c>
      <c r="D56" s="1">
        <f>SIMULIMO!I70</f>
        <v>763.55236672170702</v>
      </c>
      <c r="E56" s="1">
        <f>SIMULIMO!J70</f>
        <v>855.81586672170852</v>
      </c>
      <c r="F56" s="1">
        <f>SIMULIMO!K70</f>
        <v>949.00200172170582</v>
      </c>
      <c r="G56" s="1">
        <f>SIMULIMO!L70</f>
        <v>1043.1199980717086</v>
      </c>
      <c r="H56" s="1">
        <f>SIMULIMO!M70</f>
        <v>1138.1791743852064</v>
      </c>
      <c r="I56" s="143">
        <f>SIMULIMO!N69</f>
        <v>36905.316172136503</v>
      </c>
      <c r="J56" s="1"/>
      <c r="K56" s="1"/>
      <c r="L56" s="1"/>
      <c r="M56" s="1"/>
      <c r="N56" s="1"/>
      <c r="O56" s="1"/>
      <c r="P56" s="1"/>
      <c r="Q56" s="1"/>
      <c r="R56" s="1"/>
      <c r="S56" s="1"/>
      <c r="T56" s="1"/>
      <c r="U56" s="1"/>
      <c r="V56" s="1"/>
      <c r="W56" s="1"/>
      <c r="X56" s="1"/>
      <c r="Y56" s="1"/>
      <c r="Z56" s="1"/>
      <c r="AA56" s="1"/>
      <c r="AB56" s="1"/>
      <c r="AC56" s="1"/>
      <c r="AD56" s="1"/>
      <c r="AE56" s="1"/>
      <c r="AF56" s="1"/>
    </row>
    <row r="57" spans="2:32" x14ac:dyDescent="0.25">
      <c r="B57" s="133">
        <v>8</v>
      </c>
      <c r="C57" s="1">
        <f>SIMULIMO!H70</f>
        <v>-19327.797633278293</v>
      </c>
      <c r="D57" s="1">
        <f>SIMULIMO!I70</f>
        <v>763.55236672170702</v>
      </c>
      <c r="E57" s="1">
        <f>SIMULIMO!J70</f>
        <v>855.81586672170852</v>
      </c>
      <c r="F57" s="1">
        <f>SIMULIMO!K70</f>
        <v>949.00200172170582</v>
      </c>
      <c r="G57" s="1">
        <f>SIMULIMO!L70</f>
        <v>1043.1199980717086</v>
      </c>
      <c r="H57" s="1">
        <f>SIMULIMO!M70</f>
        <v>1138.1791743852064</v>
      </c>
      <c r="I57" s="1">
        <f>SIMULIMO!N70</f>
        <v>1234.1889424618448</v>
      </c>
      <c r="J57" s="143">
        <f>SIMULIMO!O69</f>
        <v>42369.278460397094</v>
      </c>
      <c r="K57" s="1"/>
      <c r="L57" s="1"/>
      <c r="M57" s="1"/>
      <c r="N57" s="1"/>
      <c r="O57" s="1"/>
      <c r="P57" s="1"/>
      <c r="Q57" s="1"/>
      <c r="R57" s="1"/>
      <c r="S57" s="1"/>
      <c r="T57" s="1"/>
      <c r="U57" s="1"/>
      <c r="V57" s="1"/>
      <c r="W57" s="1"/>
      <c r="X57" s="1"/>
      <c r="Y57" s="1"/>
      <c r="Z57" s="1"/>
      <c r="AA57" s="1"/>
      <c r="AB57" s="1"/>
      <c r="AC57" s="1"/>
      <c r="AD57" s="1"/>
      <c r="AE57" s="1"/>
      <c r="AF57" s="1"/>
    </row>
    <row r="58" spans="2:32" x14ac:dyDescent="0.25">
      <c r="B58" s="133">
        <v>9</v>
      </c>
      <c r="C58" s="1">
        <f>SIMULIMO!H70</f>
        <v>-19327.797633278293</v>
      </c>
      <c r="D58" s="1">
        <f>SIMULIMO!I70</f>
        <v>763.55236672170702</v>
      </c>
      <c r="E58" s="1">
        <f>SIMULIMO!J70</f>
        <v>855.81586672170852</v>
      </c>
      <c r="F58" s="1">
        <f>SIMULIMO!K70</f>
        <v>949.00200172170582</v>
      </c>
      <c r="G58" s="1">
        <f>SIMULIMO!L70</f>
        <v>1043.1199980717086</v>
      </c>
      <c r="H58" s="1">
        <f>SIMULIMO!M70</f>
        <v>1138.1791743852064</v>
      </c>
      <c r="I58" s="1">
        <f>SIMULIMO!N70</f>
        <v>1234.1889424618448</v>
      </c>
      <c r="J58" s="1">
        <f>SIMULIMO!O70</f>
        <v>1215.1221232025457</v>
      </c>
      <c r="K58" s="143">
        <f>SIMULIMO!P69</f>
        <v>48099.566264308625</v>
      </c>
      <c r="L58" s="1"/>
      <c r="M58" s="1"/>
      <c r="N58" s="1"/>
      <c r="O58" s="1"/>
      <c r="P58" s="1"/>
      <c r="Q58" s="1"/>
      <c r="R58" s="1"/>
      <c r="S58" s="1"/>
      <c r="T58" s="1"/>
      <c r="U58" s="1"/>
      <c r="V58" s="1"/>
      <c r="W58" s="1"/>
      <c r="X58" s="1"/>
      <c r="Y58" s="1"/>
      <c r="Z58" s="1"/>
      <c r="AA58" s="1"/>
      <c r="AB58" s="1"/>
      <c r="AC58" s="1"/>
      <c r="AD58" s="1"/>
      <c r="AE58" s="1"/>
      <c r="AF58" s="1"/>
    </row>
    <row r="59" spans="2:32" x14ac:dyDescent="0.25">
      <c r="B59" s="133">
        <v>10</v>
      </c>
      <c r="C59" s="1">
        <f>SIMULIMO!H70</f>
        <v>-19327.797633278293</v>
      </c>
      <c r="D59" s="1">
        <f>SIMULIMO!I70</f>
        <v>763.55236672170702</v>
      </c>
      <c r="E59" s="1">
        <f>SIMULIMO!J70</f>
        <v>855.81586672170852</v>
      </c>
      <c r="F59" s="1">
        <f>SIMULIMO!K70</f>
        <v>949.00200172170582</v>
      </c>
      <c r="G59" s="1">
        <f>SIMULIMO!L70</f>
        <v>1043.1199980717086</v>
      </c>
      <c r="H59" s="1">
        <f>SIMULIMO!M70</f>
        <v>1138.1791743852064</v>
      </c>
      <c r="I59" s="1">
        <f>SIMULIMO!N70</f>
        <v>1234.1889424618448</v>
      </c>
      <c r="J59" s="1">
        <f>SIMULIMO!O70</f>
        <v>1215.1221232025457</v>
      </c>
      <c r="K59" s="1">
        <f>SIMULIMO!P70</f>
        <v>1052.7864623824762</v>
      </c>
      <c r="L59" s="143">
        <f>SIMULIMO!Q69</f>
        <v>54366.186708419438</v>
      </c>
      <c r="M59" s="1"/>
      <c r="N59" s="1"/>
      <c r="O59" s="1"/>
      <c r="P59" s="1"/>
      <c r="Q59" s="1"/>
      <c r="R59" s="1"/>
      <c r="S59" s="1"/>
      <c r="T59" s="1"/>
      <c r="U59" s="1"/>
      <c r="V59" s="1"/>
      <c r="W59" s="1"/>
      <c r="X59" s="1"/>
      <c r="Y59" s="1"/>
      <c r="Z59" s="1"/>
      <c r="AA59" s="1"/>
      <c r="AB59" s="1"/>
      <c r="AC59" s="1"/>
      <c r="AD59" s="1"/>
      <c r="AE59" s="1"/>
      <c r="AF59" s="1"/>
    </row>
    <row r="60" spans="2:32" x14ac:dyDescent="0.25">
      <c r="B60" s="133">
        <v>11</v>
      </c>
      <c r="C60" s="1">
        <f>SIMULIMO!H70</f>
        <v>-19327.797633278293</v>
      </c>
      <c r="D60" s="1">
        <f>SIMULIMO!I70</f>
        <v>763.55236672170702</v>
      </c>
      <c r="E60" s="1">
        <f>SIMULIMO!J70</f>
        <v>855.81586672170852</v>
      </c>
      <c r="F60" s="1">
        <f>SIMULIMO!K70</f>
        <v>949.00200172170582</v>
      </c>
      <c r="G60" s="1">
        <f>SIMULIMO!L70</f>
        <v>1043.1199980717086</v>
      </c>
      <c r="H60" s="1">
        <f>SIMULIMO!M70</f>
        <v>1138.1791743852064</v>
      </c>
      <c r="I60" s="1">
        <f>SIMULIMO!N70</f>
        <v>1234.1889424618448</v>
      </c>
      <c r="J60" s="1">
        <f>SIMULIMO!O70</f>
        <v>1215.1221232025457</v>
      </c>
      <c r="K60" s="1">
        <f>SIMULIMO!P70</f>
        <v>1052.7864623824762</v>
      </c>
      <c r="L60" s="1">
        <f>SIMULIMO!Q70</f>
        <v>1122.6879971916151</v>
      </c>
      <c r="M60" s="143">
        <f>SIMULIMO!R69</f>
        <v>60738.231762497388</v>
      </c>
      <c r="N60" s="1"/>
      <c r="O60" s="1"/>
      <c r="P60" s="1"/>
      <c r="Q60" s="1"/>
      <c r="R60" s="1"/>
      <c r="S60" s="1"/>
      <c r="T60" s="1"/>
      <c r="U60" s="1"/>
      <c r="V60" s="1"/>
      <c r="W60" s="1"/>
      <c r="X60" s="1"/>
      <c r="Y60" s="1"/>
      <c r="Z60" s="1"/>
      <c r="AA60" s="1"/>
      <c r="AB60" s="1"/>
      <c r="AC60" s="1"/>
      <c r="AD60" s="1"/>
      <c r="AE60" s="1"/>
      <c r="AF60" s="1"/>
    </row>
    <row r="61" spans="2:32" x14ac:dyDescent="0.25">
      <c r="B61" s="133">
        <v>12</v>
      </c>
      <c r="C61" s="1">
        <f>SIMULIMO!H70</f>
        <v>-19327.797633278293</v>
      </c>
      <c r="D61" s="1">
        <f>SIMULIMO!I70</f>
        <v>763.55236672170702</v>
      </c>
      <c r="E61" s="1">
        <f>SIMULIMO!J70</f>
        <v>855.81586672170852</v>
      </c>
      <c r="F61" s="1">
        <f>SIMULIMO!K70</f>
        <v>949.00200172170582</v>
      </c>
      <c r="G61" s="1">
        <f>SIMULIMO!L70</f>
        <v>1043.1199980717086</v>
      </c>
      <c r="H61" s="1">
        <f>SIMULIMO!M70</f>
        <v>1138.1791743852064</v>
      </c>
      <c r="I61" s="1">
        <f>SIMULIMO!N70</f>
        <v>1234.1889424618448</v>
      </c>
      <c r="J61" s="1">
        <f>SIMULIMO!O70</f>
        <v>1215.1221232025457</v>
      </c>
      <c r="K61" s="1">
        <f>SIMULIMO!P70</f>
        <v>1052.7864623824762</v>
      </c>
      <c r="L61" s="1">
        <f>SIMULIMO!Q70</f>
        <v>1122.6879971916151</v>
      </c>
      <c r="M61" s="1">
        <f>SIMULIMO!R70</f>
        <v>1088.2326429997374</v>
      </c>
      <c r="N61" s="143">
        <f>SIMULIMO!S69</f>
        <v>67413.13214927513</v>
      </c>
      <c r="O61" s="1"/>
      <c r="P61" s="1"/>
      <c r="Q61" s="1"/>
      <c r="R61" s="1"/>
      <c r="S61" s="1"/>
      <c r="T61" s="1"/>
      <c r="U61" s="1"/>
      <c r="V61" s="1"/>
      <c r="W61" s="1"/>
      <c r="X61" s="1"/>
      <c r="Y61" s="1"/>
      <c r="Z61" s="1"/>
      <c r="AA61" s="1"/>
      <c r="AB61" s="1"/>
      <c r="AC61" s="1"/>
      <c r="AD61" s="1"/>
      <c r="AE61" s="1"/>
      <c r="AF61" s="1"/>
    </row>
    <row r="62" spans="2:32" x14ac:dyDescent="0.25">
      <c r="B62" s="133">
        <v>13</v>
      </c>
      <c r="C62" s="1">
        <f>SIMULIMO!H70</f>
        <v>-19327.797633278293</v>
      </c>
      <c r="D62" s="1">
        <f>SIMULIMO!I70</f>
        <v>763.55236672170702</v>
      </c>
      <c r="E62" s="1">
        <f>SIMULIMO!J70</f>
        <v>855.81586672170852</v>
      </c>
      <c r="F62" s="1">
        <f>SIMULIMO!K70</f>
        <v>949.00200172170582</v>
      </c>
      <c r="G62" s="1">
        <f>SIMULIMO!L70</f>
        <v>1043.1199980717086</v>
      </c>
      <c r="H62" s="1">
        <f>SIMULIMO!M70</f>
        <v>1138.1791743852064</v>
      </c>
      <c r="I62" s="1">
        <f>SIMULIMO!N70</f>
        <v>1234.1889424618448</v>
      </c>
      <c r="J62" s="1">
        <f>SIMULIMO!O70</f>
        <v>1215.1221232025457</v>
      </c>
      <c r="K62" s="1">
        <f>SIMULIMO!P70</f>
        <v>1052.7864623824762</v>
      </c>
      <c r="L62" s="1">
        <f>SIMULIMO!Q70</f>
        <v>1122.6879971916151</v>
      </c>
      <c r="M62" s="1">
        <f>SIMULIMO!R70</f>
        <v>1088.2326429997374</v>
      </c>
      <c r="N62" s="1">
        <f>SIMULIMO!S70</f>
        <v>1159.4260432142912</v>
      </c>
      <c r="O62" s="143">
        <f>SIMULIMO!T69</f>
        <v>74196.338203337422</v>
      </c>
      <c r="P62" s="1"/>
      <c r="Q62" s="1"/>
      <c r="R62" s="1"/>
      <c r="S62" s="1"/>
      <c r="T62" s="1"/>
      <c r="U62" s="1"/>
      <c r="V62" s="1"/>
      <c r="W62" s="1"/>
      <c r="X62" s="1"/>
      <c r="Y62" s="1"/>
      <c r="Z62" s="1"/>
      <c r="AA62" s="1"/>
      <c r="AB62" s="1"/>
      <c r="AC62" s="1"/>
      <c r="AD62" s="1"/>
      <c r="AE62" s="1"/>
      <c r="AF62" s="1"/>
    </row>
    <row r="63" spans="2:32" x14ac:dyDescent="0.25">
      <c r="B63" s="133">
        <v>14</v>
      </c>
      <c r="C63" s="1">
        <f>SIMULIMO!H70</f>
        <v>-19327.797633278293</v>
      </c>
      <c r="D63" s="1">
        <f>SIMULIMO!I70</f>
        <v>763.55236672170702</v>
      </c>
      <c r="E63" s="1">
        <f>SIMULIMO!J70</f>
        <v>855.81586672170852</v>
      </c>
      <c r="F63" s="1">
        <f>SIMULIMO!K70</f>
        <v>949.00200172170582</v>
      </c>
      <c r="G63" s="1">
        <f>SIMULIMO!L70</f>
        <v>1043.1199980717086</v>
      </c>
      <c r="H63" s="1">
        <f>SIMULIMO!M70</f>
        <v>1138.1791743852064</v>
      </c>
      <c r="I63" s="1">
        <f>SIMULIMO!N70</f>
        <v>1234.1889424618448</v>
      </c>
      <c r="J63" s="1">
        <f>SIMULIMO!O70</f>
        <v>1215.1221232025457</v>
      </c>
      <c r="K63" s="1">
        <f>SIMULIMO!P70</f>
        <v>1052.7864623824762</v>
      </c>
      <c r="L63" s="1">
        <f>SIMULIMO!Q70</f>
        <v>1122.6879971916151</v>
      </c>
      <c r="M63" s="1">
        <f>SIMULIMO!R70</f>
        <v>1088.2326429997374</v>
      </c>
      <c r="N63" s="1">
        <f>SIMULIMO!S70</f>
        <v>1159.4260432142912</v>
      </c>
      <c r="O63" s="1">
        <f>SIMULIMO!T70</f>
        <v>1231.2738865779229</v>
      </c>
      <c r="P63" s="143">
        <f>SIMULIMO!U69</f>
        <v>81089.320141982971</v>
      </c>
      <c r="Q63" s="1"/>
      <c r="R63" s="1"/>
      <c r="S63" s="1"/>
      <c r="T63" s="1"/>
      <c r="U63" s="1"/>
      <c r="V63" s="1"/>
      <c r="W63" s="1"/>
      <c r="X63" s="1"/>
      <c r="Y63" s="1"/>
      <c r="Z63" s="1"/>
      <c r="AA63" s="1"/>
      <c r="AB63" s="1"/>
      <c r="AC63" s="1"/>
      <c r="AD63" s="1"/>
      <c r="AE63" s="1"/>
      <c r="AF63" s="1"/>
    </row>
    <row r="64" spans="2:32" x14ac:dyDescent="0.25">
      <c r="B64" s="133">
        <v>15</v>
      </c>
      <c r="C64" s="1">
        <f>SIMULIMO!H70</f>
        <v>-19327.797633278293</v>
      </c>
      <c r="D64" s="1">
        <f>SIMULIMO!I70</f>
        <v>763.55236672170702</v>
      </c>
      <c r="E64" s="1">
        <f>SIMULIMO!J70</f>
        <v>855.81586672170852</v>
      </c>
      <c r="F64" s="1">
        <f>SIMULIMO!K70</f>
        <v>949.00200172170582</v>
      </c>
      <c r="G64" s="1">
        <f>SIMULIMO!L70</f>
        <v>1043.1199980717086</v>
      </c>
      <c r="H64" s="1">
        <f>SIMULIMO!M70</f>
        <v>1138.1791743852064</v>
      </c>
      <c r="I64" s="1">
        <f>SIMULIMO!N70</f>
        <v>1234.1889424618448</v>
      </c>
      <c r="J64" s="1">
        <f>SIMULIMO!O70</f>
        <v>1215.1221232025457</v>
      </c>
      <c r="K64" s="1">
        <f>SIMULIMO!P70</f>
        <v>1052.7864623824762</v>
      </c>
      <c r="L64" s="1">
        <f>SIMULIMO!Q70</f>
        <v>1122.6879971916151</v>
      </c>
      <c r="M64" s="1">
        <f>SIMULIMO!R70</f>
        <v>1088.2326429997374</v>
      </c>
      <c r="N64" s="1">
        <f>SIMULIMO!S70</f>
        <v>1159.4260432142912</v>
      </c>
      <c r="O64" s="1">
        <f>SIMULIMO!T70</f>
        <v>1231.2738865779229</v>
      </c>
      <c r="P64" s="1">
        <f>SIMULIMO!U70</f>
        <v>1303.7819074654501</v>
      </c>
      <c r="Q64" s="143">
        <f>SIMULIMO!V69</f>
        <v>88093.568339847625</v>
      </c>
      <c r="R64" s="1"/>
      <c r="S64" s="1"/>
      <c r="T64" s="1"/>
      <c r="U64" s="1"/>
      <c r="V64" s="1"/>
      <c r="W64" s="1"/>
      <c r="X64" s="1"/>
      <c r="Y64" s="1"/>
      <c r="Z64" s="1"/>
      <c r="AA64" s="1"/>
      <c r="AB64" s="1"/>
      <c r="AC64" s="1"/>
      <c r="AD64" s="1"/>
      <c r="AE64" s="1"/>
      <c r="AF64" s="1"/>
    </row>
    <row r="65" spans="2:32" x14ac:dyDescent="0.25">
      <c r="B65" s="133">
        <v>16</v>
      </c>
      <c r="C65" s="1">
        <f>SIMULIMO!H70</f>
        <v>-19327.797633278293</v>
      </c>
      <c r="D65" s="1">
        <f>SIMULIMO!I70</f>
        <v>763.55236672170702</v>
      </c>
      <c r="E65" s="1">
        <f>SIMULIMO!J70</f>
        <v>855.81586672170852</v>
      </c>
      <c r="F65" s="1">
        <f>SIMULIMO!K70</f>
        <v>949.00200172170582</v>
      </c>
      <c r="G65" s="1">
        <f>SIMULIMO!L70</f>
        <v>1043.1199980717086</v>
      </c>
      <c r="H65" s="1">
        <f>SIMULIMO!M70</f>
        <v>1138.1791743852064</v>
      </c>
      <c r="I65" s="1">
        <f>SIMULIMO!N70</f>
        <v>1234.1889424618448</v>
      </c>
      <c r="J65" s="1">
        <f>SIMULIMO!O70</f>
        <v>1215.1221232025457</v>
      </c>
      <c r="K65" s="1">
        <f>SIMULIMO!P70</f>
        <v>1052.7864623824762</v>
      </c>
      <c r="L65" s="1">
        <f>SIMULIMO!Q70</f>
        <v>1122.6879971916151</v>
      </c>
      <c r="M65" s="1">
        <f>SIMULIMO!R70</f>
        <v>1088.2326429997374</v>
      </c>
      <c r="N65" s="1">
        <f>SIMULIMO!S70</f>
        <v>1159.4260432142912</v>
      </c>
      <c r="O65" s="1">
        <f>SIMULIMO!T70</f>
        <v>1231.2738865779229</v>
      </c>
      <c r="P65" s="1">
        <f>SIMULIMO!U70</f>
        <v>1303.7819074654501</v>
      </c>
      <c r="Q65" s="1">
        <f>SIMULIMO!V70</f>
        <v>1376.9558861815874</v>
      </c>
      <c r="R65" s="143">
        <f>SIMULIMO!W69</f>
        <v>95210.593607342424</v>
      </c>
      <c r="S65" s="1"/>
      <c r="T65" s="1"/>
      <c r="U65" s="1"/>
      <c r="V65" s="1"/>
      <c r="W65" s="1"/>
      <c r="X65" s="1"/>
      <c r="Y65" s="1"/>
      <c r="Z65" s="1"/>
      <c r="AA65" s="1"/>
      <c r="AB65" s="1"/>
      <c r="AC65" s="1"/>
      <c r="AD65" s="1"/>
      <c r="AE65" s="1"/>
      <c r="AF65" s="1"/>
    </row>
    <row r="66" spans="2:32" x14ac:dyDescent="0.25">
      <c r="B66" s="133">
        <v>17</v>
      </c>
      <c r="C66" s="1">
        <f>SIMULIMO!H70</f>
        <v>-19327.797633278293</v>
      </c>
      <c r="D66" s="1">
        <f>SIMULIMO!I70</f>
        <v>763.55236672170702</v>
      </c>
      <c r="E66" s="1">
        <f>SIMULIMO!J70</f>
        <v>855.81586672170852</v>
      </c>
      <c r="F66" s="1">
        <f>SIMULIMO!K70</f>
        <v>949.00200172170582</v>
      </c>
      <c r="G66" s="1">
        <f>SIMULIMO!L70</f>
        <v>1043.1199980717086</v>
      </c>
      <c r="H66" s="1">
        <f>SIMULIMO!M70</f>
        <v>1138.1791743852064</v>
      </c>
      <c r="I66" s="1">
        <f>SIMULIMO!N70</f>
        <v>1234.1889424618448</v>
      </c>
      <c r="J66" s="1">
        <f>SIMULIMO!O70</f>
        <v>1215.1221232025457</v>
      </c>
      <c r="K66" s="1">
        <f>SIMULIMO!P70</f>
        <v>1052.7864623824762</v>
      </c>
      <c r="L66" s="1">
        <f>SIMULIMO!Q70</f>
        <v>1122.6879971916151</v>
      </c>
      <c r="M66" s="1">
        <f>SIMULIMO!R70</f>
        <v>1088.2326429997374</v>
      </c>
      <c r="N66" s="1">
        <f>SIMULIMO!S70</f>
        <v>1159.4260432142912</v>
      </c>
      <c r="O66" s="1">
        <f>SIMULIMO!T70</f>
        <v>1231.2738865779229</v>
      </c>
      <c r="P66" s="1">
        <f>SIMULIMO!U70</f>
        <v>1303.7819074654501</v>
      </c>
      <c r="Q66" s="1">
        <f>SIMULIMO!V70</f>
        <v>1376.9558861815874</v>
      </c>
      <c r="R66" s="1">
        <f>SIMULIMO!W70</f>
        <v>1450.8016492594272</v>
      </c>
      <c r="S66" s="143">
        <f>SIMULIMO!X69</f>
        <v>102441.92747295812</v>
      </c>
      <c r="T66" s="1"/>
      <c r="U66" s="1"/>
      <c r="V66" s="1"/>
      <c r="W66" s="1"/>
      <c r="X66" s="1"/>
      <c r="Y66" s="1"/>
      <c r="Z66" s="1"/>
      <c r="AA66" s="1"/>
      <c r="AB66" s="1"/>
      <c r="AC66" s="1"/>
      <c r="AD66" s="1"/>
      <c r="AE66" s="1"/>
      <c r="AF66" s="1"/>
    </row>
    <row r="67" spans="2:32" x14ac:dyDescent="0.25">
      <c r="B67" s="133">
        <v>18</v>
      </c>
      <c r="C67" s="1">
        <f>SIMULIMO!H70</f>
        <v>-19327.797633278293</v>
      </c>
      <c r="D67" s="1">
        <f>SIMULIMO!I70</f>
        <v>763.55236672170702</v>
      </c>
      <c r="E67" s="1">
        <f>SIMULIMO!J70</f>
        <v>855.81586672170852</v>
      </c>
      <c r="F67" s="1">
        <f>SIMULIMO!K70</f>
        <v>949.00200172170582</v>
      </c>
      <c r="G67" s="1">
        <f>SIMULIMO!L70</f>
        <v>1043.1199980717086</v>
      </c>
      <c r="H67" s="1">
        <f>SIMULIMO!M70</f>
        <v>1138.1791743852064</v>
      </c>
      <c r="I67" s="1">
        <f>SIMULIMO!N70</f>
        <v>1234.1889424618448</v>
      </c>
      <c r="J67" s="1">
        <f>SIMULIMO!O70</f>
        <v>1215.1221232025457</v>
      </c>
      <c r="K67" s="1">
        <f>SIMULIMO!P70</f>
        <v>1052.7864623824762</v>
      </c>
      <c r="L67" s="1">
        <f>SIMULIMO!Q70</f>
        <v>1122.6879971916151</v>
      </c>
      <c r="M67" s="1">
        <f>SIMULIMO!R70</f>
        <v>1088.2326429997374</v>
      </c>
      <c r="N67" s="1">
        <f>SIMULIMO!S70</f>
        <v>1159.4260432142912</v>
      </c>
      <c r="O67" s="1">
        <f>SIMULIMO!T70</f>
        <v>1231.2738865779229</v>
      </c>
      <c r="P67" s="1">
        <f>SIMULIMO!U70</f>
        <v>1303.7819074654501</v>
      </c>
      <c r="Q67" s="1">
        <f>SIMULIMO!V70</f>
        <v>1376.9558861815874</v>
      </c>
      <c r="R67" s="1">
        <f>SIMULIMO!W70</f>
        <v>1450.8016492594272</v>
      </c>
      <c r="S67" s="1">
        <f>SIMULIMO!X70</f>
        <v>1525.3250697596368</v>
      </c>
      <c r="T67" s="143">
        <f>SIMULIMO!Y69</f>
        <v>109789.12246949197</v>
      </c>
      <c r="U67" s="1"/>
      <c r="V67" s="1"/>
      <c r="W67" s="1"/>
      <c r="X67" s="1"/>
      <c r="Y67" s="1"/>
      <c r="Z67" s="1"/>
      <c r="AA67" s="1"/>
      <c r="AB67" s="1"/>
      <c r="AC67" s="1"/>
      <c r="AD67" s="1"/>
      <c r="AE67" s="1"/>
      <c r="AF67" s="1"/>
    </row>
    <row r="68" spans="2:32" x14ac:dyDescent="0.25">
      <c r="B68" s="133">
        <v>19</v>
      </c>
      <c r="C68" s="1">
        <f>SIMULIMO!H70</f>
        <v>-19327.797633278293</v>
      </c>
      <c r="D68" s="1">
        <f>SIMULIMO!I70</f>
        <v>763.55236672170702</v>
      </c>
      <c r="E68" s="1">
        <f>SIMULIMO!J70</f>
        <v>855.81586672170852</v>
      </c>
      <c r="F68" s="1">
        <f>SIMULIMO!K70</f>
        <v>949.00200172170582</v>
      </c>
      <c r="G68" s="1">
        <f>SIMULIMO!L70</f>
        <v>1043.1199980717086</v>
      </c>
      <c r="H68" s="1">
        <f>SIMULIMO!M70</f>
        <v>1138.1791743852064</v>
      </c>
      <c r="I68" s="1">
        <f>SIMULIMO!N70</f>
        <v>1234.1889424618448</v>
      </c>
      <c r="J68" s="1">
        <f>SIMULIMO!O70</f>
        <v>1215.1221232025457</v>
      </c>
      <c r="K68" s="1">
        <f>SIMULIMO!P70</f>
        <v>1052.7864623824762</v>
      </c>
      <c r="L68" s="1">
        <f>SIMULIMO!Q70</f>
        <v>1122.6879971916151</v>
      </c>
      <c r="M68" s="1">
        <f>SIMULIMO!R70</f>
        <v>1088.2326429997374</v>
      </c>
      <c r="N68" s="1">
        <f>SIMULIMO!S70</f>
        <v>1159.4260432142912</v>
      </c>
      <c r="O68" s="1">
        <f>SIMULIMO!T70</f>
        <v>1231.2738865779229</v>
      </c>
      <c r="P68" s="1">
        <f>SIMULIMO!U70</f>
        <v>1303.7819074654501</v>
      </c>
      <c r="Q68" s="1">
        <f>SIMULIMO!V70</f>
        <v>1376.9558861815874</v>
      </c>
      <c r="R68" s="1">
        <f>SIMULIMO!W70</f>
        <v>1450.8016492594272</v>
      </c>
      <c r="S68" s="1">
        <f>SIMULIMO!X70</f>
        <v>1525.3250697596368</v>
      </c>
      <c r="T68" s="1">
        <f>SIMULIMO!Y70</f>
        <v>1600.5320675703342</v>
      </c>
      <c r="U68" s="143">
        <f>SIMULIMO!Z69</f>
        <v>117253.75242424999</v>
      </c>
      <c r="V68" s="1"/>
      <c r="W68" s="1"/>
      <c r="X68" s="1"/>
      <c r="Y68" s="1"/>
      <c r="Z68" s="1"/>
      <c r="AA68" s="1"/>
      <c r="AB68" s="1"/>
      <c r="AC68" s="1"/>
      <c r="AD68" s="1"/>
      <c r="AE68" s="1"/>
      <c r="AF68" s="1"/>
    </row>
    <row r="69" spans="2:32" x14ac:dyDescent="0.25">
      <c r="B69" s="133">
        <v>20</v>
      </c>
      <c r="C69" s="1">
        <f>SIMULIMO!H70</f>
        <v>-19327.797633278293</v>
      </c>
      <c r="D69" s="1">
        <f>SIMULIMO!I70</f>
        <v>763.55236672170702</v>
      </c>
      <c r="E69" s="1">
        <f>SIMULIMO!J70</f>
        <v>855.81586672170852</v>
      </c>
      <c r="F69" s="1">
        <f>SIMULIMO!K70</f>
        <v>949.00200172170582</v>
      </c>
      <c r="G69" s="1">
        <f>SIMULIMO!L70</f>
        <v>1043.1199980717086</v>
      </c>
      <c r="H69" s="1">
        <f>SIMULIMO!M70</f>
        <v>1138.1791743852064</v>
      </c>
      <c r="I69" s="1">
        <f>SIMULIMO!N70</f>
        <v>1234.1889424618448</v>
      </c>
      <c r="J69" s="1">
        <f>SIMULIMO!O70</f>
        <v>1215.1221232025457</v>
      </c>
      <c r="K69" s="1">
        <f>SIMULIMO!P70</f>
        <v>1052.7864623824762</v>
      </c>
      <c r="L69" s="1">
        <f>SIMULIMO!Q70</f>
        <v>1122.6879971916151</v>
      </c>
      <c r="M69" s="1">
        <f>SIMULIMO!R70</f>
        <v>1088.2326429997374</v>
      </c>
      <c r="N69" s="1">
        <f>SIMULIMO!S70</f>
        <v>1159.4260432142912</v>
      </c>
      <c r="O69" s="1">
        <f>SIMULIMO!T70</f>
        <v>1231.2738865779229</v>
      </c>
      <c r="P69" s="1">
        <f>SIMULIMO!U70</f>
        <v>1303.7819074654501</v>
      </c>
      <c r="Q69" s="1">
        <f>SIMULIMO!V70</f>
        <v>1376.9558861815874</v>
      </c>
      <c r="R69" s="1">
        <f>SIMULIMO!W70</f>
        <v>1450.8016492594272</v>
      </c>
      <c r="S69" s="1">
        <f>SIMULIMO!X70</f>
        <v>1525.3250697596368</v>
      </c>
      <c r="T69" s="1">
        <f>SIMULIMO!Y70</f>
        <v>1600.5320675703342</v>
      </c>
      <c r="U69" s="1">
        <f>SIMULIMO!Z70</f>
        <v>1676.4286097076692</v>
      </c>
      <c r="V69" s="143">
        <f>SIMULIMO!AA69</f>
        <v>124837.41275328086</v>
      </c>
      <c r="W69" s="1"/>
      <c r="X69" s="1"/>
      <c r="Y69" s="1"/>
      <c r="Z69" s="1"/>
      <c r="AA69" s="1"/>
      <c r="AB69" s="1"/>
      <c r="AC69" s="1"/>
      <c r="AD69" s="1"/>
      <c r="AE69" s="1"/>
      <c r="AF69" s="1"/>
    </row>
    <row r="70" spans="2:32" x14ac:dyDescent="0.25">
      <c r="B70" s="133">
        <v>21</v>
      </c>
      <c r="C70" s="1">
        <f>SIMULIMO!H70</f>
        <v>-19327.797633278293</v>
      </c>
      <c r="D70" s="1">
        <f>SIMULIMO!I70</f>
        <v>763.55236672170702</v>
      </c>
      <c r="E70" s="1">
        <f>SIMULIMO!J70</f>
        <v>855.81586672170852</v>
      </c>
      <c r="F70" s="1">
        <f>SIMULIMO!K70</f>
        <v>949.00200172170582</v>
      </c>
      <c r="G70" s="1">
        <f>SIMULIMO!L70</f>
        <v>1043.1199980717086</v>
      </c>
      <c r="H70" s="1">
        <f>SIMULIMO!M70</f>
        <v>1138.1791743852064</v>
      </c>
      <c r="I70" s="1">
        <f>SIMULIMO!N70</f>
        <v>1234.1889424618448</v>
      </c>
      <c r="J70" s="1">
        <f>SIMULIMO!O70</f>
        <v>1215.1221232025457</v>
      </c>
      <c r="K70" s="1">
        <f>SIMULIMO!P70</f>
        <v>1052.7864623824762</v>
      </c>
      <c r="L70" s="1">
        <f>SIMULIMO!Q70</f>
        <v>1122.6879971916151</v>
      </c>
      <c r="M70" s="1">
        <f>SIMULIMO!R70</f>
        <v>1088.2326429997374</v>
      </c>
      <c r="N70" s="1">
        <f>SIMULIMO!S70</f>
        <v>1159.4260432142912</v>
      </c>
      <c r="O70" s="1">
        <f>SIMULIMO!T70</f>
        <v>1231.2738865779229</v>
      </c>
      <c r="P70" s="1">
        <f>SIMULIMO!U70</f>
        <v>1303.7819074654501</v>
      </c>
      <c r="Q70" s="1">
        <f>SIMULIMO!V70</f>
        <v>1376.9558861815874</v>
      </c>
      <c r="R70" s="1">
        <f>SIMULIMO!W70</f>
        <v>1450.8016492594272</v>
      </c>
      <c r="S70" s="1">
        <f>SIMULIMO!X70</f>
        <v>1525.3250697596368</v>
      </c>
      <c r="T70" s="1">
        <f>SIMULIMO!Y70</f>
        <v>1600.5320675703342</v>
      </c>
      <c r="U70" s="1">
        <f>SIMULIMO!Z70</f>
        <v>1676.4286097076692</v>
      </c>
      <c r="V70" s="1">
        <f>SIMULIMO!AA70</f>
        <v>1753.0207106169889</v>
      </c>
      <c r="W70" s="143">
        <f>SIMULIMO!AB69</f>
        <v>132541.72075969761</v>
      </c>
      <c r="X70" s="1"/>
      <c r="Y70" s="1"/>
      <c r="Z70" s="1"/>
      <c r="AA70" s="1"/>
      <c r="AB70" s="1"/>
      <c r="AC70" s="1"/>
      <c r="AD70" s="1"/>
      <c r="AE70" s="1"/>
      <c r="AF70" s="1"/>
    </row>
    <row r="71" spans="2:32" x14ac:dyDescent="0.25">
      <c r="B71" s="133">
        <v>22</v>
      </c>
      <c r="C71" s="1">
        <f>SIMULIMO!H70</f>
        <v>-19327.797633278293</v>
      </c>
      <c r="D71" s="1">
        <f>SIMULIMO!I70</f>
        <v>763.55236672170702</v>
      </c>
      <c r="E71" s="1">
        <f>SIMULIMO!J70</f>
        <v>855.81586672170852</v>
      </c>
      <c r="F71" s="1">
        <f>SIMULIMO!K70</f>
        <v>949.00200172170582</v>
      </c>
      <c r="G71" s="1">
        <f>SIMULIMO!L70</f>
        <v>1043.1199980717086</v>
      </c>
      <c r="H71" s="1">
        <f>SIMULIMO!M70</f>
        <v>1138.1791743852064</v>
      </c>
      <c r="I71" s="1">
        <f>SIMULIMO!N70</f>
        <v>1234.1889424618448</v>
      </c>
      <c r="J71" s="1">
        <f>SIMULIMO!O70</f>
        <v>1215.1221232025457</v>
      </c>
      <c r="K71" s="1">
        <f>SIMULIMO!P70</f>
        <v>1052.7864623824762</v>
      </c>
      <c r="L71" s="1">
        <f>SIMULIMO!Q70</f>
        <v>1122.6879971916151</v>
      </c>
      <c r="M71" s="1">
        <f>SIMULIMO!R70</f>
        <v>1088.2326429997374</v>
      </c>
      <c r="N71" s="1">
        <f>SIMULIMO!S70</f>
        <v>1159.4260432142912</v>
      </c>
      <c r="O71" s="1">
        <f>SIMULIMO!T70</f>
        <v>1231.2738865779229</v>
      </c>
      <c r="P71" s="1">
        <f>SIMULIMO!U70</f>
        <v>1303.7819074654501</v>
      </c>
      <c r="Q71" s="1">
        <f>SIMULIMO!V70</f>
        <v>1376.9558861815874</v>
      </c>
      <c r="R71" s="1">
        <f>SIMULIMO!W70</f>
        <v>1450.8016492594272</v>
      </c>
      <c r="S71" s="1">
        <f>SIMULIMO!X70</f>
        <v>1525.3250697596368</v>
      </c>
      <c r="T71" s="1">
        <f>SIMULIMO!Y70</f>
        <v>1600.5320675703342</v>
      </c>
      <c r="U71" s="1">
        <f>SIMULIMO!Z70</f>
        <v>1676.4286097076692</v>
      </c>
      <c r="V71" s="1">
        <f>SIMULIMO!AA70</f>
        <v>1753.0207106169889</v>
      </c>
      <c r="W71" s="1">
        <f>SIMULIMO!AB70</f>
        <v>1830.3144324746881</v>
      </c>
      <c r="X71" s="143">
        <f>SIMULIMO!AC69</f>
        <v>140368.31593614395</v>
      </c>
      <c r="Y71" s="1"/>
      <c r="Z71" s="1"/>
      <c r="AA71" s="1"/>
      <c r="AB71" s="1"/>
      <c r="AC71" s="1"/>
      <c r="AD71" s="1"/>
      <c r="AE71" s="1"/>
      <c r="AF71" s="1"/>
    </row>
    <row r="72" spans="2:32" x14ac:dyDescent="0.25">
      <c r="B72" s="133">
        <v>23</v>
      </c>
      <c r="C72" s="1">
        <f>SIMULIMO!H70</f>
        <v>-19327.797633278293</v>
      </c>
      <c r="D72" s="1">
        <f>SIMULIMO!I70</f>
        <v>763.55236672170702</v>
      </c>
      <c r="E72" s="1">
        <f>SIMULIMO!J70</f>
        <v>855.81586672170852</v>
      </c>
      <c r="F72" s="1">
        <f>SIMULIMO!K70</f>
        <v>949.00200172170582</v>
      </c>
      <c r="G72" s="1">
        <f>SIMULIMO!L70</f>
        <v>1043.1199980717086</v>
      </c>
      <c r="H72" s="1">
        <f>SIMULIMO!M70</f>
        <v>1138.1791743852064</v>
      </c>
      <c r="I72" s="1">
        <f>SIMULIMO!N70</f>
        <v>1234.1889424618448</v>
      </c>
      <c r="J72" s="1">
        <f>SIMULIMO!O70</f>
        <v>1215.1221232025457</v>
      </c>
      <c r="K72" s="1">
        <f>SIMULIMO!P70</f>
        <v>1052.7864623824762</v>
      </c>
      <c r="L72" s="1">
        <f>SIMULIMO!Q70</f>
        <v>1122.6879971916151</v>
      </c>
      <c r="M72" s="1">
        <f>SIMULIMO!R70</f>
        <v>1088.2326429997374</v>
      </c>
      <c r="N72" s="1">
        <f>SIMULIMO!S70</f>
        <v>1159.4260432142912</v>
      </c>
      <c r="O72" s="1">
        <f>SIMULIMO!T70</f>
        <v>1231.2738865779229</v>
      </c>
      <c r="P72" s="1">
        <f>SIMULIMO!U70</f>
        <v>1303.7819074654501</v>
      </c>
      <c r="Q72" s="1">
        <f>SIMULIMO!V70</f>
        <v>1376.9558861815874</v>
      </c>
      <c r="R72" s="1">
        <f>SIMULIMO!W70</f>
        <v>1450.8016492594272</v>
      </c>
      <c r="S72" s="1">
        <f>SIMULIMO!X70</f>
        <v>1525.3250697596368</v>
      </c>
      <c r="T72" s="1">
        <f>SIMULIMO!Y70</f>
        <v>1600.5320675703342</v>
      </c>
      <c r="U72" s="1">
        <f>SIMULIMO!Z70</f>
        <v>1676.4286097076692</v>
      </c>
      <c r="V72" s="1">
        <f>SIMULIMO!AA70</f>
        <v>1753.0207106169889</v>
      </c>
      <c r="W72" s="1">
        <f>SIMULIMO!AB70</f>
        <v>1830.3144324746881</v>
      </c>
      <c r="X72" s="1">
        <f>SIMULIMO!AC70</f>
        <v>1908.3158854905871</v>
      </c>
      <c r="Y72" s="143">
        <f>SIMULIMO!AD69</f>
        <v>148318.860271463</v>
      </c>
      <c r="Z72" s="1"/>
      <c r="AA72" s="1"/>
      <c r="AB72" s="1"/>
      <c r="AC72" s="1"/>
      <c r="AD72" s="1"/>
      <c r="AE72" s="1"/>
      <c r="AF72" s="1"/>
    </row>
    <row r="73" spans="2:32" x14ac:dyDescent="0.25">
      <c r="B73" s="133">
        <v>24</v>
      </c>
      <c r="C73" s="1">
        <f>SIMULIMO!H70</f>
        <v>-19327.797633278293</v>
      </c>
      <c r="D73" s="1">
        <f>SIMULIMO!I70</f>
        <v>763.55236672170702</v>
      </c>
      <c r="E73" s="1">
        <f>SIMULIMO!J70</f>
        <v>855.81586672170852</v>
      </c>
      <c r="F73" s="1">
        <f>SIMULIMO!K70</f>
        <v>949.00200172170582</v>
      </c>
      <c r="G73" s="1">
        <f>SIMULIMO!L70</f>
        <v>1043.1199980717086</v>
      </c>
      <c r="H73" s="1">
        <f>SIMULIMO!M70</f>
        <v>1138.1791743852064</v>
      </c>
      <c r="I73" s="1">
        <f>SIMULIMO!N70</f>
        <v>1234.1889424618448</v>
      </c>
      <c r="J73" s="1">
        <f>SIMULIMO!O70</f>
        <v>1215.1221232025457</v>
      </c>
      <c r="K73" s="1">
        <f>SIMULIMO!P70</f>
        <v>1052.7864623824762</v>
      </c>
      <c r="L73" s="1">
        <f>SIMULIMO!Q70</f>
        <v>1122.6879971916151</v>
      </c>
      <c r="M73" s="1">
        <f>SIMULIMO!R70</f>
        <v>1088.2326429997374</v>
      </c>
      <c r="N73" s="1">
        <f>SIMULIMO!S70</f>
        <v>1159.4260432142912</v>
      </c>
      <c r="O73" s="1">
        <f>SIMULIMO!T70</f>
        <v>1231.2738865779229</v>
      </c>
      <c r="P73" s="1">
        <f>SIMULIMO!U70</f>
        <v>1303.7819074654501</v>
      </c>
      <c r="Q73" s="1">
        <f>SIMULIMO!V70</f>
        <v>1376.9558861815874</v>
      </c>
      <c r="R73" s="1">
        <f>SIMULIMO!W70</f>
        <v>1450.8016492594272</v>
      </c>
      <c r="S73" s="1">
        <f>SIMULIMO!X70</f>
        <v>1525.3250697596368</v>
      </c>
      <c r="T73" s="1">
        <f>SIMULIMO!Y70</f>
        <v>1600.5320675703342</v>
      </c>
      <c r="U73" s="1">
        <f>SIMULIMO!Z70</f>
        <v>1676.4286097076692</v>
      </c>
      <c r="V73" s="1">
        <f>SIMULIMO!AA70</f>
        <v>1753.0207106169889</v>
      </c>
      <c r="W73" s="1">
        <f>SIMULIMO!AB70</f>
        <v>1830.3144324746881</v>
      </c>
      <c r="X73" s="1">
        <f>SIMULIMO!AC70</f>
        <v>1908.3158854905871</v>
      </c>
      <c r="Y73" s="1">
        <f>SIMULIMO!AD70</f>
        <v>1987.0312282109098</v>
      </c>
      <c r="Z73" s="143">
        <f>SIMULIMO!AE69</f>
        <v>156395.03856162765</v>
      </c>
      <c r="AA73" s="1"/>
      <c r="AB73" s="1"/>
      <c r="AC73" s="1"/>
      <c r="AD73" s="1"/>
      <c r="AE73" s="1"/>
      <c r="AF73" s="1"/>
    </row>
    <row r="74" spans="2:32" x14ac:dyDescent="0.25">
      <c r="B74" s="133">
        <v>25</v>
      </c>
      <c r="C74" s="1">
        <f>SIMULIMO!H70</f>
        <v>-19327.797633278293</v>
      </c>
      <c r="D74" s="1">
        <f>SIMULIMO!I70</f>
        <v>763.55236672170702</v>
      </c>
      <c r="E74" s="1">
        <f>SIMULIMO!J70</f>
        <v>855.81586672170852</v>
      </c>
      <c r="F74" s="1">
        <f>SIMULIMO!K70</f>
        <v>949.00200172170582</v>
      </c>
      <c r="G74" s="1">
        <f>SIMULIMO!L70</f>
        <v>1043.1199980717086</v>
      </c>
      <c r="H74" s="1">
        <f>SIMULIMO!M70</f>
        <v>1138.1791743852064</v>
      </c>
      <c r="I74" s="1">
        <f>SIMULIMO!N70</f>
        <v>1234.1889424618448</v>
      </c>
      <c r="J74" s="1">
        <f>SIMULIMO!O70</f>
        <v>1215.1221232025457</v>
      </c>
      <c r="K74" s="1">
        <f>SIMULIMO!P70</f>
        <v>1052.7864623824762</v>
      </c>
      <c r="L74" s="1">
        <f>SIMULIMO!Q70</f>
        <v>1122.6879971916151</v>
      </c>
      <c r="M74" s="1">
        <f>SIMULIMO!R70</f>
        <v>1088.2326429997374</v>
      </c>
      <c r="N74" s="1">
        <f>SIMULIMO!S70</f>
        <v>1159.4260432142912</v>
      </c>
      <c r="O74" s="1">
        <f>SIMULIMO!T70</f>
        <v>1231.2738865779229</v>
      </c>
      <c r="P74" s="1">
        <f>SIMULIMO!U70</f>
        <v>1303.7819074654501</v>
      </c>
      <c r="Q74" s="1">
        <f>SIMULIMO!V70</f>
        <v>1376.9558861815874</v>
      </c>
      <c r="R74" s="1">
        <f>SIMULIMO!W70</f>
        <v>1450.8016492594272</v>
      </c>
      <c r="S74" s="1">
        <f>SIMULIMO!X70</f>
        <v>1525.3250697596368</v>
      </c>
      <c r="T74" s="1">
        <f>SIMULIMO!Y70</f>
        <v>1600.5320675703342</v>
      </c>
      <c r="U74" s="1">
        <f>SIMULIMO!Z70</f>
        <v>1676.4286097076692</v>
      </c>
      <c r="V74" s="1">
        <f>SIMULIMO!AA70</f>
        <v>1753.0207106169889</v>
      </c>
      <c r="W74" s="1">
        <f>SIMULIMO!AB70</f>
        <v>1830.3144324746881</v>
      </c>
      <c r="X74" s="1">
        <f>SIMULIMO!AC70</f>
        <v>1908.3158854905871</v>
      </c>
      <c r="Y74" s="1">
        <f>SIMULIMO!AD70</f>
        <v>1987.0312282109098</v>
      </c>
      <c r="Z74" s="1">
        <f>SIMULIMO!AE70</f>
        <v>2066.4666678217554</v>
      </c>
      <c r="AA74" s="143">
        <f>SIMULIMO!AF69</f>
        <v>164598.55872499099</v>
      </c>
      <c r="AB74" s="1"/>
      <c r="AC74" s="1"/>
      <c r="AD74" s="1"/>
      <c r="AE74" s="1"/>
      <c r="AF74" s="1"/>
    </row>
    <row r="75" spans="2:32" x14ac:dyDescent="0.25">
      <c r="B75" s="133">
        <v>26</v>
      </c>
      <c r="C75" s="1">
        <f>SIMULIMO!H70</f>
        <v>-19327.797633278293</v>
      </c>
      <c r="D75" s="1">
        <f>SIMULIMO!I70</f>
        <v>763.55236672170702</v>
      </c>
      <c r="E75" s="1">
        <f>SIMULIMO!J70</f>
        <v>855.81586672170852</v>
      </c>
      <c r="F75" s="1">
        <f>SIMULIMO!K70</f>
        <v>949.00200172170582</v>
      </c>
      <c r="G75" s="1">
        <f>SIMULIMO!L70</f>
        <v>1043.1199980717086</v>
      </c>
      <c r="H75" s="1">
        <f>SIMULIMO!M70</f>
        <v>1138.1791743852064</v>
      </c>
      <c r="I75" s="1">
        <f>SIMULIMO!N70</f>
        <v>1234.1889424618448</v>
      </c>
      <c r="J75" s="1">
        <f>SIMULIMO!O70</f>
        <v>1215.1221232025457</v>
      </c>
      <c r="K75" s="1">
        <f>SIMULIMO!P70</f>
        <v>1052.7864623824762</v>
      </c>
      <c r="L75" s="1">
        <f>SIMULIMO!Q70</f>
        <v>1122.6879971916151</v>
      </c>
      <c r="M75" s="1">
        <f>SIMULIMO!R70</f>
        <v>1088.2326429997374</v>
      </c>
      <c r="N75" s="1">
        <f>SIMULIMO!S70</f>
        <v>1159.4260432142912</v>
      </c>
      <c r="O75" s="1">
        <f>SIMULIMO!T70</f>
        <v>1231.2738865779229</v>
      </c>
      <c r="P75" s="1">
        <f>SIMULIMO!U70</f>
        <v>1303.7819074654501</v>
      </c>
      <c r="Q75" s="1">
        <f>SIMULIMO!V70</f>
        <v>1376.9558861815874</v>
      </c>
      <c r="R75" s="1">
        <f>SIMULIMO!W70</f>
        <v>1450.8016492594272</v>
      </c>
      <c r="S75" s="1">
        <f>SIMULIMO!X70</f>
        <v>1525.3250697596368</v>
      </c>
      <c r="T75" s="1">
        <f>SIMULIMO!Y70</f>
        <v>1600.5320675703342</v>
      </c>
      <c r="U75" s="1">
        <f>SIMULIMO!Z70</f>
        <v>1676.4286097076692</v>
      </c>
      <c r="V75" s="1">
        <f>SIMULIMO!AA70</f>
        <v>1753.0207106169889</v>
      </c>
      <c r="W75" s="1">
        <f>SIMULIMO!AB70</f>
        <v>1830.3144324746881</v>
      </c>
      <c r="X75" s="1">
        <f>SIMULIMO!AC70</f>
        <v>1908.3158854905871</v>
      </c>
      <c r="Y75" s="1">
        <f>SIMULIMO!AD70</f>
        <v>1987.0312282109098</v>
      </c>
      <c r="Z75" s="1">
        <f>SIMULIMO!AE70</f>
        <v>2066.4666678217554</v>
      </c>
      <c r="AA75" s="1">
        <f>SIMULIMO!AF70</f>
        <v>2146.6284604531252</v>
      </c>
      <c r="AB75" s="143">
        <f>SIMULIMO!AG69</f>
        <v>173017.07991335524</v>
      </c>
      <c r="AC75" s="1"/>
      <c r="AD75" s="1"/>
      <c r="AE75" s="1"/>
      <c r="AF75" s="1"/>
    </row>
    <row r="76" spans="2:32" x14ac:dyDescent="0.25">
      <c r="B76" s="133">
        <v>27</v>
      </c>
      <c r="C76" s="1">
        <f>SIMULIMO!H70</f>
        <v>-19327.797633278293</v>
      </c>
      <c r="D76" s="1">
        <f>SIMULIMO!I70</f>
        <v>763.55236672170702</v>
      </c>
      <c r="E76" s="1">
        <f>SIMULIMO!J70</f>
        <v>855.81586672170852</v>
      </c>
      <c r="F76" s="1">
        <f>SIMULIMO!K70</f>
        <v>949.00200172170582</v>
      </c>
      <c r="G76" s="1">
        <f>SIMULIMO!L70</f>
        <v>1043.1199980717086</v>
      </c>
      <c r="H76" s="1">
        <f>SIMULIMO!M70</f>
        <v>1138.1791743852064</v>
      </c>
      <c r="I76" s="1">
        <f>SIMULIMO!N70</f>
        <v>1234.1889424618448</v>
      </c>
      <c r="J76" s="1">
        <f>SIMULIMO!O70</f>
        <v>1215.1221232025457</v>
      </c>
      <c r="K76" s="1">
        <f>SIMULIMO!P70</f>
        <v>1052.7864623824762</v>
      </c>
      <c r="L76" s="1">
        <f>SIMULIMO!Q70</f>
        <v>1122.6879971916151</v>
      </c>
      <c r="M76" s="1">
        <f>SIMULIMO!R70</f>
        <v>1088.2326429997374</v>
      </c>
      <c r="N76" s="1">
        <f>SIMULIMO!S70</f>
        <v>1159.4260432142912</v>
      </c>
      <c r="O76" s="1">
        <f>SIMULIMO!T70</f>
        <v>1231.2738865779229</v>
      </c>
      <c r="P76" s="1">
        <f>SIMULIMO!U70</f>
        <v>1303.7819074654501</v>
      </c>
      <c r="Q76" s="1">
        <f>SIMULIMO!V70</f>
        <v>1376.9558861815874</v>
      </c>
      <c r="R76" s="1">
        <f>SIMULIMO!W70</f>
        <v>1450.8016492594272</v>
      </c>
      <c r="S76" s="1">
        <f>SIMULIMO!X70</f>
        <v>1525.3250697596368</v>
      </c>
      <c r="T76" s="1">
        <f>SIMULIMO!Y70</f>
        <v>1600.5320675703342</v>
      </c>
      <c r="U76" s="1">
        <f>SIMULIMO!Z70</f>
        <v>1676.4286097076692</v>
      </c>
      <c r="V76" s="1">
        <f>SIMULIMO!AA70</f>
        <v>1753.0207106169889</v>
      </c>
      <c r="W76" s="1">
        <f>SIMULIMO!AB70</f>
        <v>1830.3144324746881</v>
      </c>
      <c r="X76" s="1">
        <f>SIMULIMO!AC70</f>
        <v>1908.3158854905871</v>
      </c>
      <c r="Y76" s="1">
        <f>SIMULIMO!AD70</f>
        <v>1987.0312282109098</v>
      </c>
      <c r="Z76" s="1">
        <f>SIMULIMO!AE70</f>
        <v>2066.4666678217554</v>
      </c>
      <c r="AA76" s="1">
        <f>SIMULIMO!AF70</f>
        <v>2146.6284604531252</v>
      </c>
      <c r="AB76" s="1">
        <f>SIMULIMO!AG70</f>
        <v>10532.418921545504</v>
      </c>
      <c r="AC76" s="143">
        <f>SIMULIMO!AH69+SIMULIMO!AH70</f>
        <v>183825.21532324969</v>
      </c>
      <c r="AD76" s="1"/>
      <c r="AE76" s="1"/>
      <c r="AF76" s="1"/>
    </row>
    <row r="77" spans="2:32" x14ac:dyDescent="0.25">
      <c r="B77" s="133">
        <v>28</v>
      </c>
      <c r="C77" s="1">
        <f>SIMULIMO!H70</f>
        <v>-19327.797633278293</v>
      </c>
      <c r="D77" s="1">
        <f>SIMULIMO!I70</f>
        <v>763.55236672170702</v>
      </c>
      <c r="E77" s="1">
        <f>SIMULIMO!J70</f>
        <v>855.81586672170852</v>
      </c>
      <c r="F77" s="1">
        <f>SIMULIMO!K70</f>
        <v>949.00200172170582</v>
      </c>
      <c r="G77" s="1">
        <f>SIMULIMO!L70</f>
        <v>1043.1199980717086</v>
      </c>
      <c r="H77" s="1">
        <f>SIMULIMO!M70</f>
        <v>1138.1791743852064</v>
      </c>
      <c r="I77" s="1">
        <f>SIMULIMO!N70</f>
        <v>1234.1889424618448</v>
      </c>
      <c r="J77" s="1">
        <f>SIMULIMO!O70</f>
        <v>1215.1221232025457</v>
      </c>
      <c r="K77" s="1">
        <f>SIMULIMO!P70</f>
        <v>1052.7864623824762</v>
      </c>
      <c r="L77" s="1">
        <f>SIMULIMO!Q70</f>
        <v>1122.6879971916151</v>
      </c>
      <c r="M77" s="1">
        <f>SIMULIMO!R70</f>
        <v>1088.2326429997374</v>
      </c>
      <c r="N77" s="1">
        <f>SIMULIMO!S70</f>
        <v>1159.4260432142912</v>
      </c>
      <c r="O77" s="1">
        <f>SIMULIMO!T70</f>
        <v>1231.2738865779229</v>
      </c>
      <c r="P77" s="1">
        <f>SIMULIMO!U70</f>
        <v>1303.7819074654501</v>
      </c>
      <c r="Q77" s="1">
        <f>SIMULIMO!V70</f>
        <v>1376.9558861815874</v>
      </c>
      <c r="R77" s="1">
        <f>SIMULIMO!W70</f>
        <v>1450.8016492594272</v>
      </c>
      <c r="S77" s="1">
        <f>SIMULIMO!X70</f>
        <v>1525.3250697596368</v>
      </c>
      <c r="T77" s="1">
        <f>SIMULIMO!Y70</f>
        <v>1600.5320675703342</v>
      </c>
      <c r="U77" s="1">
        <f>SIMULIMO!Z70</f>
        <v>1676.4286097076692</v>
      </c>
      <c r="V77" s="1">
        <f>SIMULIMO!AA70</f>
        <v>1753.0207106169889</v>
      </c>
      <c r="W77" s="1">
        <f>SIMULIMO!AB70</f>
        <v>1830.3144324746881</v>
      </c>
      <c r="X77" s="1">
        <f>SIMULIMO!AC70</f>
        <v>1908.3158854905871</v>
      </c>
      <c r="Y77" s="1">
        <f>SIMULIMO!AD70</f>
        <v>1987.0312282109098</v>
      </c>
      <c r="Z77" s="1">
        <f>SIMULIMO!AE70</f>
        <v>2066.4666678217554</v>
      </c>
      <c r="AA77" s="1">
        <f>SIMULIMO!AF70</f>
        <v>2146.6284604531252</v>
      </c>
      <c r="AB77" s="1">
        <f>SIMULIMO!AG70</f>
        <v>10532.418921545504</v>
      </c>
      <c r="AC77" s="1">
        <f>SIMULIMO!AH70</f>
        <v>10631.39061076096</v>
      </c>
      <c r="AD77" s="143">
        <f>SIMULIMO!AI69+SIMULIMO!AI70</f>
        <v>184117.76830981552</v>
      </c>
      <c r="AE77" s="1"/>
      <c r="AF77" s="1"/>
    </row>
    <row r="78" spans="2:32" x14ac:dyDescent="0.25">
      <c r="B78" s="133">
        <v>29</v>
      </c>
      <c r="C78" s="1">
        <f>SIMULIMO!H70</f>
        <v>-19327.797633278293</v>
      </c>
      <c r="D78" s="1">
        <f>SIMULIMO!I70</f>
        <v>763.55236672170702</v>
      </c>
      <c r="E78" s="1">
        <f>SIMULIMO!J70</f>
        <v>855.81586672170852</v>
      </c>
      <c r="F78" s="1">
        <f>SIMULIMO!K70</f>
        <v>949.00200172170582</v>
      </c>
      <c r="G78" s="1">
        <f>SIMULIMO!L70</f>
        <v>1043.1199980717086</v>
      </c>
      <c r="H78" s="1">
        <f>SIMULIMO!M70</f>
        <v>1138.1791743852064</v>
      </c>
      <c r="I78" s="1">
        <f>SIMULIMO!N70</f>
        <v>1234.1889424618448</v>
      </c>
      <c r="J78" s="1">
        <f>SIMULIMO!O70</f>
        <v>1215.1221232025457</v>
      </c>
      <c r="K78" s="1">
        <f>SIMULIMO!P70</f>
        <v>1052.7864623824762</v>
      </c>
      <c r="L78" s="1">
        <f>SIMULIMO!Q70</f>
        <v>1122.6879971916151</v>
      </c>
      <c r="M78" s="1">
        <f>SIMULIMO!R70</f>
        <v>1088.2326429997374</v>
      </c>
      <c r="N78" s="1">
        <f>SIMULIMO!S70</f>
        <v>1159.4260432142912</v>
      </c>
      <c r="O78" s="1">
        <f>SIMULIMO!T70</f>
        <v>1231.2738865779229</v>
      </c>
      <c r="P78" s="1">
        <f>SIMULIMO!U70</f>
        <v>1303.7819074654501</v>
      </c>
      <c r="Q78" s="1">
        <f>SIMULIMO!V70</f>
        <v>1376.9558861815874</v>
      </c>
      <c r="R78" s="1">
        <f>SIMULIMO!W70</f>
        <v>1450.8016492594272</v>
      </c>
      <c r="S78" s="1">
        <f>SIMULIMO!X70</f>
        <v>1525.3250697596368</v>
      </c>
      <c r="T78" s="1">
        <f>SIMULIMO!Y70</f>
        <v>1600.5320675703342</v>
      </c>
      <c r="U78" s="1">
        <f>SIMULIMO!Z70</f>
        <v>1676.4286097076692</v>
      </c>
      <c r="V78" s="1">
        <f>SIMULIMO!AA70</f>
        <v>1753.0207106169889</v>
      </c>
      <c r="W78" s="1">
        <f>SIMULIMO!AB70</f>
        <v>1830.3144324746881</v>
      </c>
      <c r="X78" s="1">
        <f>SIMULIMO!AC70</f>
        <v>1908.3158854905871</v>
      </c>
      <c r="Y78" s="1">
        <f>SIMULIMO!AD70</f>
        <v>1987.0312282109098</v>
      </c>
      <c r="Z78" s="1">
        <f>SIMULIMO!AE70</f>
        <v>2066.4666678217554</v>
      </c>
      <c r="AA78" s="1">
        <f>SIMULIMO!AF70</f>
        <v>2146.6284604531252</v>
      </c>
      <c r="AB78" s="1">
        <f>SIMULIMO!AG70</f>
        <v>10532.418921545504</v>
      </c>
      <c r="AC78" s="1">
        <f>SIMULIMO!AH70</f>
        <v>10631.39061076096</v>
      </c>
      <c r="AD78" s="1">
        <f>SIMULIMO!AI70</f>
        <v>10731.352016868563</v>
      </c>
      <c r="AE78" s="143">
        <f>SIMULIMO!AJ69</f>
        <v>173595.01312254308</v>
      </c>
      <c r="AF78" s="1"/>
    </row>
    <row r="79" spans="2:32" x14ac:dyDescent="0.25">
      <c r="B79" s="133">
        <v>30</v>
      </c>
      <c r="C79" s="1">
        <f>SIMULIMO!H70</f>
        <v>-19327.797633278293</v>
      </c>
      <c r="D79" s="1">
        <f>SIMULIMO!I70</f>
        <v>763.55236672170702</v>
      </c>
      <c r="E79" s="1">
        <f>SIMULIMO!J70</f>
        <v>855.81586672170852</v>
      </c>
      <c r="F79" s="1">
        <f>SIMULIMO!K70</f>
        <v>949.00200172170582</v>
      </c>
      <c r="G79" s="1">
        <f>SIMULIMO!L70</f>
        <v>1043.1199980717086</v>
      </c>
      <c r="H79" s="1">
        <f>SIMULIMO!M70</f>
        <v>1138.1791743852064</v>
      </c>
      <c r="I79" s="1">
        <f>SIMULIMO!N70</f>
        <v>1234.1889424618448</v>
      </c>
      <c r="J79" s="1">
        <f>SIMULIMO!O70</f>
        <v>1215.1221232025457</v>
      </c>
      <c r="K79" s="1">
        <f>SIMULIMO!P70</f>
        <v>1052.7864623824762</v>
      </c>
      <c r="L79" s="1">
        <f>SIMULIMO!Q70</f>
        <v>1122.6879971916151</v>
      </c>
      <c r="M79" s="1">
        <f>SIMULIMO!R70</f>
        <v>1088.2326429997374</v>
      </c>
      <c r="N79" s="1">
        <f>SIMULIMO!S70</f>
        <v>1159.4260432142912</v>
      </c>
      <c r="O79" s="1">
        <f>SIMULIMO!T70</f>
        <v>1231.2738865779229</v>
      </c>
      <c r="P79" s="1">
        <f>SIMULIMO!U70</f>
        <v>1303.7819074654501</v>
      </c>
      <c r="Q79" s="1">
        <f>SIMULIMO!V70</f>
        <v>1376.9558861815874</v>
      </c>
      <c r="R79" s="1">
        <f>SIMULIMO!W70</f>
        <v>1450.8016492594272</v>
      </c>
      <c r="S79" s="1">
        <f>SIMULIMO!X70</f>
        <v>1525.3250697596368</v>
      </c>
      <c r="T79" s="1">
        <f>SIMULIMO!Y70</f>
        <v>1600.5320675703342</v>
      </c>
      <c r="U79" s="1">
        <f>SIMULIMO!Z70</f>
        <v>1676.4286097076692</v>
      </c>
      <c r="V79" s="1">
        <f>SIMULIMO!AA70</f>
        <v>1753.0207106169889</v>
      </c>
      <c r="W79" s="1">
        <f>SIMULIMO!AB70</f>
        <v>1830.3144324746881</v>
      </c>
      <c r="X79" s="1">
        <f>SIMULIMO!AC70</f>
        <v>1908.3158854905871</v>
      </c>
      <c r="Y79" s="1">
        <f>SIMULIMO!AD70</f>
        <v>1987.0312282109098</v>
      </c>
      <c r="Z79" s="1">
        <f>SIMULIMO!AE70</f>
        <v>2066.4666678217554</v>
      </c>
      <c r="AA79" s="1">
        <f>SIMULIMO!AF70</f>
        <v>2146.6284604531252</v>
      </c>
      <c r="AB79" s="1">
        <f>SIMULIMO!AG70</f>
        <v>10532.418921545504</v>
      </c>
      <c r="AC79" s="1">
        <f>SIMULIMO!AH70</f>
        <v>10631.39061076096</v>
      </c>
      <c r="AD79" s="1">
        <f>SIMULIMO!AI70</f>
        <v>10731.352016868563</v>
      </c>
      <c r="AE79" s="1">
        <f>SIMULIMO!AJ70</f>
        <v>10832.313037037255</v>
      </c>
      <c r="AF79" s="143">
        <f>SIMULIMO!AK69</f>
        <v>173819.77525376857</v>
      </c>
    </row>
    <row r="81" spans="2:32" x14ac:dyDescent="0.25">
      <c r="B81" s="137"/>
      <c r="C81" s="138"/>
      <c r="D81" s="138"/>
      <c r="E81" s="138"/>
      <c r="F81" s="138"/>
      <c r="G81" s="138"/>
      <c r="H81" s="138"/>
      <c r="I81" s="138"/>
      <c r="J81" s="138"/>
      <c r="K81" s="138"/>
      <c r="L81" s="138"/>
      <c r="M81" s="138"/>
      <c r="N81" s="138"/>
      <c r="O81" s="138"/>
      <c r="P81" s="138"/>
      <c r="Q81" s="138"/>
      <c r="R81" s="138"/>
      <c r="S81" s="138"/>
      <c r="T81" s="138"/>
      <c r="U81" s="138"/>
      <c r="V81" s="138"/>
      <c r="W81" s="138"/>
      <c r="X81" s="138"/>
      <c r="Y81" s="138"/>
      <c r="Z81" s="138"/>
      <c r="AA81" s="138"/>
      <c r="AB81" s="138"/>
      <c r="AC81" s="138"/>
      <c r="AD81" s="138"/>
      <c r="AE81" s="138"/>
      <c r="AF81" s="138"/>
    </row>
    <row r="84" spans="2:32" ht="15.75" x14ac:dyDescent="0.25">
      <c r="B84" s="145" t="s">
        <v>294</v>
      </c>
    </row>
    <row r="86" spans="2:32" x14ac:dyDescent="0.25">
      <c r="B86" s="133" t="s">
        <v>301</v>
      </c>
      <c r="C86" s="133">
        <v>1</v>
      </c>
      <c r="D86" s="133">
        <v>2</v>
      </c>
      <c r="E86" s="133">
        <v>3</v>
      </c>
      <c r="F86" s="133">
        <v>4</v>
      </c>
      <c r="G86" s="133">
        <v>5</v>
      </c>
      <c r="H86" s="133">
        <v>6</v>
      </c>
      <c r="I86" s="133">
        <v>7</v>
      </c>
      <c r="J86" s="133">
        <v>8</v>
      </c>
      <c r="K86" s="133">
        <v>9</v>
      </c>
      <c r="L86" s="133">
        <v>10</v>
      </c>
      <c r="M86" s="133">
        <v>11</v>
      </c>
      <c r="N86" s="133">
        <v>12</v>
      </c>
      <c r="O86" s="133">
        <v>13</v>
      </c>
      <c r="P86" s="133">
        <v>14</v>
      </c>
      <c r="Q86" s="133">
        <v>15</v>
      </c>
      <c r="R86" s="133">
        <v>16</v>
      </c>
      <c r="S86" s="133">
        <v>17</v>
      </c>
      <c r="T86" s="133">
        <v>18</v>
      </c>
      <c r="U86" s="133">
        <v>19</v>
      </c>
      <c r="V86" s="133">
        <v>20</v>
      </c>
      <c r="W86" s="133">
        <v>21</v>
      </c>
      <c r="X86" s="133">
        <v>22</v>
      </c>
      <c r="Y86" s="133">
        <v>23</v>
      </c>
      <c r="Z86" s="133">
        <v>24</v>
      </c>
      <c r="AA86" s="133">
        <v>25</v>
      </c>
      <c r="AB86" s="133">
        <v>26</v>
      </c>
      <c r="AC86" s="133">
        <v>27</v>
      </c>
      <c r="AD86" s="133">
        <v>28</v>
      </c>
      <c r="AE86" s="133">
        <v>29</v>
      </c>
      <c r="AF86" s="133">
        <v>30</v>
      </c>
    </row>
    <row r="87" spans="2:32" s="174" customFormat="1" x14ac:dyDescent="0.25">
      <c r="B87" s="173" t="s">
        <v>300</v>
      </c>
      <c r="C87" s="172" t="str">
        <f>IFERROR(IRR(C89),"N/A")</f>
        <v>N/A</v>
      </c>
      <c r="D87" s="172">
        <f>IFERROR(IRR(C90:D90),"N/A")</f>
        <v>-0.60704964560895236</v>
      </c>
      <c r="E87" s="172">
        <f>IFERROR(IRR(C91:E91),"N/A")</f>
        <v>3.4120123300700467E-2</v>
      </c>
      <c r="F87" s="172">
        <f>IFERROR(IRR(C92:F92),"N/A")</f>
        <v>0.2199872235415461</v>
      </c>
      <c r="G87" s="172">
        <f>IFERROR(IRR(C93:G93),"N/A")</f>
        <v>0.27358498356082661</v>
      </c>
      <c r="H87" s="172">
        <f>IFERROR(IRR(C94:H94),"N/A")</f>
        <v>0.28614757662038137</v>
      </c>
      <c r="I87" s="172">
        <f>IFERROR(IRR(C95:I95),"N/A")</f>
        <v>0.28417759762807671</v>
      </c>
      <c r="J87" s="172">
        <f>IFERROR(IRR(C96:J96),"N/A")</f>
        <v>0.27537135917305577</v>
      </c>
      <c r="K87" s="172">
        <f>IFERROR(IRR(C97:K97),"N/A")</f>
        <v>0.26573674817597226</v>
      </c>
      <c r="L87" s="172">
        <f>IFERROR(IRR(C98:L98),"N/A")</f>
        <v>0.25624171965374587</v>
      </c>
      <c r="M87" s="172">
        <f>IFERROR(IRR(C99:M99),"N/A")</f>
        <v>0.24726775486177943</v>
      </c>
      <c r="N87" s="172">
        <f>IFERROR(IRR(C100:N100),"N/A")</f>
        <v>0.23780354099101575</v>
      </c>
      <c r="O87" s="172">
        <f>IFERROR(IRR(C101:O101),"N/A")</f>
        <v>0.22821962049534616</v>
      </c>
      <c r="P87" s="172">
        <f>IFERROR(IRR(C102:P102),"N/A")</f>
        <v>0.21949919353486402</v>
      </c>
      <c r="Q87" s="172">
        <f>IFERROR(IRR(C103:Q103),"N/A")</f>
        <v>0.21154100872621395</v>
      </c>
      <c r="R87" s="172">
        <f>IFERROR(IRR(C104:R104),"N/A")</f>
        <v>0.2042546592537382</v>
      </c>
      <c r="S87" s="172">
        <f>IFERROR(IRR(C105:S105),"N/A")</f>
        <v>0.19756108483245272</v>
      </c>
      <c r="T87" s="172">
        <f>IFERROR(IRR(C106:T106),"N/A")</f>
        <v>0.19139180065461736</v>
      </c>
      <c r="U87" s="172">
        <f>IFERROR(IRR(C107:U107),"N/A")</f>
        <v>0.18568769559978815</v>
      </c>
      <c r="V87" s="172">
        <f>IFERROR(IRR(C108:V108),"N/A")</f>
        <v>0.18039776668938612</v>
      </c>
      <c r="W87" s="172">
        <f>IFERROR(IRR(C109:W109),"N/A")</f>
        <v>0.17547794051374654</v>
      </c>
      <c r="X87" s="172">
        <f>IFERROR(IRR(C110:X110),"N/A")</f>
        <v>0.17086221616483344</v>
      </c>
      <c r="Y87" s="172">
        <f>IFERROR(IRR(C111:Y111),"N/A")</f>
        <v>0.16658263294338904</v>
      </c>
      <c r="Z87" s="172">
        <f>IFERROR(IRR(C112:Z112),"N/A")</f>
        <v>0.16257216996829005</v>
      </c>
      <c r="AA87" s="172">
        <f>IFERROR(IRR(C113:AA113),"N/A")</f>
        <v>0.15879354738353801</v>
      </c>
      <c r="AB87" s="172">
        <f>IFERROR(IRR(C114:AB114),"N/A")</f>
        <v>0.15521579126604634</v>
      </c>
      <c r="AC87" s="172">
        <f>IFERROR(IRR(C115:AC115),"N/A")</f>
        <v>0.15200081964916956</v>
      </c>
      <c r="AD87" s="172">
        <f>IFERROR(IRR(C116:AD116),"N/A")</f>
        <v>0.14910157871191698</v>
      </c>
      <c r="AE87" s="172">
        <f>IFERROR(IRR(C117:AE117),"N/A")</f>
        <v>0.14647839915869709</v>
      </c>
      <c r="AF87" s="172">
        <f>IFERROR(IRR(C118:AF118),"N/A")</f>
        <v>0.14410419067889491</v>
      </c>
    </row>
    <row r="88" spans="2:32" s="132" customFormat="1" x14ac:dyDescent="0.25">
      <c r="B88" s="136"/>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2:32" x14ac:dyDescent="0.25">
      <c r="B89" s="133">
        <v>1</v>
      </c>
      <c r="C89" s="143">
        <f>SIMULIMO!H99+SIMULIMO!H100</f>
        <v>-23529.631724446779</v>
      </c>
      <c r="D89" s="1"/>
      <c r="E89" s="1"/>
      <c r="F89" s="1"/>
      <c r="G89" s="1"/>
      <c r="H89" s="1"/>
      <c r="I89" s="135"/>
      <c r="J89" s="1"/>
      <c r="K89" s="1"/>
      <c r="L89" s="1"/>
      <c r="M89" s="1"/>
      <c r="N89" s="1"/>
      <c r="O89" s="1"/>
      <c r="P89" s="1"/>
      <c r="Q89" s="1"/>
      <c r="R89" s="1"/>
      <c r="S89" s="1"/>
      <c r="T89" s="1"/>
      <c r="U89" s="1"/>
      <c r="V89" s="1"/>
      <c r="W89" s="1"/>
      <c r="X89" s="1"/>
      <c r="Y89" s="1"/>
      <c r="Z89" s="1"/>
      <c r="AA89" s="1"/>
      <c r="AB89" s="1"/>
      <c r="AC89" s="1"/>
      <c r="AD89" s="1"/>
      <c r="AE89" s="1"/>
      <c r="AF89" s="1"/>
    </row>
    <row r="90" spans="2:32" x14ac:dyDescent="0.25">
      <c r="B90" s="133">
        <v>2</v>
      </c>
      <c r="C90" s="1">
        <f>SIMULIMO!H100</f>
        <v>-18589.710904683277</v>
      </c>
      <c r="D90" s="143">
        <f>SIMULIMO!I99+SIMULIMO!I100</f>
        <v>7304.8334880224156</v>
      </c>
      <c r="E90" s="1"/>
      <c r="F90" s="1"/>
      <c r="H90" s="1"/>
      <c r="J90" s="1"/>
      <c r="K90" s="1"/>
      <c r="L90" s="1"/>
      <c r="M90" s="1"/>
      <c r="N90" s="1"/>
      <c r="O90" s="1"/>
      <c r="P90" s="1"/>
      <c r="Q90" s="1"/>
      <c r="R90" s="1"/>
      <c r="S90" s="1"/>
      <c r="T90" s="1"/>
      <c r="U90" s="1"/>
      <c r="V90" s="1"/>
      <c r="W90" s="1"/>
      <c r="X90" s="1"/>
      <c r="Y90" s="1"/>
      <c r="Z90" s="1"/>
      <c r="AA90" s="1"/>
      <c r="AB90" s="1"/>
      <c r="AC90" s="1"/>
      <c r="AD90" s="1"/>
      <c r="AE90" s="1"/>
      <c r="AF90" s="1"/>
    </row>
    <row r="91" spans="2:32" x14ac:dyDescent="0.25">
      <c r="B91" s="133">
        <v>3</v>
      </c>
      <c r="C91" s="1">
        <f>SIMULIMO!H100</f>
        <v>-18589.710904683277</v>
      </c>
      <c r="D91" s="1">
        <f>SIMULIMO!I100</f>
        <v>1545.2890953167243</v>
      </c>
      <c r="E91" s="143">
        <f>SIMULIMO!J99+SIMULIMO!J100</f>
        <v>18281.90463328737</v>
      </c>
      <c r="F91" s="1"/>
      <c r="G91" s="139"/>
      <c r="H91" s="1"/>
      <c r="J91" s="1"/>
      <c r="K91" s="135"/>
      <c r="L91" s="1"/>
      <c r="M91" s="1"/>
      <c r="N91" s="1"/>
      <c r="O91" s="1"/>
      <c r="P91" s="1"/>
      <c r="Q91" s="1"/>
      <c r="R91" s="1"/>
      <c r="S91" s="1"/>
      <c r="T91" s="1"/>
      <c r="U91" s="1"/>
      <c r="V91" s="1"/>
      <c r="W91" s="1"/>
      <c r="X91" s="1"/>
      <c r="Y91" s="1"/>
      <c r="Z91" s="1"/>
      <c r="AA91" s="1"/>
      <c r="AB91" s="1"/>
      <c r="AC91" s="1"/>
      <c r="AD91" s="1"/>
      <c r="AE91" s="1"/>
      <c r="AF91" s="1"/>
    </row>
    <row r="92" spans="2:32" x14ac:dyDescent="0.25">
      <c r="B92" s="133">
        <v>4</v>
      </c>
      <c r="C92" s="1">
        <f>SIMULIMO!H100</f>
        <v>-18589.710904683277</v>
      </c>
      <c r="D92" s="1">
        <f>SIMULIMO!I100</f>
        <v>1545.2890953167243</v>
      </c>
      <c r="E92" s="1">
        <f>SIMULIMO!J100</f>
        <v>1681.6390953167265</v>
      </c>
      <c r="F92" s="143">
        <f>SIMULIMO!K99+SIMULIMO!K100</f>
        <v>29403.490518411254</v>
      </c>
      <c r="G92" s="1"/>
      <c r="H92" s="1"/>
      <c r="J92" s="1"/>
      <c r="K92" s="139"/>
      <c r="L92" s="1"/>
      <c r="M92" s="1"/>
      <c r="N92" s="1"/>
      <c r="O92" s="1"/>
      <c r="P92" s="1"/>
      <c r="Q92" s="1"/>
      <c r="R92" s="1"/>
      <c r="S92" s="1"/>
      <c r="T92" s="1"/>
      <c r="U92" s="1"/>
      <c r="V92" s="1"/>
      <c r="W92" s="1"/>
      <c r="X92" s="1"/>
      <c r="Y92" s="1"/>
      <c r="Z92" s="1"/>
      <c r="AA92" s="1"/>
      <c r="AB92" s="1"/>
      <c r="AC92" s="1"/>
      <c r="AD92" s="1"/>
      <c r="AE92" s="1"/>
      <c r="AF92" s="1"/>
    </row>
    <row r="93" spans="2:32" x14ac:dyDescent="0.25">
      <c r="B93" s="133">
        <v>5</v>
      </c>
      <c r="C93" s="1">
        <f>SIMULIMO!H100</f>
        <v>-18589.710904683277</v>
      </c>
      <c r="D93" s="1">
        <f>SIMULIMO!I100</f>
        <v>1545.2890953167243</v>
      </c>
      <c r="E93" s="1">
        <f>SIMULIMO!J100</f>
        <v>1681.6390953167265</v>
      </c>
      <c r="F93" s="1">
        <f>SIMULIMO!K100</f>
        <v>1819.3525953167227</v>
      </c>
      <c r="G93" s="143">
        <f>SIMULIMO!L99+SIMULIMO!L100</f>
        <v>40671.525840531962</v>
      </c>
      <c r="H93" s="1"/>
      <c r="J93" s="135"/>
      <c r="K93" s="1"/>
      <c r="L93" s="1"/>
      <c r="M93" s="1"/>
      <c r="N93" s="1"/>
      <c r="O93" s="1"/>
      <c r="P93" s="1"/>
      <c r="Q93" s="1"/>
      <c r="R93" s="1"/>
      <c r="S93" s="1"/>
      <c r="T93" s="1"/>
      <c r="U93" s="1"/>
      <c r="V93" s="1"/>
      <c r="W93" s="1"/>
      <c r="X93" s="1"/>
      <c r="Y93" s="1"/>
      <c r="Z93" s="1"/>
      <c r="AA93" s="1"/>
      <c r="AB93" s="1"/>
      <c r="AC93" s="1"/>
      <c r="AD93" s="1"/>
      <c r="AE93" s="1"/>
      <c r="AF93" s="1"/>
    </row>
    <row r="94" spans="2:32" x14ac:dyDescent="0.25">
      <c r="B94" s="133">
        <v>6</v>
      </c>
      <c r="C94" s="1">
        <f>SIMULIMO!H100</f>
        <v>-18589.710904683277</v>
      </c>
      <c r="D94" s="1">
        <f>SIMULIMO!I100</f>
        <v>1545.2890953167243</v>
      </c>
      <c r="E94" s="1">
        <f>SIMULIMO!J100</f>
        <v>1681.6390953167265</v>
      </c>
      <c r="F94" s="1">
        <f>SIMULIMO!K100</f>
        <v>1819.3525953167227</v>
      </c>
      <c r="G94" s="1">
        <f>SIMULIMO!L100</f>
        <v>1958.4432303167268</v>
      </c>
      <c r="H94" s="143">
        <f>SIMULIMO!M99+SIMULIMO!M100</f>
        <v>52087.97154160466</v>
      </c>
      <c r="J94" s="1"/>
      <c r="K94" s="1"/>
      <c r="L94" s="1"/>
      <c r="M94" s="1"/>
      <c r="N94" s="1"/>
      <c r="O94" s="1"/>
      <c r="P94" s="1"/>
      <c r="Q94" s="1"/>
      <c r="R94" s="1"/>
      <c r="S94" s="1"/>
      <c r="T94" s="1"/>
      <c r="U94" s="1"/>
      <c r="V94" s="1"/>
      <c r="W94" s="1"/>
      <c r="X94" s="1"/>
      <c r="Y94" s="1"/>
      <c r="Z94" s="1"/>
      <c r="AA94" s="1"/>
      <c r="AB94" s="1"/>
      <c r="AC94" s="1"/>
      <c r="AD94" s="1"/>
      <c r="AE94" s="1"/>
      <c r="AF94" s="1"/>
    </row>
    <row r="95" spans="2:32" x14ac:dyDescent="0.25">
      <c r="B95" s="133">
        <v>7</v>
      </c>
      <c r="C95" s="1">
        <f>SIMULIMO!H100</f>
        <v>-18589.710904683277</v>
      </c>
      <c r="D95" s="1">
        <f>SIMULIMO!I100</f>
        <v>1545.2890953167243</v>
      </c>
      <c r="E95" s="1">
        <f>SIMULIMO!J100</f>
        <v>1681.6390953167265</v>
      </c>
      <c r="F95" s="1">
        <f>SIMULIMO!K100</f>
        <v>1819.3525953167227</v>
      </c>
      <c r="G95" s="1">
        <f>SIMULIMO!L100</f>
        <v>1958.4432303167268</v>
      </c>
      <c r="H95" s="1">
        <f>SIMULIMO!M100</f>
        <v>2098.9247716667232</v>
      </c>
      <c r="I95" s="143">
        <f>SIMULIMO!N99+SIMULIMO!N100</f>
        <v>63624.420797529616</v>
      </c>
      <c r="J95" s="1"/>
      <c r="K95" s="1"/>
      <c r="L95" s="1"/>
      <c r="M95" s="1"/>
      <c r="N95" s="1"/>
      <c r="O95" s="1"/>
      <c r="P95" s="1"/>
      <c r="Q95" s="1"/>
      <c r="R95" s="1"/>
      <c r="S95" s="1"/>
      <c r="T95" s="1"/>
      <c r="U95" s="1"/>
      <c r="V95" s="1"/>
      <c r="W95" s="1"/>
      <c r="X95" s="1"/>
      <c r="Y95" s="1"/>
      <c r="Z95" s="1"/>
      <c r="AA95" s="1"/>
      <c r="AB95" s="1"/>
      <c r="AC95" s="1"/>
      <c r="AD95" s="1"/>
      <c r="AE95" s="1"/>
      <c r="AF95" s="1"/>
    </row>
    <row r="96" spans="2:32" x14ac:dyDescent="0.25">
      <c r="B96" s="133">
        <v>8</v>
      </c>
      <c r="C96" s="1">
        <f>SIMULIMO!H100</f>
        <v>-18589.710904683277</v>
      </c>
      <c r="D96" s="1">
        <f>SIMULIMO!I100</f>
        <v>1545.2890953167243</v>
      </c>
      <c r="E96" s="1">
        <f>SIMULIMO!J100</f>
        <v>1681.6390953167265</v>
      </c>
      <c r="F96" s="1">
        <f>SIMULIMO!K100</f>
        <v>1819.3525953167227</v>
      </c>
      <c r="G96" s="1">
        <f>SIMULIMO!L100</f>
        <v>1958.4432303167268</v>
      </c>
      <c r="H96" s="1">
        <f>SIMULIMO!M100</f>
        <v>2098.9247716667232</v>
      </c>
      <c r="I96" s="1">
        <f>SIMULIMO!N100</f>
        <v>2240.8111284302286</v>
      </c>
      <c r="J96" s="143">
        <f>SIMULIMO!O99+SIMULIMO!O100</f>
        <v>74557.643429289383</v>
      </c>
      <c r="K96" s="1"/>
      <c r="L96" s="1"/>
      <c r="M96" s="1"/>
      <c r="N96" s="1"/>
      <c r="O96" s="1"/>
      <c r="P96" s="1"/>
      <c r="Q96" s="1"/>
      <c r="R96" s="1"/>
      <c r="S96" s="1"/>
      <c r="T96" s="1"/>
      <c r="U96" s="1"/>
      <c r="V96" s="1"/>
      <c r="W96" s="1"/>
      <c r="X96" s="1"/>
      <c r="Y96" s="1"/>
      <c r="Z96" s="1"/>
      <c r="AA96" s="1"/>
      <c r="AB96" s="1"/>
      <c r="AC96" s="1"/>
      <c r="AD96" s="1"/>
      <c r="AE96" s="1"/>
      <c r="AF96" s="1"/>
    </row>
    <row r="97" spans="2:32" x14ac:dyDescent="0.25">
      <c r="B97" s="133">
        <v>9</v>
      </c>
      <c r="C97" s="1">
        <f>SIMULIMO!H100</f>
        <v>-18589.710904683277</v>
      </c>
      <c r="D97" s="1">
        <f>SIMULIMO!I100</f>
        <v>1545.2890953167243</v>
      </c>
      <c r="E97" s="1">
        <f>SIMULIMO!J100</f>
        <v>1681.6390953167265</v>
      </c>
      <c r="F97" s="1">
        <f>SIMULIMO!K100</f>
        <v>1819.3525953167227</v>
      </c>
      <c r="G97" s="1">
        <f>SIMULIMO!L100</f>
        <v>1958.4432303167268</v>
      </c>
      <c r="H97" s="1">
        <f>SIMULIMO!M100</f>
        <v>2098.9247716667232</v>
      </c>
      <c r="I97" s="1">
        <f>SIMULIMO!N100</f>
        <v>2240.8111284302286</v>
      </c>
      <c r="J97" s="1">
        <f>SIMULIMO!O100</f>
        <v>2384.1163487613576</v>
      </c>
      <c r="K97" s="143">
        <f>SIMULIMO!P99+SIMULIMO!P100</f>
        <v>85708.017433394576</v>
      </c>
      <c r="L97" s="1"/>
      <c r="M97" s="1"/>
      <c r="N97" s="1"/>
      <c r="O97" s="1"/>
      <c r="P97" s="1"/>
      <c r="Q97" s="1"/>
      <c r="R97" s="1"/>
      <c r="S97" s="1"/>
      <c r="T97" s="1"/>
      <c r="U97" s="1"/>
      <c r="V97" s="1"/>
      <c r="W97" s="1"/>
      <c r="X97" s="1"/>
      <c r="Y97" s="1"/>
      <c r="Z97" s="1"/>
      <c r="AA97" s="1"/>
      <c r="AB97" s="1"/>
      <c r="AC97" s="1"/>
      <c r="AD97" s="1"/>
      <c r="AE97" s="1"/>
      <c r="AF97" s="1"/>
    </row>
    <row r="98" spans="2:32" x14ac:dyDescent="0.25">
      <c r="B98" s="133">
        <v>10</v>
      </c>
      <c r="C98" s="1">
        <f>SIMULIMO!H100</f>
        <v>-18589.710904683277</v>
      </c>
      <c r="D98" s="1">
        <f>SIMULIMO!I100</f>
        <v>1545.2890953167243</v>
      </c>
      <c r="E98" s="1">
        <f>SIMULIMO!J100</f>
        <v>1681.6390953167265</v>
      </c>
      <c r="F98" s="1">
        <f>SIMULIMO!K100</f>
        <v>1819.3525953167227</v>
      </c>
      <c r="G98" s="1">
        <f>SIMULIMO!L100</f>
        <v>1958.4432303167268</v>
      </c>
      <c r="H98" s="1">
        <f>SIMULIMO!M100</f>
        <v>2098.9247716667232</v>
      </c>
      <c r="I98" s="1">
        <f>SIMULIMO!N100</f>
        <v>2240.8111284302286</v>
      </c>
      <c r="J98" s="1">
        <f>SIMULIMO!O100</f>
        <v>2384.1163487613576</v>
      </c>
      <c r="K98" s="1">
        <f>SIMULIMO!P100</f>
        <v>2528.8546212958081</v>
      </c>
      <c r="L98" s="143">
        <f>SIMULIMO!Q99+SIMULIMO!Q100</f>
        <v>97078.59395566379</v>
      </c>
      <c r="M98" s="1"/>
      <c r="N98" s="1"/>
      <c r="O98" s="1"/>
      <c r="P98" s="1"/>
      <c r="Q98" s="1"/>
      <c r="R98" s="1"/>
      <c r="S98" s="1"/>
      <c r="T98" s="1"/>
      <c r="U98" s="1"/>
      <c r="V98" s="1"/>
      <c r="W98" s="1"/>
      <c r="X98" s="1"/>
      <c r="Y98" s="1"/>
      <c r="Z98" s="1"/>
      <c r="AA98" s="1"/>
      <c r="AB98" s="1"/>
      <c r="AC98" s="1"/>
      <c r="AD98" s="1"/>
      <c r="AE98" s="1"/>
      <c r="AF98" s="1"/>
    </row>
    <row r="99" spans="2:32" x14ac:dyDescent="0.25">
      <c r="B99" s="133">
        <v>11</v>
      </c>
      <c r="C99" s="1">
        <f>SIMULIMO!H100</f>
        <v>-18589.710904683277</v>
      </c>
      <c r="D99" s="1">
        <f>SIMULIMO!I100</f>
        <v>1545.2890953167243</v>
      </c>
      <c r="E99" s="1">
        <f>SIMULIMO!J100</f>
        <v>1681.6390953167265</v>
      </c>
      <c r="F99" s="1">
        <f>SIMULIMO!K100</f>
        <v>1819.3525953167227</v>
      </c>
      <c r="G99" s="1">
        <f>SIMULIMO!L100</f>
        <v>1958.4432303167268</v>
      </c>
      <c r="H99" s="1">
        <f>SIMULIMO!M100</f>
        <v>2098.9247716667232</v>
      </c>
      <c r="I99" s="1">
        <f>SIMULIMO!N100</f>
        <v>2240.8111284302286</v>
      </c>
      <c r="J99" s="1">
        <f>SIMULIMO!O100</f>
        <v>2384.1163487613576</v>
      </c>
      <c r="K99" s="1">
        <f>SIMULIMO!P100</f>
        <v>2528.8546212958081</v>
      </c>
      <c r="L99" s="1">
        <f>SIMULIMO!Q100</f>
        <v>2675.0402765555991</v>
      </c>
      <c r="M99" s="143">
        <f>SIMULIMO!R99+SIMULIMO!R100</f>
        <v>108672.46559714213</v>
      </c>
      <c r="N99" s="144"/>
      <c r="O99" s="1"/>
      <c r="P99" s="1"/>
      <c r="Q99" s="1"/>
      <c r="R99" s="1"/>
      <c r="S99" s="1"/>
      <c r="T99" s="1"/>
      <c r="U99" s="1"/>
      <c r="V99" s="1"/>
      <c r="W99" s="1"/>
      <c r="X99" s="1"/>
      <c r="Y99" s="1"/>
      <c r="Z99" s="1"/>
      <c r="AA99" s="1"/>
      <c r="AB99" s="1"/>
      <c r="AC99" s="1"/>
      <c r="AD99" s="1"/>
      <c r="AE99" s="1"/>
      <c r="AF99" s="1"/>
    </row>
    <row r="100" spans="2:32" x14ac:dyDescent="0.25">
      <c r="B100" s="133">
        <v>12</v>
      </c>
      <c r="C100" s="1">
        <f>SIMULIMO!H100</f>
        <v>-18589.710904683277</v>
      </c>
      <c r="D100" s="1">
        <f>SIMULIMO!I100</f>
        <v>1545.2890953167243</v>
      </c>
      <c r="E100" s="1">
        <f>SIMULIMO!J100</f>
        <v>1681.6390953167265</v>
      </c>
      <c r="F100" s="1">
        <f>SIMULIMO!K100</f>
        <v>1819.3525953167227</v>
      </c>
      <c r="G100" s="1">
        <f>SIMULIMO!L100</f>
        <v>1958.4432303167268</v>
      </c>
      <c r="H100" s="1">
        <f>SIMULIMO!M100</f>
        <v>2098.9247716667232</v>
      </c>
      <c r="I100" s="1">
        <f>SIMULIMO!N100</f>
        <v>2240.8111284302286</v>
      </c>
      <c r="J100" s="1">
        <f>SIMULIMO!O100</f>
        <v>2384.1163487613576</v>
      </c>
      <c r="K100" s="1">
        <f>SIMULIMO!P100</f>
        <v>2528.8546212958081</v>
      </c>
      <c r="L100" s="1">
        <f>SIMULIMO!Q100</f>
        <v>2675.0402765555991</v>
      </c>
      <c r="M100" s="1">
        <f>SIMULIMO!R100</f>
        <v>2822.6877883679863</v>
      </c>
      <c r="N100" s="143">
        <f>SIMULIMO!S99+SIMULIMO!S100</f>
        <v>118976.62456951503</v>
      </c>
      <c r="O100" s="1"/>
      <c r="P100" s="1"/>
      <c r="Q100" s="1"/>
      <c r="R100" s="1"/>
      <c r="S100" s="1"/>
      <c r="T100" s="1"/>
      <c r="U100" s="1"/>
      <c r="V100" s="1"/>
      <c r="W100" s="1"/>
      <c r="X100" s="1"/>
      <c r="Y100" s="1"/>
      <c r="Z100" s="1"/>
      <c r="AA100" s="1"/>
      <c r="AB100" s="1"/>
      <c r="AC100" s="1"/>
      <c r="AD100" s="1"/>
      <c r="AE100" s="1"/>
      <c r="AF100" s="1"/>
    </row>
    <row r="101" spans="2:32" x14ac:dyDescent="0.25">
      <c r="B101" s="133">
        <v>13</v>
      </c>
      <c r="C101" s="1">
        <f>SIMULIMO!H100</f>
        <v>-18589.710904683277</v>
      </c>
      <c r="D101" s="1">
        <f>SIMULIMO!I100</f>
        <v>1545.2890953167243</v>
      </c>
      <c r="E101" s="1">
        <f>SIMULIMO!J100</f>
        <v>1681.6390953167265</v>
      </c>
      <c r="F101" s="1">
        <f>SIMULIMO!K100</f>
        <v>1819.3525953167227</v>
      </c>
      <c r="G101" s="1">
        <f>SIMULIMO!L100</f>
        <v>1958.4432303167268</v>
      </c>
      <c r="H101" s="1">
        <f>SIMULIMO!M100</f>
        <v>2098.9247716667232</v>
      </c>
      <c r="I101" s="1">
        <f>SIMULIMO!N100</f>
        <v>2240.8111284302286</v>
      </c>
      <c r="J101" s="1">
        <f>SIMULIMO!O100</f>
        <v>2384.1163487613576</v>
      </c>
      <c r="K101" s="1">
        <f>SIMULIMO!P100</f>
        <v>2528.8546212958081</v>
      </c>
      <c r="L101" s="1">
        <f>SIMULIMO!Q100</f>
        <v>2675.0402765555991</v>
      </c>
      <c r="M101" s="1">
        <f>SIMULIMO!R100</f>
        <v>2822.6877883679863</v>
      </c>
      <c r="N101" s="1">
        <f>SIMULIMO!S100</f>
        <v>1455.6693764645015</v>
      </c>
      <c r="O101" s="143">
        <f>SIMULIMO!T99+SIMULIMO!T100</f>
        <v>129430.9584742397</v>
      </c>
      <c r="P101" s="1"/>
      <c r="Q101" s="1"/>
      <c r="R101" s="1"/>
      <c r="S101" s="1"/>
      <c r="T101" s="1"/>
      <c r="U101" s="1"/>
      <c r="V101" s="1"/>
      <c r="W101" s="1"/>
      <c r="X101" s="1"/>
      <c r="Y101" s="1"/>
      <c r="Z101" s="1"/>
      <c r="AA101" s="1"/>
      <c r="AB101" s="1"/>
      <c r="AC101" s="1"/>
      <c r="AD101" s="1"/>
      <c r="AE101" s="1"/>
      <c r="AF101" s="1"/>
    </row>
    <row r="102" spans="2:32" x14ac:dyDescent="0.25">
      <c r="B102" s="133">
        <v>14</v>
      </c>
      <c r="C102" s="1">
        <f>SIMULIMO!H100</f>
        <v>-18589.710904683277</v>
      </c>
      <c r="D102" s="1">
        <f>SIMULIMO!I100</f>
        <v>1545.2890953167243</v>
      </c>
      <c r="E102" s="1">
        <f>SIMULIMO!J100</f>
        <v>1681.6390953167265</v>
      </c>
      <c r="F102" s="1">
        <f>SIMULIMO!K100</f>
        <v>1819.3525953167227</v>
      </c>
      <c r="G102" s="1">
        <f>SIMULIMO!L100</f>
        <v>1958.4432303167268</v>
      </c>
      <c r="H102" s="1">
        <f>SIMULIMO!M100</f>
        <v>2098.9247716667232</v>
      </c>
      <c r="I102" s="1">
        <f>SIMULIMO!N100</f>
        <v>2240.8111284302286</v>
      </c>
      <c r="J102" s="1">
        <f>SIMULIMO!O100</f>
        <v>2384.1163487613576</v>
      </c>
      <c r="K102" s="1">
        <f>SIMULIMO!P100</f>
        <v>2528.8546212958081</v>
      </c>
      <c r="L102" s="1">
        <f>SIMULIMO!Q100</f>
        <v>2675.0402765555991</v>
      </c>
      <c r="M102" s="1">
        <f>SIMULIMO!R100</f>
        <v>2822.6877883679863</v>
      </c>
      <c r="N102" s="1">
        <f>SIMULIMO!S100</f>
        <v>1455.6693764645015</v>
      </c>
      <c r="O102" s="1">
        <f>SIMULIMO!T100</f>
        <v>10.710225446102186</v>
      </c>
      <c r="P102" s="143">
        <f>SIMULIMO!U99+SIMULIMO!U100</f>
        <v>141576.91537722186</v>
      </c>
      <c r="Q102" s="1"/>
      <c r="R102" s="1"/>
      <c r="S102" s="1"/>
      <c r="T102" s="1"/>
      <c r="U102" s="1"/>
      <c r="V102" s="1"/>
      <c r="W102" s="1"/>
      <c r="X102" s="1"/>
      <c r="Y102" s="1"/>
      <c r="Z102" s="1"/>
      <c r="AA102" s="1"/>
      <c r="AB102" s="1"/>
      <c r="AC102" s="1"/>
      <c r="AD102" s="1"/>
      <c r="AE102" s="1"/>
      <c r="AF102" s="1"/>
    </row>
    <row r="103" spans="2:32" x14ac:dyDescent="0.25">
      <c r="B103" s="133">
        <v>15</v>
      </c>
      <c r="C103" s="1">
        <f>SIMULIMO!H100</f>
        <v>-18589.710904683277</v>
      </c>
      <c r="D103" s="1">
        <f>SIMULIMO!I100</f>
        <v>1545.2890953167243</v>
      </c>
      <c r="E103" s="1">
        <f>SIMULIMO!J100</f>
        <v>1681.6390953167265</v>
      </c>
      <c r="F103" s="1">
        <f>SIMULIMO!K100</f>
        <v>1819.3525953167227</v>
      </c>
      <c r="G103" s="1">
        <f>SIMULIMO!L100</f>
        <v>1958.4432303167268</v>
      </c>
      <c r="H103" s="1">
        <f>SIMULIMO!M100</f>
        <v>2098.9247716667232</v>
      </c>
      <c r="I103" s="1">
        <f>SIMULIMO!N100</f>
        <v>2240.8111284302286</v>
      </c>
      <c r="J103" s="1">
        <f>SIMULIMO!O100</f>
        <v>2384.1163487613576</v>
      </c>
      <c r="K103" s="1">
        <f>SIMULIMO!P100</f>
        <v>2528.8546212958081</v>
      </c>
      <c r="L103" s="1">
        <f>SIMULIMO!Q100</f>
        <v>2675.0402765555991</v>
      </c>
      <c r="M103" s="1">
        <f>SIMULIMO!R100</f>
        <v>2822.6877883679863</v>
      </c>
      <c r="N103" s="1">
        <f>SIMULIMO!S100</f>
        <v>1455.6693764645015</v>
      </c>
      <c r="O103" s="1">
        <f>SIMULIMO!T100</f>
        <v>10.710225446102186</v>
      </c>
      <c r="P103" s="1">
        <f>SIMULIMO!U100</f>
        <v>26.052991844454482</v>
      </c>
      <c r="Q103" s="143">
        <f>SIMULIMO!V99+SIMULIMO!V100</f>
        <v>153957.32999658803</v>
      </c>
      <c r="R103" s="1"/>
      <c r="S103" s="1"/>
      <c r="T103" s="1"/>
      <c r="U103" s="1"/>
      <c r="V103" s="1"/>
      <c r="W103" s="1"/>
      <c r="X103" s="1"/>
      <c r="Y103" s="1"/>
      <c r="Z103" s="1"/>
      <c r="AA103" s="1"/>
      <c r="AB103" s="1"/>
      <c r="AC103" s="1"/>
      <c r="AD103" s="1"/>
      <c r="AE103" s="1"/>
      <c r="AF103" s="1"/>
    </row>
    <row r="104" spans="2:32" x14ac:dyDescent="0.25">
      <c r="B104" s="133">
        <v>16</v>
      </c>
      <c r="C104" s="1">
        <f>SIMULIMO!H100</f>
        <v>-18589.710904683277</v>
      </c>
      <c r="D104" s="1">
        <f>SIMULIMO!I100</f>
        <v>1545.2890953167243</v>
      </c>
      <c r="E104" s="1">
        <f>SIMULIMO!J100</f>
        <v>1681.6390953167265</v>
      </c>
      <c r="F104" s="1">
        <f>SIMULIMO!K100</f>
        <v>1819.3525953167227</v>
      </c>
      <c r="G104" s="1">
        <f>SIMULIMO!L100</f>
        <v>1958.4432303167268</v>
      </c>
      <c r="H104" s="1">
        <f>SIMULIMO!M100</f>
        <v>2098.9247716667232</v>
      </c>
      <c r="I104" s="1">
        <f>SIMULIMO!N100</f>
        <v>2240.8111284302286</v>
      </c>
      <c r="J104" s="1">
        <f>SIMULIMO!O100</f>
        <v>2384.1163487613576</v>
      </c>
      <c r="K104" s="1">
        <f>SIMULIMO!P100</f>
        <v>2528.8546212958081</v>
      </c>
      <c r="L104" s="1">
        <f>SIMULIMO!Q100</f>
        <v>2675.0402765555991</v>
      </c>
      <c r="M104" s="1">
        <f>SIMULIMO!R100</f>
        <v>2822.6877883679863</v>
      </c>
      <c r="N104" s="1">
        <f>SIMULIMO!S100</f>
        <v>1455.6693764645015</v>
      </c>
      <c r="O104" s="1">
        <f>SIMULIMO!T100</f>
        <v>10.710225446102186</v>
      </c>
      <c r="P104" s="1">
        <f>SIMULIMO!U100</f>
        <v>26.052991844454482</v>
      </c>
      <c r="Q104" s="1">
        <f>SIMULIMO!V100</f>
        <v>41.283416730743284</v>
      </c>
      <c r="R104" s="143">
        <f>SIMULIMO!W99+SIMULIMO!W100</f>
        <v>166575.49059173642</v>
      </c>
      <c r="S104" s="1"/>
      <c r="T104" s="1"/>
      <c r="U104" s="1"/>
      <c r="V104" s="1"/>
      <c r="W104" s="1"/>
      <c r="X104" s="1"/>
      <c r="Y104" s="1"/>
      <c r="Z104" s="1"/>
      <c r="AA104" s="1"/>
      <c r="AB104" s="1"/>
      <c r="AC104" s="1"/>
      <c r="AD104" s="1"/>
      <c r="AE104" s="1"/>
      <c r="AF104" s="1"/>
    </row>
    <row r="105" spans="2:32" x14ac:dyDescent="0.25">
      <c r="B105" s="133">
        <v>17</v>
      </c>
      <c r="C105" s="1">
        <f>SIMULIMO!H100</f>
        <v>-18589.710904683277</v>
      </c>
      <c r="D105" s="1">
        <f>SIMULIMO!I100</f>
        <v>1545.2890953167243</v>
      </c>
      <c r="E105" s="1">
        <f>SIMULIMO!J100</f>
        <v>1681.6390953167265</v>
      </c>
      <c r="F105" s="1">
        <f>SIMULIMO!K100</f>
        <v>1819.3525953167227</v>
      </c>
      <c r="G105" s="1">
        <f>SIMULIMO!L100</f>
        <v>1958.4432303167268</v>
      </c>
      <c r="H105" s="1">
        <f>SIMULIMO!M100</f>
        <v>2098.9247716667232</v>
      </c>
      <c r="I105" s="1">
        <f>SIMULIMO!N100</f>
        <v>2240.8111284302286</v>
      </c>
      <c r="J105" s="1">
        <f>SIMULIMO!O100</f>
        <v>2384.1163487613576</v>
      </c>
      <c r="K105" s="1">
        <f>SIMULIMO!P100</f>
        <v>2528.8546212958081</v>
      </c>
      <c r="L105" s="1">
        <f>SIMULIMO!Q100</f>
        <v>2675.0402765555991</v>
      </c>
      <c r="M105" s="1">
        <f>SIMULIMO!R100</f>
        <v>2822.6877883679863</v>
      </c>
      <c r="N105" s="1">
        <f>SIMULIMO!S100</f>
        <v>1455.6693764645015</v>
      </c>
      <c r="O105" s="1">
        <f>SIMULIMO!T100</f>
        <v>10.710225446102186</v>
      </c>
      <c r="P105" s="1">
        <f>SIMULIMO!U100</f>
        <v>26.052991844454482</v>
      </c>
      <c r="Q105" s="1">
        <f>SIMULIMO!V100</f>
        <v>41.283416730743284</v>
      </c>
      <c r="R105" s="1">
        <f>SIMULIMO!W100</f>
        <v>56.396631953360384</v>
      </c>
      <c r="S105" s="143">
        <f>SIMULIMO!X99+SIMULIMO!X100</f>
        <v>179434.73006167568</v>
      </c>
      <c r="T105" s="1"/>
      <c r="U105" s="1"/>
      <c r="V105" s="1"/>
      <c r="W105" s="1"/>
      <c r="X105" s="1"/>
      <c r="Y105" s="1"/>
      <c r="Z105" s="1"/>
      <c r="AA105" s="1"/>
      <c r="AB105" s="1"/>
      <c r="AC105" s="1"/>
      <c r="AD105" s="1"/>
      <c r="AE105" s="1"/>
      <c r="AF105" s="1"/>
    </row>
    <row r="106" spans="2:32" x14ac:dyDescent="0.25">
      <c r="B106" s="133">
        <v>18</v>
      </c>
      <c r="C106" s="1">
        <f>SIMULIMO!H100</f>
        <v>-18589.710904683277</v>
      </c>
      <c r="D106" s="1">
        <f>SIMULIMO!I100</f>
        <v>1545.2890953167243</v>
      </c>
      <c r="E106" s="1">
        <f>SIMULIMO!J100</f>
        <v>1681.6390953167265</v>
      </c>
      <c r="F106" s="1">
        <f>SIMULIMO!K100</f>
        <v>1819.3525953167227</v>
      </c>
      <c r="G106" s="1">
        <f>SIMULIMO!L100</f>
        <v>1958.4432303167268</v>
      </c>
      <c r="H106" s="1">
        <f>SIMULIMO!M100</f>
        <v>2098.9247716667232</v>
      </c>
      <c r="I106" s="1">
        <f>SIMULIMO!N100</f>
        <v>2240.8111284302286</v>
      </c>
      <c r="J106" s="1">
        <f>SIMULIMO!O100</f>
        <v>2384.1163487613576</v>
      </c>
      <c r="K106" s="1">
        <f>SIMULIMO!P100</f>
        <v>2528.8546212958081</v>
      </c>
      <c r="L106" s="1">
        <f>SIMULIMO!Q100</f>
        <v>2675.0402765555991</v>
      </c>
      <c r="M106" s="1">
        <f>SIMULIMO!R100</f>
        <v>2822.6877883679863</v>
      </c>
      <c r="N106" s="1">
        <f>SIMULIMO!S100</f>
        <v>1455.6693764645015</v>
      </c>
      <c r="O106" s="1">
        <f>SIMULIMO!T100</f>
        <v>10.710225446102186</v>
      </c>
      <c r="P106" s="1">
        <f>SIMULIMO!U100</f>
        <v>26.052991844454482</v>
      </c>
      <c r="Q106" s="1">
        <f>SIMULIMO!V100</f>
        <v>41.283416730743284</v>
      </c>
      <c r="R106" s="1">
        <f>SIMULIMO!W100</f>
        <v>56.396631953360384</v>
      </c>
      <c r="S106" s="1">
        <f>SIMULIMO!X100</f>
        <v>71.387667915154225</v>
      </c>
      <c r="T106" s="143">
        <f>SIMULIMO!Y99+SIMULIMO!Y100</f>
        <v>192538.42654168417</v>
      </c>
      <c r="U106" s="144"/>
      <c r="V106" s="1"/>
      <c r="W106" s="1"/>
      <c r="X106" s="1"/>
      <c r="Y106" s="1"/>
      <c r="Z106" s="1"/>
      <c r="AA106" s="1"/>
      <c r="AB106" s="1"/>
      <c r="AC106" s="1"/>
      <c r="AD106" s="1"/>
      <c r="AE106" s="1"/>
      <c r="AF106" s="1"/>
    </row>
    <row r="107" spans="2:32" x14ac:dyDescent="0.25">
      <c r="B107" s="133">
        <v>19</v>
      </c>
      <c r="C107" s="1">
        <f>SIMULIMO!H100</f>
        <v>-18589.710904683277</v>
      </c>
      <c r="D107" s="1">
        <f>SIMULIMO!I100</f>
        <v>1545.2890953167243</v>
      </c>
      <c r="E107" s="1">
        <f>SIMULIMO!J100</f>
        <v>1681.6390953167265</v>
      </c>
      <c r="F107" s="1">
        <f>SIMULIMO!K100</f>
        <v>1819.3525953167227</v>
      </c>
      <c r="G107" s="1">
        <f>SIMULIMO!L100</f>
        <v>1958.4432303167268</v>
      </c>
      <c r="H107" s="1">
        <f>SIMULIMO!M100</f>
        <v>2098.9247716667232</v>
      </c>
      <c r="I107" s="1">
        <f>SIMULIMO!N100</f>
        <v>2240.8111284302286</v>
      </c>
      <c r="J107" s="1">
        <f>SIMULIMO!O100</f>
        <v>2384.1163487613576</v>
      </c>
      <c r="K107" s="1">
        <f>SIMULIMO!P100</f>
        <v>2528.8546212958081</v>
      </c>
      <c r="L107" s="1">
        <f>SIMULIMO!Q100</f>
        <v>2675.0402765555991</v>
      </c>
      <c r="M107" s="1">
        <f>SIMULIMO!R100</f>
        <v>2822.6877883679863</v>
      </c>
      <c r="N107" s="1">
        <f>SIMULIMO!S100</f>
        <v>1455.6693764645015</v>
      </c>
      <c r="O107" s="1">
        <f>SIMULIMO!T100</f>
        <v>10.710225446102186</v>
      </c>
      <c r="P107" s="1">
        <f>SIMULIMO!U100</f>
        <v>26.052991844454482</v>
      </c>
      <c r="Q107" s="1">
        <f>SIMULIMO!V100</f>
        <v>41.283416730743284</v>
      </c>
      <c r="R107" s="1">
        <f>SIMULIMO!W100</f>
        <v>56.396631953360384</v>
      </c>
      <c r="S107" s="1">
        <f>SIMULIMO!X100</f>
        <v>71.387667915154225</v>
      </c>
      <c r="T107" s="1">
        <f>SIMULIMO!Y100</f>
        <v>86.251451815527844</v>
      </c>
      <c r="U107" s="143">
        <f>SIMULIMO!Z99+SIMULIMO!Z100</f>
        <v>205890.0040078974</v>
      </c>
      <c r="V107" s="1"/>
      <c r="W107" s="1"/>
      <c r="X107" s="1"/>
      <c r="Y107" s="1"/>
      <c r="Z107" s="1"/>
      <c r="AA107" s="1"/>
      <c r="AB107" s="1"/>
      <c r="AC107" s="1"/>
      <c r="AD107" s="1"/>
      <c r="AE107" s="1"/>
      <c r="AF107" s="1"/>
    </row>
    <row r="108" spans="2:32" x14ac:dyDescent="0.25">
      <c r="B108" s="133">
        <v>20</v>
      </c>
      <c r="C108" s="1">
        <f>SIMULIMO!H100</f>
        <v>-18589.710904683277</v>
      </c>
      <c r="D108" s="1">
        <f>SIMULIMO!I100</f>
        <v>1545.2890953167243</v>
      </c>
      <c r="E108" s="1">
        <f>SIMULIMO!J100</f>
        <v>1681.6390953167265</v>
      </c>
      <c r="F108" s="1">
        <f>SIMULIMO!K100</f>
        <v>1819.3525953167227</v>
      </c>
      <c r="G108" s="1">
        <f>SIMULIMO!L100</f>
        <v>1958.4432303167268</v>
      </c>
      <c r="H108" s="1">
        <f>SIMULIMO!M100</f>
        <v>2098.9247716667232</v>
      </c>
      <c r="I108" s="1">
        <f>SIMULIMO!N100</f>
        <v>2240.8111284302286</v>
      </c>
      <c r="J108" s="1">
        <f>SIMULIMO!O100</f>
        <v>2384.1163487613576</v>
      </c>
      <c r="K108" s="1">
        <f>SIMULIMO!P100</f>
        <v>2528.8546212958081</v>
      </c>
      <c r="L108" s="1">
        <f>SIMULIMO!Q100</f>
        <v>2675.0402765555991</v>
      </c>
      <c r="M108" s="1">
        <f>SIMULIMO!R100</f>
        <v>2822.6877883679863</v>
      </c>
      <c r="N108" s="1">
        <f>SIMULIMO!S100</f>
        <v>1455.6693764645015</v>
      </c>
      <c r="O108" s="1">
        <f>SIMULIMO!T100</f>
        <v>10.710225446102186</v>
      </c>
      <c r="P108" s="1">
        <f>SIMULIMO!U100</f>
        <v>26.052991844454482</v>
      </c>
      <c r="Q108" s="1">
        <f>SIMULIMO!V100</f>
        <v>41.283416730743284</v>
      </c>
      <c r="R108" s="1">
        <f>SIMULIMO!W100</f>
        <v>56.396631953360384</v>
      </c>
      <c r="S108" s="1">
        <f>SIMULIMO!X100</f>
        <v>71.387667915154225</v>
      </c>
      <c r="T108" s="1">
        <f>SIMULIMO!Y100</f>
        <v>86.251451815527844</v>
      </c>
      <c r="U108" s="1">
        <f>SIMULIMO!Z100</f>
        <v>100.98280586447186</v>
      </c>
      <c r="V108" s="143">
        <f>SIMULIMO!AA99+SIMULIMO!AA100</f>
        <v>219492.93288993189</v>
      </c>
      <c r="W108" s="1"/>
      <c r="X108" s="1"/>
      <c r="Y108" s="1"/>
      <c r="Z108" s="1"/>
      <c r="AA108" s="1"/>
      <c r="AB108" s="1"/>
      <c r="AC108" s="1"/>
      <c r="AD108" s="1"/>
      <c r="AE108" s="1"/>
      <c r="AF108" s="1"/>
    </row>
    <row r="109" spans="2:32" x14ac:dyDescent="0.25">
      <c r="B109" s="133">
        <v>21</v>
      </c>
      <c r="C109" s="1">
        <f>SIMULIMO!H100</f>
        <v>-18589.710904683277</v>
      </c>
      <c r="D109" s="1">
        <f>SIMULIMO!I100</f>
        <v>1545.2890953167243</v>
      </c>
      <c r="E109" s="1">
        <f>SIMULIMO!J100</f>
        <v>1681.6390953167265</v>
      </c>
      <c r="F109" s="1">
        <f>SIMULIMO!K100</f>
        <v>1819.3525953167227</v>
      </c>
      <c r="G109" s="1">
        <f>SIMULIMO!L100</f>
        <v>1958.4432303167268</v>
      </c>
      <c r="H109" s="1">
        <f>SIMULIMO!M100</f>
        <v>2098.9247716667232</v>
      </c>
      <c r="I109" s="1">
        <f>SIMULIMO!N100</f>
        <v>2240.8111284302286</v>
      </c>
      <c r="J109" s="1">
        <f>SIMULIMO!O100</f>
        <v>2384.1163487613576</v>
      </c>
      <c r="K109" s="1">
        <f>SIMULIMO!P100</f>
        <v>2528.8546212958081</v>
      </c>
      <c r="L109" s="1">
        <f>SIMULIMO!Q100</f>
        <v>2675.0402765555991</v>
      </c>
      <c r="M109" s="1">
        <f>SIMULIMO!R100</f>
        <v>2822.6877883679863</v>
      </c>
      <c r="N109" s="1">
        <f>SIMULIMO!S100</f>
        <v>1455.6693764645015</v>
      </c>
      <c r="O109" s="1">
        <f>SIMULIMO!T100</f>
        <v>10.710225446102186</v>
      </c>
      <c r="P109" s="1">
        <f>SIMULIMO!U100</f>
        <v>26.052991844454482</v>
      </c>
      <c r="Q109" s="1">
        <f>SIMULIMO!V100</f>
        <v>41.283416730743284</v>
      </c>
      <c r="R109" s="1">
        <f>SIMULIMO!W100</f>
        <v>56.396631953360384</v>
      </c>
      <c r="S109" s="1">
        <f>SIMULIMO!X100</f>
        <v>71.387667915154225</v>
      </c>
      <c r="T109" s="1">
        <f>SIMULIMO!Y100</f>
        <v>86.251451815527844</v>
      </c>
      <c r="U109" s="1">
        <f>SIMULIMO!Z100</f>
        <v>100.98280586447186</v>
      </c>
      <c r="V109" s="1">
        <f>SIMULIMO!AA100</f>
        <v>115.57644546810025</v>
      </c>
      <c r="W109" s="143">
        <f>SIMULIMO!AB99+SIMULIMO!AB100</f>
        <v>233350.73069165027</v>
      </c>
      <c r="X109" s="1"/>
      <c r="Y109" s="1"/>
      <c r="Z109" s="1"/>
      <c r="AA109" s="1"/>
      <c r="AB109" s="1"/>
      <c r="AC109" s="1"/>
      <c r="AD109" s="1"/>
      <c r="AE109" s="1"/>
      <c r="AF109" s="1"/>
    </row>
    <row r="110" spans="2:32" x14ac:dyDescent="0.25">
      <c r="B110" s="133">
        <v>22</v>
      </c>
      <c r="C110" s="1">
        <f>SIMULIMO!H100</f>
        <v>-18589.710904683277</v>
      </c>
      <c r="D110" s="1">
        <f>SIMULIMO!I100</f>
        <v>1545.2890953167243</v>
      </c>
      <c r="E110" s="1">
        <f>SIMULIMO!J100</f>
        <v>1681.6390953167265</v>
      </c>
      <c r="F110" s="1">
        <f>SIMULIMO!K100</f>
        <v>1819.3525953167227</v>
      </c>
      <c r="G110" s="1">
        <f>SIMULIMO!L100</f>
        <v>1958.4432303167268</v>
      </c>
      <c r="H110" s="1">
        <f>SIMULIMO!M100</f>
        <v>2098.9247716667232</v>
      </c>
      <c r="I110" s="1">
        <f>SIMULIMO!N100</f>
        <v>2240.8111284302286</v>
      </c>
      <c r="J110" s="1">
        <f>SIMULIMO!O100</f>
        <v>2384.1163487613576</v>
      </c>
      <c r="K110" s="1">
        <f>SIMULIMO!P100</f>
        <v>2528.8546212958081</v>
      </c>
      <c r="L110" s="1">
        <f>SIMULIMO!Q100</f>
        <v>2675.0402765555991</v>
      </c>
      <c r="M110" s="1">
        <f>SIMULIMO!R100</f>
        <v>2822.6877883679863</v>
      </c>
      <c r="N110" s="1">
        <f>SIMULIMO!S100</f>
        <v>1455.6693764645015</v>
      </c>
      <c r="O110" s="1">
        <f>SIMULIMO!T100</f>
        <v>10.710225446102186</v>
      </c>
      <c r="P110" s="1">
        <f>SIMULIMO!U100</f>
        <v>26.052991844454482</v>
      </c>
      <c r="Q110" s="1">
        <f>SIMULIMO!V100</f>
        <v>41.283416730743284</v>
      </c>
      <c r="R110" s="1">
        <f>SIMULIMO!W100</f>
        <v>56.396631953360384</v>
      </c>
      <c r="S110" s="1">
        <f>SIMULIMO!X100</f>
        <v>71.387667915154225</v>
      </c>
      <c r="T110" s="1">
        <f>SIMULIMO!Y100</f>
        <v>86.251451815527844</v>
      </c>
      <c r="U110" s="1">
        <f>SIMULIMO!Z100</f>
        <v>100.98280586447186</v>
      </c>
      <c r="V110" s="1">
        <f>SIMULIMO!AA100</f>
        <v>115.57644546810025</v>
      </c>
      <c r="W110" s="1">
        <f>SIMULIMO!AB100</f>
        <v>130.02697738531265</v>
      </c>
      <c r="X110" s="143">
        <f>SIMULIMO!AC99+SIMULIMO!AC100</f>
        <v>247312.35947904902</v>
      </c>
      <c r="Y110" s="1"/>
      <c r="Z110" s="1"/>
      <c r="AA110" s="1"/>
      <c r="AB110" s="1"/>
      <c r="AC110" s="1"/>
      <c r="AD110" s="1"/>
      <c r="AE110" s="1"/>
      <c r="AF110" s="1"/>
    </row>
    <row r="111" spans="2:32" x14ac:dyDescent="0.25">
      <c r="B111" s="133">
        <v>23</v>
      </c>
      <c r="C111" s="1">
        <f>SIMULIMO!H100</f>
        <v>-18589.710904683277</v>
      </c>
      <c r="D111" s="1">
        <f>SIMULIMO!I100</f>
        <v>1545.2890953167243</v>
      </c>
      <c r="E111" s="1">
        <f>SIMULIMO!J100</f>
        <v>1681.6390953167265</v>
      </c>
      <c r="F111" s="1">
        <f>SIMULIMO!K100</f>
        <v>1819.3525953167227</v>
      </c>
      <c r="G111" s="1">
        <f>SIMULIMO!L100</f>
        <v>1958.4432303167268</v>
      </c>
      <c r="H111" s="1">
        <f>SIMULIMO!M100</f>
        <v>2098.9247716667232</v>
      </c>
      <c r="I111" s="1">
        <f>SIMULIMO!N100</f>
        <v>2240.8111284302286</v>
      </c>
      <c r="J111" s="1">
        <f>SIMULIMO!O100</f>
        <v>2384.1163487613576</v>
      </c>
      <c r="K111" s="1">
        <f>SIMULIMO!P100</f>
        <v>2528.8546212958081</v>
      </c>
      <c r="L111" s="1">
        <f>SIMULIMO!Q100</f>
        <v>2675.0402765555991</v>
      </c>
      <c r="M111" s="1">
        <f>SIMULIMO!R100</f>
        <v>2822.6877883679863</v>
      </c>
      <c r="N111" s="1">
        <f>SIMULIMO!S100</f>
        <v>1455.6693764645015</v>
      </c>
      <c r="O111" s="1">
        <f>SIMULIMO!T100</f>
        <v>10.710225446102186</v>
      </c>
      <c r="P111" s="1">
        <f>SIMULIMO!U100</f>
        <v>26.052991844454482</v>
      </c>
      <c r="Q111" s="1">
        <f>SIMULIMO!V100</f>
        <v>41.283416730743284</v>
      </c>
      <c r="R111" s="1">
        <f>SIMULIMO!W100</f>
        <v>56.396631953360384</v>
      </c>
      <c r="S111" s="1">
        <f>SIMULIMO!X100</f>
        <v>71.387667915154225</v>
      </c>
      <c r="T111" s="1">
        <f>SIMULIMO!Y100</f>
        <v>86.251451815527844</v>
      </c>
      <c r="U111" s="1">
        <f>SIMULIMO!Z100</f>
        <v>100.98280586447186</v>
      </c>
      <c r="V111" s="1">
        <f>SIMULIMO!AA100</f>
        <v>115.57644546810025</v>
      </c>
      <c r="W111" s="1">
        <f>SIMULIMO!AB100</f>
        <v>130.02697738531265</v>
      </c>
      <c r="X111" s="1">
        <f>SIMULIMO!AC100</f>
        <v>144.32889785505131</v>
      </c>
      <c r="Y111" s="143">
        <f>SIMULIMO!AD99+SIMULIMO!AD100</f>
        <v>261732.48224855683</v>
      </c>
      <c r="Z111" s="1"/>
      <c r="AA111" s="1"/>
      <c r="AB111" s="1"/>
      <c r="AC111" s="1"/>
      <c r="AD111" s="1"/>
      <c r="AE111" s="1"/>
      <c r="AF111" s="1"/>
    </row>
    <row r="112" spans="2:32" x14ac:dyDescent="0.25">
      <c r="B112" s="133">
        <v>24</v>
      </c>
      <c r="C112" s="1">
        <f>SIMULIMO!H100</f>
        <v>-18589.710904683277</v>
      </c>
      <c r="D112" s="1">
        <f>SIMULIMO!I100</f>
        <v>1545.2890953167243</v>
      </c>
      <c r="E112" s="1">
        <f>SIMULIMO!J100</f>
        <v>1681.6390953167265</v>
      </c>
      <c r="F112" s="1">
        <f>SIMULIMO!K100</f>
        <v>1819.3525953167227</v>
      </c>
      <c r="G112" s="1">
        <f>SIMULIMO!L100</f>
        <v>1958.4432303167268</v>
      </c>
      <c r="H112" s="1">
        <f>SIMULIMO!M100</f>
        <v>2098.9247716667232</v>
      </c>
      <c r="I112" s="1">
        <f>SIMULIMO!N100</f>
        <v>2240.8111284302286</v>
      </c>
      <c r="J112" s="1">
        <f>SIMULIMO!O100</f>
        <v>2384.1163487613576</v>
      </c>
      <c r="K112" s="1">
        <f>SIMULIMO!P100</f>
        <v>2528.8546212958081</v>
      </c>
      <c r="L112" s="1">
        <f>SIMULIMO!Q100</f>
        <v>2675.0402765555991</v>
      </c>
      <c r="M112" s="1">
        <f>SIMULIMO!R100</f>
        <v>2822.6877883679863</v>
      </c>
      <c r="N112" s="1">
        <f>SIMULIMO!S100</f>
        <v>1455.6693764645015</v>
      </c>
      <c r="O112" s="1">
        <f>SIMULIMO!T100</f>
        <v>10.710225446102186</v>
      </c>
      <c r="P112" s="1">
        <f>SIMULIMO!U100</f>
        <v>26.052991844454482</v>
      </c>
      <c r="Q112" s="1">
        <f>SIMULIMO!V100</f>
        <v>41.283416730743284</v>
      </c>
      <c r="R112" s="1">
        <f>SIMULIMO!W100</f>
        <v>56.396631953360384</v>
      </c>
      <c r="S112" s="1">
        <f>SIMULIMO!X100</f>
        <v>71.387667915154225</v>
      </c>
      <c r="T112" s="1">
        <f>SIMULIMO!Y100</f>
        <v>86.251451815527844</v>
      </c>
      <c r="U112" s="1">
        <f>SIMULIMO!Z100</f>
        <v>100.98280586447186</v>
      </c>
      <c r="V112" s="1">
        <f>SIMULIMO!AA100</f>
        <v>115.57644546810025</v>
      </c>
      <c r="W112" s="1">
        <f>SIMULIMO!AB100</f>
        <v>130.02697738531265</v>
      </c>
      <c r="X112" s="1">
        <f>SIMULIMO!AC100</f>
        <v>144.32889785505131</v>
      </c>
      <c r="Y112" s="1">
        <f>SIMULIMO!AD100</f>
        <v>158.47659069378938</v>
      </c>
      <c r="Z112" s="143">
        <f>SIMULIMO!AE99+SIMULIMO!AE100</f>
        <v>276425.38640042522</v>
      </c>
      <c r="AA112" s="1"/>
      <c r="AB112" s="1"/>
      <c r="AC112" s="1"/>
      <c r="AD112" s="1"/>
      <c r="AE112" s="1"/>
      <c r="AF112" s="1"/>
    </row>
    <row r="113" spans="2:32" x14ac:dyDescent="0.25">
      <c r="B113" s="133">
        <v>25</v>
      </c>
      <c r="C113" s="1">
        <f>SIMULIMO!H100</f>
        <v>-18589.710904683277</v>
      </c>
      <c r="D113" s="1">
        <f>SIMULIMO!I100</f>
        <v>1545.2890953167243</v>
      </c>
      <c r="E113" s="1">
        <f>SIMULIMO!J100</f>
        <v>1681.6390953167265</v>
      </c>
      <c r="F113" s="1">
        <f>SIMULIMO!K100</f>
        <v>1819.3525953167227</v>
      </c>
      <c r="G113" s="1">
        <f>SIMULIMO!L100</f>
        <v>1958.4432303167268</v>
      </c>
      <c r="H113" s="1">
        <f>SIMULIMO!M100</f>
        <v>2098.9247716667232</v>
      </c>
      <c r="I113" s="1">
        <f>SIMULIMO!N100</f>
        <v>2240.8111284302286</v>
      </c>
      <c r="J113" s="1">
        <f>SIMULIMO!O100</f>
        <v>2384.1163487613576</v>
      </c>
      <c r="K113" s="1">
        <f>SIMULIMO!P100</f>
        <v>2528.8546212958081</v>
      </c>
      <c r="L113" s="1">
        <f>SIMULIMO!Q100</f>
        <v>2675.0402765555991</v>
      </c>
      <c r="M113" s="1">
        <f>SIMULIMO!R100</f>
        <v>2822.6877883679863</v>
      </c>
      <c r="N113" s="1">
        <f>SIMULIMO!S100</f>
        <v>1455.6693764645015</v>
      </c>
      <c r="O113" s="1">
        <f>SIMULIMO!T100</f>
        <v>10.710225446102186</v>
      </c>
      <c r="P113" s="1">
        <f>SIMULIMO!U100</f>
        <v>26.052991844454482</v>
      </c>
      <c r="Q113" s="1">
        <f>SIMULIMO!V100</f>
        <v>41.283416730743284</v>
      </c>
      <c r="R113" s="1">
        <f>SIMULIMO!W100</f>
        <v>56.396631953360384</v>
      </c>
      <c r="S113" s="1">
        <f>SIMULIMO!X100</f>
        <v>71.387667915154225</v>
      </c>
      <c r="T113" s="1">
        <f>SIMULIMO!Y100</f>
        <v>86.251451815527844</v>
      </c>
      <c r="U113" s="1">
        <f>SIMULIMO!Z100</f>
        <v>100.98280586447186</v>
      </c>
      <c r="V113" s="1">
        <f>SIMULIMO!AA100</f>
        <v>115.57644546810025</v>
      </c>
      <c r="W113" s="1">
        <f>SIMULIMO!AB100</f>
        <v>130.02697738531265</v>
      </c>
      <c r="X113" s="1">
        <f>SIMULIMO!AC100</f>
        <v>144.32889785505131</v>
      </c>
      <c r="Y113" s="1">
        <f>SIMULIMO!AD100</f>
        <v>158.47659069378938</v>
      </c>
      <c r="Z113" s="1">
        <f>SIMULIMO!AE100</f>
        <v>172.46432536271232</v>
      </c>
      <c r="AA113" s="143">
        <f>SIMULIMO!AF99+SIMULIMO!AF100</f>
        <v>291304.12876176857</v>
      </c>
      <c r="AB113" s="1"/>
      <c r="AC113" s="1"/>
      <c r="AD113" s="1"/>
      <c r="AE113" s="1"/>
      <c r="AF113" s="1"/>
    </row>
    <row r="114" spans="2:32" x14ac:dyDescent="0.25">
      <c r="B114" s="133">
        <v>26</v>
      </c>
      <c r="C114" s="1">
        <f>SIMULIMO!H100</f>
        <v>-18589.710904683277</v>
      </c>
      <c r="D114" s="1">
        <f>SIMULIMO!I100</f>
        <v>1545.2890953167243</v>
      </c>
      <c r="E114" s="1">
        <f>SIMULIMO!J100</f>
        <v>1681.6390953167265</v>
      </c>
      <c r="F114" s="1">
        <f>SIMULIMO!K100</f>
        <v>1819.3525953167227</v>
      </c>
      <c r="G114" s="1">
        <f>SIMULIMO!L100</f>
        <v>1958.4432303167268</v>
      </c>
      <c r="H114" s="1">
        <f>SIMULIMO!M100</f>
        <v>2098.9247716667232</v>
      </c>
      <c r="I114" s="1">
        <f>SIMULIMO!N100</f>
        <v>2240.8111284302286</v>
      </c>
      <c r="J114" s="1">
        <f>SIMULIMO!O100</f>
        <v>2384.1163487613576</v>
      </c>
      <c r="K114" s="1">
        <f>SIMULIMO!P100</f>
        <v>2528.8546212958081</v>
      </c>
      <c r="L114" s="1">
        <f>SIMULIMO!Q100</f>
        <v>2675.0402765555991</v>
      </c>
      <c r="M114" s="1">
        <f>SIMULIMO!R100</f>
        <v>2822.6877883679863</v>
      </c>
      <c r="N114" s="1">
        <f>SIMULIMO!S100</f>
        <v>1455.6693764645015</v>
      </c>
      <c r="O114" s="1">
        <f>SIMULIMO!T100</f>
        <v>10.710225446102186</v>
      </c>
      <c r="P114" s="1">
        <f>SIMULIMO!U100</f>
        <v>26.052991844454482</v>
      </c>
      <c r="Q114" s="1">
        <f>SIMULIMO!V100</f>
        <v>41.283416730743284</v>
      </c>
      <c r="R114" s="1">
        <f>SIMULIMO!W100</f>
        <v>56.396631953360384</v>
      </c>
      <c r="S114" s="1">
        <f>SIMULIMO!X100</f>
        <v>71.387667915154225</v>
      </c>
      <c r="T114" s="1">
        <f>SIMULIMO!Y100</f>
        <v>86.251451815527844</v>
      </c>
      <c r="U114" s="1">
        <f>SIMULIMO!Z100</f>
        <v>100.98280586447186</v>
      </c>
      <c r="V114" s="1">
        <f>SIMULIMO!AA100</f>
        <v>115.57644546810025</v>
      </c>
      <c r="W114" s="1">
        <f>SIMULIMO!AB100</f>
        <v>130.02697738531265</v>
      </c>
      <c r="X114" s="1">
        <f>SIMULIMO!AC100</f>
        <v>144.32889785505131</v>
      </c>
      <c r="Y114" s="1">
        <f>SIMULIMO!AD100</f>
        <v>158.47659069378938</v>
      </c>
      <c r="Z114" s="1">
        <f>SIMULIMO!AE100</f>
        <v>172.46432536271232</v>
      </c>
      <c r="AA114" s="1">
        <f>SIMULIMO!AF100</f>
        <v>95.524283101452284</v>
      </c>
      <c r="AB114" s="143">
        <f>SIMULIMO!AG99+SIMULIMO!AG100</f>
        <v>306377.29332889413</v>
      </c>
      <c r="AC114" s="1"/>
      <c r="AD114" s="1"/>
      <c r="AE114" s="1"/>
      <c r="AF114" s="1"/>
    </row>
    <row r="115" spans="2:32" x14ac:dyDescent="0.25">
      <c r="B115" s="133">
        <v>27</v>
      </c>
      <c r="C115" s="1">
        <f>SIMULIMO!H100</f>
        <v>-18589.710904683277</v>
      </c>
      <c r="D115" s="1">
        <f>SIMULIMO!I100</f>
        <v>1545.2890953167243</v>
      </c>
      <c r="E115" s="1">
        <f>SIMULIMO!J100</f>
        <v>1681.6390953167265</v>
      </c>
      <c r="F115" s="1">
        <f>SIMULIMO!K100</f>
        <v>1819.3525953167227</v>
      </c>
      <c r="G115" s="1">
        <f>SIMULIMO!L100</f>
        <v>1958.4432303167268</v>
      </c>
      <c r="H115" s="1">
        <f>SIMULIMO!M100</f>
        <v>2098.9247716667232</v>
      </c>
      <c r="I115" s="1">
        <f>SIMULIMO!N100</f>
        <v>2240.8111284302286</v>
      </c>
      <c r="J115" s="1">
        <f>SIMULIMO!O100</f>
        <v>2384.1163487613576</v>
      </c>
      <c r="K115" s="1">
        <f>SIMULIMO!P100</f>
        <v>2528.8546212958081</v>
      </c>
      <c r="L115" s="1">
        <f>SIMULIMO!Q100</f>
        <v>2675.0402765555991</v>
      </c>
      <c r="M115" s="1">
        <f>SIMULIMO!R100</f>
        <v>2822.6877883679863</v>
      </c>
      <c r="N115" s="1">
        <f>SIMULIMO!S100</f>
        <v>1455.6693764645015</v>
      </c>
      <c r="O115" s="1">
        <f>SIMULIMO!T100</f>
        <v>10.710225446102186</v>
      </c>
      <c r="P115" s="1">
        <f>SIMULIMO!U100</f>
        <v>26.052991844454482</v>
      </c>
      <c r="Q115" s="1">
        <f>SIMULIMO!V100</f>
        <v>41.283416730743284</v>
      </c>
      <c r="R115" s="1">
        <f>SIMULIMO!W100</f>
        <v>56.396631953360384</v>
      </c>
      <c r="S115" s="1">
        <f>SIMULIMO!X100</f>
        <v>71.387667915154225</v>
      </c>
      <c r="T115" s="1">
        <f>SIMULIMO!Y100</f>
        <v>86.251451815527844</v>
      </c>
      <c r="U115" s="1">
        <f>SIMULIMO!Z100</f>
        <v>100.98280586447186</v>
      </c>
      <c r="V115" s="1">
        <f>SIMULIMO!AA100</f>
        <v>115.57644546810025</v>
      </c>
      <c r="W115" s="1">
        <f>SIMULIMO!AB100</f>
        <v>130.02697738531265</v>
      </c>
      <c r="X115" s="1">
        <f>SIMULIMO!AC100</f>
        <v>144.32889785505131</v>
      </c>
      <c r="Y115" s="1">
        <f>SIMULIMO!AD100</f>
        <v>158.47659069378938</v>
      </c>
      <c r="Z115" s="1">
        <f>SIMULIMO!AE100</f>
        <v>172.46432536271232</v>
      </c>
      <c r="AA115" s="1">
        <f>SIMULIMO!AF100</f>
        <v>95.524283101452284</v>
      </c>
      <c r="AB115" s="1">
        <f>SIMULIMO!AG100</f>
        <v>11651.583221630401</v>
      </c>
      <c r="AC115" s="143">
        <f>SIMULIMO!AH99+SIMULIMO!AH100</f>
        <v>309868.56394130597</v>
      </c>
      <c r="AD115" s="1"/>
      <c r="AE115" s="1"/>
      <c r="AF115" s="1"/>
    </row>
    <row r="116" spans="2:32" x14ac:dyDescent="0.25">
      <c r="B116" s="133">
        <v>28</v>
      </c>
      <c r="C116" s="1">
        <f>SIMULIMO!H100</f>
        <v>-18589.710904683277</v>
      </c>
      <c r="D116" s="1">
        <f>SIMULIMO!I100</f>
        <v>1545.2890953167243</v>
      </c>
      <c r="E116" s="1">
        <f>SIMULIMO!J100</f>
        <v>1681.6390953167265</v>
      </c>
      <c r="F116" s="1">
        <f>SIMULIMO!K100</f>
        <v>1819.3525953167227</v>
      </c>
      <c r="G116" s="1">
        <f>SIMULIMO!L100</f>
        <v>1958.4432303167268</v>
      </c>
      <c r="H116" s="1">
        <f>SIMULIMO!M100</f>
        <v>2098.9247716667232</v>
      </c>
      <c r="I116" s="1">
        <f>SIMULIMO!N100</f>
        <v>2240.8111284302286</v>
      </c>
      <c r="J116" s="1">
        <f>SIMULIMO!O100</f>
        <v>2384.1163487613576</v>
      </c>
      <c r="K116" s="1">
        <f>SIMULIMO!P100</f>
        <v>2528.8546212958081</v>
      </c>
      <c r="L116" s="1">
        <f>SIMULIMO!Q100</f>
        <v>2675.0402765555991</v>
      </c>
      <c r="M116" s="1">
        <f>SIMULIMO!R100</f>
        <v>2822.6877883679863</v>
      </c>
      <c r="N116" s="1">
        <f>SIMULIMO!S100</f>
        <v>1455.6693764645015</v>
      </c>
      <c r="O116" s="1">
        <f>SIMULIMO!T100</f>
        <v>10.710225446102186</v>
      </c>
      <c r="P116" s="1">
        <f>SIMULIMO!U100</f>
        <v>26.052991844454482</v>
      </c>
      <c r="Q116" s="1">
        <f>SIMULIMO!V100</f>
        <v>41.283416730743284</v>
      </c>
      <c r="R116" s="1">
        <f>SIMULIMO!W100</f>
        <v>56.396631953360384</v>
      </c>
      <c r="S116" s="1">
        <f>SIMULIMO!X100</f>
        <v>71.387667915154225</v>
      </c>
      <c r="T116" s="1">
        <f>SIMULIMO!Y100</f>
        <v>86.251451815527844</v>
      </c>
      <c r="U116" s="1">
        <f>SIMULIMO!Z100</f>
        <v>100.98280586447186</v>
      </c>
      <c r="V116" s="1">
        <f>SIMULIMO!AA100</f>
        <v>115.57644546810025</v>
      </c>
      <c r="W116" s="1">
        <f>SIMULIMO!AB100</f>
        <v>130.02697738531265</v>
      </c>
      <c r="X116" s="1">
        <f>SIMULIMO!AC100</f>
        <v>144.32889785505131</v>
      </c>
      <c r="Y116" s="1">
        <f>SIMULIMO!AD100</f>
        <v>158.47659069378938</v>
      </c>
      <c r="Z116" s="1">
        <f>SIMULIMO!AE100</f>
        <v>172.46432536271232</v>
      </c>
      <c r="AA116" s="1">
        <f>SIMULIMO!AF100</f>
        <v>95.524283101452284</v>
      </c>
      <c r="AB116" s="1">
        <f>SIMULIMO!AG100</f>
        <v>11651.583221630401</v>
      </c>
      <c r="AC116" s="1">
        <f>SIMULIMO!AH100</f>
        <v>11506.302643321669</v>
      </c>
      <c r="AD116" s="143">
        <f>SIMULIMO!AI99+SIMULIMO!AI100</f>
        <v>313475.12996442273</v>
      </c>
      <c r="AE116" s="1"/>
      <c r="AF116" s="1"/>
    </row>
    <row r="117" spans="2:32" x14ac:dyDescent="0.25">
      <c r="B117" s="133">
        <v>29</v>
      </c>
      <c r="C117" s="1">
        <f>SIMULIMO!H100</f>
        <v>-18589.710904683277</v>
      </c>
      <c r="D117" s="1">
        <f>SIMULIMO!I100</f>
        <v>1545.2890953167243</v>
      </c>
      <c r="E117" s="1">
        <f>SIMULIMO!J100</f>
        <v>1681.6390953167265</v>
      </c>
      <c r="F117" s="1">
        <f>SIMULIMO!K100</f>
        <v>1819.3525953167227</v>
      </c>
      <c r="G117" s="1">
        <f>SIMULIMO!L100</f>
        <v>1958.4432303167268</v>
      </c>
      <c r="H117" s="1">
        <f>SIMULIMO!M100</f>
        <v>2098.9247716667232</v>
      </c>
      <c r="I117" s="1">
        <f>SIMULIMO!N100</f>
        <v>2240.8111284302286</v>
      </c>
      <c r="J117" s="1">
        <f>SIMULIMO!O100</f>
        <v>2384.1163487613576</v>
      </c>
      <c r="K117" s="1">
        <f>SIMULIMO!P100</f>
        <v>2528.8546212958081</v>
      </c>
      <c r="L117" s="1">
        <f>SIMULIMO!Q100</f>
        <v>2675.0402765555991</v>
      </c>
      <c r="M117" s="1">
        <f>SIMULIMO!R100</f>
        <v>2822.6877883679863</v>
      </c>
      <c r="N117" s="1">
        <f>SIMULIMO!S100</f>
        <v>1455.6693764645015</v>
      </c>
      <c r="O117" s="1">
        <f>SIMULIMO!T100</f>
        <v>10.710225446102186</v>
      </c>
      <c r="P117" s="1">
        <f>SIMULIMO!U100</f>
        <v>26.052991844454482</v>
      </c>
      <c r="Q117" s="1">
        <f>SIMULIMO!V100</f>
        <v>41.283416730743284</v>
      </c>
      <c r="R117" s="1">
        <f>SIMULIMO!W100</f>
        <v>56.396631953360384</v>
      </c>
      <c r="S117" s="1">
        <f>SIMULIMO!X100</f>
        <v>71.387667915154225</v>
      </c>
      <c r="T117" s="1">
        <f>SIMULIMO!Y100</f>
        <v>86.251451815527844</v>
      </c>
      <c r="U117" s="1">
        <f>SIMULIMO!Z100</f>
        <v>100.98280586447186</v>
      </c>
      <c r="V117" s="1">
        <f>SIMULIMO!AA100</f>
        <v>115.57644546810025</v>
      </c>
      <c r="W117" s="1">
        <f>SIMULIMO!AB100</f>
        <v>130.02697738531265</v>
      </c>
      <c r="X117" s="1">
        <f>SIMULIMO!AC100</f>
        <v>144.32889785505131</v>
      </c>
      <c r="Y117" s="1">
        <f>SIMULIMO!AD100</f>
        <v>158.47659069378938</v>
      </c>
      <c r="Z117" s="1">
        <f>SIMULIMO!AE100</f>
        <v>172.46432536271232</v>
      </c>
      <c r="AA117" s="1">
        <f>SIMULIMO!AF100</f>
        <v>95.524283101452284</v>
      </c>
      <c r="AB117" s="1">
        <f>SIMULIMO!AG100</f>
        <v>11651.583221630401</v>
      </c>
      <c r="AC117" s="1">
        <f>SIMULIMO!AH100</f>
        <v>11506.302643321669</v>
      </c>
      <c r="AD117" s="1">
        <f>SIMULIMO!AI100</f>
        <v>11355.216294914093</v>
      </c>
      <c r="AE117" s="143">
        <f>SIMULIMO!AJ99+SIMULIMO!AJ100</f>
        <v>317198.47953811096</v>
      </c>
      <c r="AF117" s="1"/>
    </row>
    <row r="118" spans="2:32" x14ac:dyDescent="0.25">
      <c r="B118" s="133">
        <v>30</v>
      </c>
      <c r="C118" s="1">
        <f>SIMULIMO!H100</f>
        <v>-18589.710904683277</v>
      </c>
      <c r="D118" s="1">
        <f>SIMULIMO!I100</f>
        <v>1545.2890953167243</v>
      </c>
      <c r="E118" s="1">
        <f>SIMULIMO!J100</f>
        <v>1681.6390953167265</v>
      </c>
      <c r="F118" s="1">
        <f>SIMULIMO!K100</f>
        <v>1819.3525953167227</v>
      </c>
      <c r="G118" s="1">
        <f>SIMULIMO!L100</f>
        <v>1958.4432303167268</v>
      </c>
      <c r="H118" s="1">
        <f>SIMULIMO!M100</f>
        <v>2098.9247716667232</v>
      </c>
      <c r="I118" s="1">
        <f>SIMULIMO!N100</f>
        <v>2240.8111284302286</v>
      </c>
      <c r="J118" s="1">
        <f>SIMULIMO!O100</f>
        <v>2384.1163487613576</v>
      </c>
      <c r="K118" s="1">
        <f>SIMULIMO!P100</f>
        <v>2528.8546212958081</v>
      </c>
      <c r="L118" s="1">
        <f>SIMULIMO!Q100</f>
        <v>2675.0402765555991</v>
      </c>
      <c r="M118" s="1">
        <f>SIMULIMO!R100</f>
        <v>2822.6877883679863</v>
      </c>
      <c r="N118" s="1">
        <f>SIMULIMO!S100</f>
        <v>1455.6693764645015</v>
      </c>
      <c r="O118" s="1">
        <f>SIMULIMO!T100</f>
        <v>10.710225446102186</v>
      </c>
      <c r="P118" s="1">
        <f>SIMULIMO!U100</f>
        <v>26.052991844454482</v>
      </c>
      <c r="Q118" s="1">
        <f>SIMULIMO!V100</f>
        <v>41.283416730743284</v>
      </c>
      <c r="R118" s="1">
        <f>SIMULIMO!W100</f>
        <v>56.396631953360384</v>
      </c>
      <c r="S118" s="1">
        <f>SIMULIMO!X100</f>
        <v>71.387667915154225</v>
      </c>
      <c r="T118" s="1">
        <f>SIMULIMO!Y100</f>
        <v>86.251451815527844</v>
      </c>
      <c r="U118" s="1">
        <f>SIMULIMO!Z100</f>
        <v>100.98280586447186</v>
      </c>
      <c r="V118" s="1">
        <f>SIMULIMO!AA100</f>
        <v>115.57644546810025</v>
      </c>
      <c r="W118" s="1">
        <f>SIMULIMO!AB100</f>
        <v>130.02697738531265</v>
      </c>
      <c r="X118" s="1">
        <f>SIMULIMO!AC100</f>
        <v>144.32889785505131</v>
      </c>
      <c r="Y118" s="1">
        <f>SIMULIMO!AD100</f>
        <v>158.47659069378938</v>
      </c>
      <c r="Z118" s="1">
        <f>SIMULIMO!AE100</f>
        <v>172.46432536271232</v>
      </c>
      <c r="AA118" s="1">
        <f>SIMULIMO!AF100</f>
        <v>95.524283101452284</v>
      </c>
      <c r="AB118" s="1">
        <f>SIMULIMO!AG100</f>
        <v>11651.583221630401</v>
      </c>
      <c r="AC118" s="1">
        <f>SIMULIMO!AH100</f>
        <v>11506.302643321669</v>
      </c>
      <c r="AD118" s="1">
        <f>SIMULIMO!AI100</f>
        <v>11355.216294914093</v>
      </c>
      <c r="AE118" s="1">
        <f>SIMULIMO!AJ100</f>
        <v>11198.135529777228</v>
      </c>
      <c r="AF118" s="143">
        <f>SIMULIMO!AK99+SIMULIMO!AK100</f>
        <v>321118.85590203735</v>
      </c>
    </row>
    <row r="120" spans="2:32" x14ac:dyDescent="0.25">
      <c r="B120" s="137"/>
      <c r="C120" s="138"/>
      <c r="D120" s="138"/>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c r="AA120" s="138"/>
      <c r="AB120" s="138"/>
      <c r="AC120" s="138"/>
      <c r="AD120" s="138"/>
      <c r="AE120" s="138"/>
      <c r="AF120" s="138"/>
    </row>
    <row r="123" spans="2:32" ht="15.75" x14ac:dyDescent="0.25">
      <c r="B123" s="145" t="s">
        <v>302</v>
      </c>
    </row>
    <row r="125" spans="2:32" x14ac:dyDescent="0.25">
      <c r="B125" s="133" t="s">
        <v>301</v>
      </c>
      <c r="C125" s="133">
        <v>1</v>
      </c>
      <c r="D125" s="133">
        <v>2</v>
      </c>
      <c r="E125" s="133">
        <v>3</v>
      </c>
      <c r="F125" s="133">
        <v>4</v>
      </c>
      <c r="G125" s="133">
        <v>5</v>
      </c>
      <c r="H125" s="133">
        <v>6</v>
      </c>
      <c r="I125" s="133">
        <v>7</v>
      </c>
      <c r="J125" s="133">
        <v>8</v>
      </c>
      <c r="K125" s="133">
        <v>9</v>
      </c>
      <c r="L125" s="133">
        <v>10</v>
      </c>
      <c r="M125" s="133">
        <v>11</v>
      </c>
      <c r="N125" s="133">
        <v>12</v>
      </c>
      <c r="O125" s="133">
        <v>13</v>
      </c>
      <c r="P125" s="133">
        <v>14</v>
      </c>
      <c r="Q125" s="133">
        <v>15</v>
      </c>
      <c r="R125" s="133">
        <v>16</v>
      </c>
      <c r="S125" s="133">
        <v>17</v>
      </c>
      <c r="T125" s="133">
        <v>18</v>
      </c>
      <c r="U125" s="133">
        <v>19</v>
      </c>
      <c r="V125" s="133">
        <v>20</v>
      </c>
      <c r="W125" s="133">
        <v>21</v>
      </c>
      <c r="X125" s="133">
        <v>22</v>
      </c>
      <c r="Y125" s="133">
        <v>23</v>
      </c>
      <c r="Z125" s="133">
        <v>24</v>
      </c>
      <c r="AA125" s="133">
        <v>25</v>
      </c>
      <c r="AB125" s="133">
        <v>26</v>
      </c>
      <c r="AC125" s="133">
        <v>27</v>
      </c>
      <c r="AD125" s="133">
        <v>28</v>
      </c>
      <c r="AE125" s="133">
        <v>29</v>
      </c>
      <c r="AF125" s="133">
        <v>30</v>
      </c>
    </row>
    <row r="126" spans="2:32" s="174" customFormat="1" x14ac:dyDescent="0.25">
      <c r="B126" s="173" t="s">
        <v>300</v>
      </c>
      <c r="C126" s="172" t="str">
        <f>IFERROR(IRR(C128),"N/A")</f>
        <v>N/A</v>
      </c>
      <c r="D126" s="172">
        <f>IFERROR(IRR(C129:D129),"N/A")</f>
        <v>-0.86800982372518476</v>
      </c>
      <c r="E126" s="172">
        <f>IFERROR(IRR(C130:E130),"N/A")</f>
        <v>-0.27627866341650542</v>
      </c>
      <c r="F126" s="172">
        <f>IFERROR(IRR(C131:F131),"N/A")</f>
        <v>-4.3589694122695311E-2</v>
      </c>
      <c r="G126" s="172">
        <f>IFERROR(IRR(C132:G132),"N/A")</f>
        <v>4.7592912000447241E-2</v>
      </c>
      <c r="H126" s="172">
        <f>IFERROR(IRR(C133:H133),"N/A")</f>
        <v>8.7152914320230535E-2</v>
      </c>
      <c r="I126" s="172">
        <f>IFERROR(IRR(C134:I134),"N/A")</f>
        <v>0.10508690067975168</v>
      </c>
      <c r="J126" s="172">
        <f>IFERROR(IRR(C135:J135),"N/A")</f>
        <v>0.11294406738743334</v>
      </c>
      <c r="K126" s="172">
        <f>IFERROR(IRR(C136:K136),"N/A")</f>
        <v>0.11575328423151987</v>
      </c>
      <c r="L126" s="172">
        <f>IFERROR(IRR(C137:L137),"N/A")</f>
        <v>0.1159169986491122</v>
      </c>
      <c r="M126" s="172">
        <f>IFERROR(IRR(C138:M138),"N/A")</f>
        <v>0.11466513227095132</v>
      </c>
      <c r="N126" s="172">
        <f>IFERROR(IRR(C139:N139),"N/A")</f>
        <v>0.11266056242206002</v>
      </c>
      <c r="O126" s="172">
        <f>IFERROR(IRR(C140:O140),"N/A")</f>
        <v>0.11027417155267938</v>
      </c>
      <c r="P126" s="172">
        <f>IFERROR(IRR(C141:P141),"N/A")</f>
        <v>0.1077188182252713</v>
      </c>
      <c r="Q126" s="172">
        <f>IFERROR(IRR(C142:Q142),"N/A")</f>
        <v>0.10511839610094587</v>
      </c>
      <c r="R126" s="172">
        <f>IFERROR(IRR(C143:R143),"N/A")</f>
        <v>0.10252498314893121</v>
      </c>
      <c r="S126" s="172">
        <f>IFERROR(IRR(C144:S144),"N/A")</f>
        <v>9.9796814398954714E-2</v>
      </c>
      <c r="T126" s="172">
        <f>IFERROR(IRR(C145:T145),"N/A")</f>
        <v>9.7244035362523462E-2</v>
      </c>
      <c r="U126" s="172">
        <f>IFERROR(IRR(C146:U146),"N/A")</f>
        <v>9.4854558125799349E-2</v>
      </c>
      <c r="V126" s="172">
        <f>IFERROR(IRR(C147:V147),"N/A")</f>
        <v>9.2616123218601576E-2</v>
      </c>
      <c r="W126" s="172">
        <f>IFERROR(IRR(C148:W148),"N/A")</f>
        <v>9.0516872999249598E-2</v>
      </c>
      <c r="X126" s="172">
        <f>IFERROR(IRR(C149:X149),"N/A")</f>
        <v>8.8529894291267563E-2</v>
      </c>
      <c r="Y126" s="172">
        <f>IFERROR(IRR(C150:Y150),"N/A")</f>
        <v>8.6680794433373176E-2</v>
      </c>
      <c r="Z126" s="172">
        <f>IFERROR(IRR(C151:Z151),"N/A")</f>
        <v>8.4940469792692985E-2</v>
      </c>
      <c r="AA126" s="172">
        <f>IFERROR(IRR(C152:AA152),"N/A")</f>
        <v>8.3262026824185487E-2</v>
      </c>
      <c r="AB126" s="172">
        <f>IFERROR(IRR(C153:AB153),"N/A")</f>
        <v>8.1670844818673149E-2</v>
      </c>
      <c r="AC126" s="172">
        <f>IFERROR(IRR(C154:AC154),"N/A")</f>
        <v>8.0248888381075689E-2</v>
      </c>
      <c r="AD126" s="172">
        <f>IFERROR(IRR(C155:AD155),"N/A")</f>
        <v>7.8968270130187035E-2</v>
      </c>
      <c r="AE126" s="172">
        <f>IFERROR(IRR(C156:AE156),"N/A")</f>
        <v>7.7806693320797038E-2</v>
      </c>
      <c r="AF126" s="172">
        <f>IFERROR(IRR(C157:AF157),"N/A")</f>
        <v>7.6755118609879602E-2</v>
      </c>
    </row>
    <row r="127" spans="2:32" x14ac:dyDescent="0.25">
      <c r="B127" s="136"/>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2:32" x14ac:dyDescent="0.25">
      <c r="B128" s="133">
        <v>1</v>
      </c>
      <c r="C128" s="143">
        <f>SIMULIMO!H138+SIMULIMO!H128</f>
        <v>-19478.540422017304</v>
      </c>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2:32" x14ac:dyDescent="0.25">
      <c r="B129" s="133">
        <v>2</v>
      </c>
      <c r="C129" s="1">
        <f>SIMULIMO!H128</f>
        <v>-22837.710904683274</v>
      </c>
      <c r="D129" s="143">
        <f>SIMULIMO!I127+SIMULIMO!I128</f>
        <v>3014.3534880224161</v>
      </c>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2:32" x14ac:dyDescent="0.25">
      <c r="B130" s="133">
        <v>3</v>
      </c>
      <c r="C130" s="1">
        <f>SIMULIMO!H128</f>
        <v>-22837.710904683274</v>
      </c>
      <c r="D130" s="1">
        <f>SIMULIMO!I128</f>
        <v>-2745.1909046832752</v>
      </c>
      <c r="E130" s="143">
        <f>SIMULIMO!J127+SIMULIMO!J128</f>
        <v>13948.519833287368</v>
      </c>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2:32" x14ac:dyDescent="0.25">
      <c r="B131" s="133">
        <v>4</v>
      </c>
      <c r="C131" s="1">
        <f>SIMULIMO!H128</f>
        <v>-22837.710904683274</v>
      </c>
      <c r="D131" s="1">
        <f>SIMULIMO!I128</f>
        <v>-2745.1909046832752</v>
      </c>
      <c r="E131" s="1">
        <f>SIMULIMO!J128</f>
        <v>-2651.7457046832733</v>
      </c>
      <c r="F131" s="143">
        <f>SIMULIMO!K127+SIMULIMO!K128</f>
        <v>25026.771870411252</v>
      </c>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2:32" x14ac:dyDescent="0.25">
      <c r="B132" s="133">
        <v>5</v>
      </c>
      <c r="C132" s="1">
        <f>SIMULIMO!H128</f>
        <v>-22837.710904683274</v>
      </c>
      <c r="D132" s="1">
        <f>SIMULIMO!I128</f>
        <v>-2745.1909046832752</v>
      </c>
      <c r="E132" s="1">
        <f>SIMULIMO!J128</f>
        <v>-2651.7457046832733</v>
      </c>
      <c r="F132" s="1">
        <f>SIMULIMO!K128</f>
        <v>-2557.3660526832782</v>
      </c>
      <c r="G132" s="143">
        <f>SIMULIMO!L127+SIMULIMO!L128</f>
        <v>36251.040006051961</v>
      </c>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2:32" x14ac:dyDescent="0.25">
      <c r="B133" s="133">
        <v>6</v>
      </c>
      <c r="C133" s="1">
        <f>SIMULIMO!H128</f>
        <v>-22837.710904683274</v>
      </c>
      <c r="D133" s="1">
        <f>SIMULIMO!I128</f>
        <v>-2745.1909046832752</v>
      </c>
      <c r="E133" s="1">
        <f>SIMULIMO!J128</f>
        <v>-2651.7457046832733</v>
      </c>
      <c r="F133" s="1">
        <f>SIMULIMO!K128</f>
        <v>-2557.3660526832782</v>
      </c>
      <c r="G133" s="1">
        <f>SIMULIMO!L128</f>
        <v>-2462.042604163275</v>
      </c>
      <c r="H133" s="143">
        <f>SIMULIMO!M127+SIMULIMO!M128</f>
        <v>47623.280848779861</v>
      </c>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2:32" x14ac:dyDescent="0.25">
      <c r="B134" s="133">
        <v>7</v>
      </c>
      <c r="C134" s="1">
        <f>SIMULIMO!H128</f>
        <v>-22837.710904683274</v>
      </c>
      <c r="D134" s="1">
        <f>SIMULIMO!I128</f>
        <v>-2745.1909046832752</v>
      </c>
      <c r="E134" s="1">
        <f>SIMULIMO!J128</f>
        <v>-2651.7457046832733</v>
      </c>
      <c r="F134" s="1">
        <f>SIMULIMO!K128</f>
        <v>-2557.3660526832782</v>
      </c>
      <c r="G134" s="1">
        <f>SIMULIMO!L128</f>
        <v>-2462.042604163275</v>
      </c>
      <c r="H134" s="1">
        <f>SIMULIMO!M128</f>
        <v>-2365.7659211580785</v>
      </c>
      <c r="I134" s="143">
        <f>SIMULIMO!N127+SIMULIMO!N128</f>
        <v>59145.477568288377</v>
      </c>
      <c r="J134" s="1"/>
      <c r="K134" s="1"/>
      <c r="L134" s="1"/>
      <c r="M134" s="1"/>
      <c r="N134" s="1"/>
      <c r="O134" s="1"/>
      <c r="P134" s="1"/>
      <c r="Q134" s="1"/>
      <c r="R134" s="1"/>
      <c r="S134" s="1"/>
      <c r="T134" s="1"/>
      <c r="U134" s="1"/>
      <c r="V134" s="1"/>
      <c r="W134" s="1"/>
      <c r="X134" s="1"/>
      <c r="Y134" s="1"/>
      <c r="Z134" s="1"/>
      <c r="AA134" s="1"/>
      <c r="AB134" s="1"/>
      <c r="AC134" s="1"/>
      <c r="AD134" s="1"/>
      <c r="AE134" s="1"/>
      <c r="AF134" s="1"/>
    </row>
    <row r="135" spans="2:32" x14ac:dyDescent="0.25">
      <c r="B135" s="133">
        <v>8</v>
      </c>
      <c r="C135" s="1">
        <f>SIMULIMO!H128</f>
        <v>-22837.710904683274</v>
      </c>
      <c r="D135" s="1">
        <f>SIMULIMO!I128</f>
        <v>-2745.1909046832752</v>
      </c>
      <c r="E135" s="1">
        <f>SIMULIMO!J128</f>
        <v>-2651.7457046832733</v>
      </c>
      <c r="F135" s="1">
        <f>SIMULIMO!K128</f>
        <v>-2557.3660526832782</v>
      </c>
      <c r="G135" s="1">
        <f>SIMULIMO!L128</f>
        <v>-2462.042604163275</v>
      </c>
      <c r="H135" s="1">
        <f>SIMULIMO!M128</f>
        <v>-2365.7659211580785</v>
      </c>
      <c r="I135" s="1">
        <f>SIMULIMO!N128</f>
        <v>-2268.5264713228221</v>
      </c>
      <c r="J135" s="143">
        <f>SIMULIMO!O127+SIMULIMO!O128</f>
        <v>70819.64025956727</v>
      </c>
      <c r="K135" s="1"/>
      <c r="L135" s="1"/>
      <c r="M135" s="1"/>
      <c r="N135" s="1"/>
      <c r="O135" s="1"/>
      <c r="P135" s="1"/>
      <c r="Q135" s="1"/>
      <c r="R135" s="1"/>
      <c r="S135" s="1"/>
      <c r="T135" s="1"/>
      <c r="U135" s="1"/>
      <c r="V135" s="1"/>
      <c r="W135" s="1"/>
      <c r="X135" s="1"/>
      <c r="Y135" s="1"/>
      <c r="Z135" s="1"/>
      <c r="AA135" s="1"/>
      <c r="AB135" s="1"/>
      <c r="AC135" s="1"/>
      <c r="AD135" s="1"/>
      <c r="AE135" s="1"/>
      <c r="AF135" s="1"/>
    </row>
    <row r="136" spans="2:32" x14ac:dyDescent="0.25">
      <c r="B136" s="133">
        <v>9</v>
      </c>
      <c r="C136" s="1">
        <f>SIMULIMO!H128</f>
        <v>-22837.710904683274</v>
      </c>
      <c r="D136" s="1">
        <f>SIMULIMO!I128</f>
        <v>-2745.1909046832752</v>
      </c>
      <c r="E136" s="1">
        <f>SIMULIMO!J128</f>
        <v>-2651.7457046832733</v>
      </c>
      <c r="F136" s="1">
        <f>SIMULIMO!K128</f>
        <v>-2557.3660526832782</v>
      </c>
      <c r="G136" s="1">
        <f>SIMULIMO!L128</f>
        <v>-2462.042604163275</v>
      </c>
      <c r="H136" s="1">
        <f>SIMULIMO!M128</f>
        <v>-2365.7659211580785</v>
      </c>
      <c r="I136" s="1">
        <f>SIMULIMO!N128</f>
        <v>-2268.5264713228221</v>
      </c>
      <c r="J136" s="1">
        <f>SIMULIMO!O128</f>
        <v>-2170.3146269892204</v>
      </c>
      <c r="K136" s="143">
        <f>SIMULIMO!P127+SIMULIMO!P128</f>
        <v>82647.806312104862</v>
      </c>
      <c r="L136" s="1"/>
      <c r="M136" s="1"/>
      <c r="N136" s="1"/>
      <c r="O136" s="1"/>
      <c r="P136" s="1"/>
      <c r="Q136" s="1"/>
      <c r="R136" s="1"/>
      <c r="S136" s="1"/>
      <c r="T136" s="1"/>
      <c r="U136" s="1"/>
      <c r="V136" s="1"/>
      <c r="W136" s="1"/>
      <c r="X136" s="1"/>
      <c r="Y136" s="1"/>
      <c r="Z136" s="1"/>
      <c r="AA136" s="1"/>
      <c r="AB136" s="1"/>
      <c r="AC136" s="1"/>
      <c r="AD136" s="1"/>
      <c r="AE136" s="1"/>
      <c r="AF136" s="1"/>
    </row>
    <row r="137" spans="2:32" x14ac:dyDescent="0.25">
      <c r="B137" s="133">
        <v>10</v>
      </c>
      <c r="C137" s="1">
        <f>SIMULIMO!H128</f>
        <v>-22837.710904683274</v>
      </c>
      <c r="D137" s="1">
        <f>SIMULIMO!I128</f>
        <v>-2745.1909046832752</v>
      </c>
      <c r="E137" s="1">
        <f>SIMULIMO!J128</f>
        <v>-2651.7457046832733</v>
      </c>
      <c r="F137" s="1">
        <f>SIMULIMO!K128</f>
        <v>-2557.3660526832782</v>
      </c>
      <c r="G137" s="1">
        <f>SIMULIMO!L128</f>
        <v>-2462.042604163275</v>
      </c>
      <c r="H137" s="1">
        <f>SIMULIMO!M128</f>
        <v>-2365.7659211580785</v>
      </c>
      <c r="I137" s="1">
        <f>SIMULIMO!N128</f>
        <v>-2268.5264713228221</v>
      </c>
      <c r="J137" s="1">
        <f>SIMULIMO!O128</f>
        <v>-2170.3146269892204</v>
      </c>
      <c r="K137" s="1">
        <f>SIMULIMO!P128</f>
        <v>-2071.1206642122752</v>
      </c>
      <c r="L137" s="143">
        <f>SIMULIMO!Q127+SIMULIMO!Q128</f>
        <v>94632.040784192082</v>
      </c>
      <c r="M137" s="1"/>
      <c r="N137" s="1"/>
      <c r="O137" s="1"/>
      <c r="P137" s="1"/>
      <c r="Q137" s="1"/>
      <c r="R137" s="1"/>
      <c r="S137" s="1"/>
      <c r="T137" s="1"/>
      <c r="U137" s="1"/>
      <c r="V137" s="1"/>
      <c r="W137" s="1"/>
      <c r="X137" s="1"/>
      <c r="Y137" s="1"/>
      <c r="Z137" s="1"/>
      <c r="AA137" s="1"/>
      <c r="AB137" s="1"/>
      <c r="AC137" s="1"/>
      <c r="AD137" s="1"/>
      <c r="AE137" s="1"/>
      <c r="AF137" s="1"/>
    </row>
    <row r="138" spans="2:32" x14ac:dyDescent="0.25">
      <c r="B138" s="133">
        <v>11</v>
      </c>
      <c r="C138" s="1">
        <f>SIMULIMO!H128</f>
        <v>-22837.710904683274</v>
      </c>
      <c r="D138" s="1">
        <f>SIMULIMO!I128</f>
        <v>-2745.1909046832752</v>
      </c>
      <c r="E138" s="1">
        <f>SIMULIMO!J128</f>
        <v>-2651.7457046832733</v>
      </c>
      <c r="F138" s="1">
        <f>SIMULIMO!K128</f>
        <v>-2557.3660526832782</v>
      </c>
      <c r="G138" s="1">
        <f>SIMULIMO!L128</f>
        <v>-2462.042604163275</v>
      </c>
      <c r="H138" s="1">
        <f>SIMULIMO!M128</f>
        <v>-2365.7659211580785</v>
      </c>
      <c r="I138" s="1">
        <f>SIMULIMO!N128</f>
        <v>-2268.5264713228221</v>
      </c>
      <c r="J138" s="1">
        <f>SIMULIMO!O128</f>
        <v>-2170.3146269892204</v>
      </c>
      <c r="K138" s="1">
        <f>SIMULIMO!P128</f>
        <v>-2071.1206642122752</v>
      </c>
      <c r="L138" s="1">
        <f>SIMULIMO!Q128</f>
        <v>-1970.9347618075681</v>
      </c>
      <c r="M138" s="143">
        <f>SIMULIMO!R127+SIMULIMO!R128</f>
        <v>106774.43678239689</v>
      </c>
      <c r="N138" s="1"/>
      <c r="O138" s="1"/>
      <c r="P138" s="1"/>
      <c r="Q138" s="1"/>
      <c r="R138" s="1"/>
      <c r="S138" s="1"/>
      <c r="T138" s="1"/>
      <c r="U138" s="1"/>
      <c r="V138" s="1"/>
      <c r="W138" s="1"/>
      <c r="X138" s="1"/>
      <c r="Y138" s="1"/>
      <c r="Z138" s="1"/>
      <c r="AA138" s="1"/>
      <c r="AB138" s="1"/>
      <c r="AC138" s="1"/>
      <c r="AD138" s="1"/>
      <c r="AE138" s="1"/>
      <c r="AF138" s="1"/>
    </row>
    <row r="139" spans="2:32" x14ac:dyDescent="0.25">
      <c r="B139" s="133">
        <v>12</v>
      </c>
      <c r="C139" s="1">
        <f>SIMULIMO!H128</f>
        <v>-22837.710904683274</v>
      </c>
      <c r="D139" s="1">
        <f>SIMULIMO!I128</f>
        <v>-2745.1909046832752</v>
      </c>
      <c r="E139" s="1">
        <f>SIMULIMO!J128</f>
        <v>-2651.7457046832733</v>
      </c>
      <c r="F139" s="1">
        <f>SIMULIMO!K128</f>
        <v>-2557.3660526832782</v>
      </c>
      <c r="G139" s="1">
        <f>SIMULIMO!L128</f>
        <v>-2462.042604163275</v>
      </c>
      <c r="H139" s="1">
        <f>SIMULIMO!M128</f>
        <v>-2365.7659211580785</v>
      </c>
      <c r="I139" s="1">
        <f>SIMULIMO!N128</f>
        <v>-2268.5264713228221</v>
      </c>
      <c r="J139" s="1">
        <f>SIMULIMO!O128</f>
        <v>-2170.3146269892204</v>
      </c>
      <c r="K139" s="1">
        <f>SIMULIMO!P128</f>
        <v>-2071.1206642122752</v>
      </c>
      <c r="L139" s="1">
        <f>SIMULIMO!Q128</f>
        <v>-1970.9347618075681</v>
      </c>
      <c r="M139" s="1">
        <f>SIMULIMO!R128</f>
        <v>-1869.7470003788112</v>
      </c>
      <c r="N139" s="143">
        <f>SIMULIMO!S127+SIMULIMO!S128</f>
        <v>119077.11584628199</v>
      </c>
      <c r="O139" s="1"/>
      <c r="P139" s="1"/>
      <c r="Q139" s="1"/>
      <c r="R139" s="1"/>
      <c r="S139" s="1"/>
      <c r="T139" s="1"/>
      <c r="U139" s="1"/>
      <c r="V139" s="1"/>
      <c r="W139" s="1"/>
      <c r="X139" s="1"/>
      <c r="Y139" s="1"/>
      <c r="Z139" s="1"/>
      <c r="AA139" s="1"/>
      <c r="AB139" s="1"/>
      <c r="AC139" s="1"/>
      <c r="AD139" s="1"/>
      <c r="AE139" s="1"/>
      <c r="AF139" s="1"/>
    </row>
    <row r="140" spans="2:32" x14ac:dyDescent="0.25">
      <c r="B140" s="133">
        <v>13</v>
      </c>
      <c r="C140" s="1">
        <f>SIMULIMO!H128</f>
        <v>-22837.710904683274</v>
      </c>
      <c r="D140" s="1">
        <f>SIMULIMO!I128</f>
        <v>-2745.1909046832752</v>
      </c>
      <c r="E140" s="1">
        <f>SIMULIMO!J128</f>
        <v>-2651.7457046832733</v>
      </c>
      <c r="F140" s="1">
        <f>SIMULIMO!K128</f>
        <v>-2557.3660526832782</v>
      </c>
      <c r="G140" s="1">
        <f>SIMULIMO!L128</f>
        <v>-2462.042604163275</v>
      </c>
      <c r="H140" s="1">
        <f>SIMULIMO!M128</f>
        <v>-2365.7659211580785</v>
      </c>
      <c r="I140" s="1">
        <f>SIMULIMO!N128</f>
        <v>-2268.5264713228221</v>
      </c>
      <c r="J140" s="1">
        <f>SIMULIMO!O128</f>
        <v>-2170.3146269892204</v>
      </c>
      <c r="K140" s="1">
        <f>SIMULIMO!P128</f>
        <v>-2071.1206642122752</v>
      </c>
      <c r="L140" s="1">
        <f>SIMULIMO!Q128</f>
        <v>-1970.9347618075681</v>
      </c>
      <c r="M140" s="1">
        <f>SIMULIMO!R128</f>
        <v>-1869.7470003788112</v>
      </c>
      <c r="N140" s="1">
        <f>SIMULIMO!S128</f>
        <v>-1767.5473613357681</v>
      </c>
      <c r="O140" s="143">
        <f>SIMULIMO!T127+SIMULIMO!T128</f>
        <v>131542.22833843812</v>
      </c>
      <c r="P140" s="1"/>
      <c r="Q140" s="1"/>
      <c r="R140" s="1"/>
      <c r="S140" s="1"/>
      <c r="T140" s="1"/>
      <c r="U140" s="1"/>
      <c r="V140" s="1"/>
      <c r="W140" s="1"/>
      <c r="X140" s="1"/>
      <c r="Y140" s="1"/>
      <c r="Z140" s="1"/>
      <c r="AA140" s="1"/>
      <c r="AB140" s="1"/>
      <c r="AC140" s="1"/>
      <c r="AD140" s="1"/>
      <c r="AE140" s="1"/>
      <c r="AF140" s="1"/>
    </row>
    <row r="141" spans="2:32" x14ac:dyDescent="0.25">
      <c r="B141" s="133">
        <v>14</v>
      </c>
      <c r="C141" s="1">
        <f>SIMULIMO!H128</f>
        <v>-22837.710904683274</v>
      </c>
      <c r="D141" s="1">
        <f>SIMULIMO!I128</f>
        <v>-2745.1909046832752</v>
      </c>
      <c r="E141" s="1">
        <f>SIMULIMO!J128</f>
        <v>-2651.7457046832733</v>
      </c>
      <c r="F141" s="1">
        <f>SIMULIMO!K128</f>
        <v>-2557.3660526832782</v>
      </c>
      <c r="G141" s="1">
        <f>SIMULIMO!L128</f>
        <v>-2462.042604163275</v>
      </c>
      <c r="H141" s="1">
        <f>SIMULIMO!M128</f>
        <v>-2365.7659211580785</v>
      </c>
      <c r="I141" s="1">
        <f>SIMULIMO!N128</f>
        <v>-2268.5264713228221</v>
      </c>
      <c r="J141" s="1">
        <f>SIMULIMO!O128</f>
        <v>-2170.3146269892204</v>
      </c>
      <c r="K141" s="1">
        <f>SIMULIMO!P128</f>
        <v>-2071.1206642122752</v>
      </c>
      <c r="L141" s="1">
        <f>SIMULIMO!Q128</f>
        <v>-1970.9347618075681</v>
      </c>
      <c r="M141" s="1">
        <f>SIMULIMO!R128</f>
        <v>-1869.7470003788112</v>
      </c>
      <c r="N141" s="1">
        <f>SIMULIMO!S128</f>
        <v>-1767.5473613357681</v>
      </c>
      <c r="O141" s="1">
        <f>SIMULIMO!T128</f>
        <v>-1664.3257259022921</v>
      </c>
      <c r="P141" s="143">
        <f>SIMULIMO!U127+SIMULIMO!U128</f>
        <v>144171.95383990739</v>
      </c>
      <c r="Q141" s="1"/>
      <c r="R141" s="1"/>
      <c r="S141" s="1"/>
      <c r="T141" s="1"/>
      <c r="U141" s="1"/>
      <c r="V141" s="1"/>
      <c r="W141" s="1"/>
      <c r="X141" s="1"/>
      <c r="Y141" s="1"/>
      <c r="Z141" s="1"/>
      <c r="AA141" s="1"/>
      <c r="AB141" s="1"/>
      <c r="AC141" s="1"/>
      <c r="AD141" s="1"/>
      <c r="AE141" s="1"/>
      <c r="AF141" s="1"/>
    </row>
    <row r="142" spans="2:32" x14ac:dyDescent="0.25">
      <c r="B142" s="133">
        <v>15</v>
      </c>
      <c r="C142" s="1">
        <f>SIMULIMO!H128</f>
        <v>-22837.710904683274</v>
      </c>
      <c r="D142" s="1">
        <f>SIMULIMO!I128</f>
        <v>-2745.1909046832752</v>
      </c>
      <c r="E142" s="1">
        <f>SIMULIMO!J128</f>
        <v>-2651.7457046832733</v>
      </c>
      <c r="F142" s="1">
        <f>SIMULIMO!K128</f>
        <v>-2557.3660526832782</v>
      </c>
      <c r="G142" s="1">
        <f>SIMULIMO!L128</f>
        <v>-2462.042604163275</v>
      </c>
      <c r="H142" s="1">
        <f>SIMULIMO!M128</f>
        <v>-2365.7659211580785</v>
      </c>
      <c r="I142" s="1">
        <f>SIMULIMO!N128</f>
        <v>-2268.5264713228221</v>
      </c>
      <c r="J142" s="1">
        <f>SIMULIMO!O128</f>
        <v>-2170.3146269892204</v>
      </c>
      <c r="K142" s="1">
        <f>SIMULIMO!P128</f>
        <v>-2071.1206642122752</v>
      </c>
      <c r="L142" s="1">
        <f>SIMULIMO!Q128</f>
        <v>-1970.9347618075681</v>
      </c>
      <c r="M142" s="1">
        <f>SIMULIMO!R128</f>
        <v>-1869.7470003788112</v>
      </c>
      <c r="N142" s="1">
        <f>SIMULIMO!S128</f>
        <v>-1767.5473613357681</v>
      </c>
      <c r="O142" s="1">
        <f>SIMULIMO!T128</f>
        <v>-1664.3257259022921</v>
      </c>
      <c r="P142" s="1">
        <f>SIMULIMO!U128</f>
        <v>-1560.0718741144801</v>
      </c>
      <c r="Q142" s="143">
        <f>SIMULIMO!V127+SIMULIMO!V128</f>
        <v>156968.50155107109</v>
      </c>
      <c r="R142" s="1"/>
      <c r="S142" s="1"/>
      <c r="T142" s="1"/>
      <c r="U142" s="1"/>
      <c r="V142" s="1"/>
      <c r="W142" s="1"/>
      <c r="X142" s="1"/>
      <c r="Y142" s="1"/>
      <c r="Z142" s="1"/>
      <c r="AA142" s="1"/>
      <c r="AB142" s="1"/>
      <c r="AC142" s="1"/>
      <c r="AD142" s="1"/>
      <c r="AE142" s="1"/>
      <c r="AF142" s="1"/>
    </row>
    <row r="143" spans="2:32" x14ac:dyDescent="0.25">
      <c r="B143" s="133">
        <v>16</v>
      </c>
      <c r="C143" s="1">
        <f>SIMULIMO!H128</f>
        <v>-22837.710904683274</v>
      </c>
      <c r="D143" s="1">
        <f>SIMULIMO!I128</f>
        <v>-2745.1909046832752</v>
      </c>
      <c r="E143" s="1">
        <f>SIMULIMO!J128</f>
        <v>-2651.7457046832733</v>
      </c>
      <c r="F143" s="1">
        <f>SIMULIMO!K128</f>
        <v>-2557.3660526832782</v>
      </c>
      <c r="G143" s="1">
        <f>SIMULIMO!L128</f>
        <v>-2462.042604163275</v>
      </c>
      <c r="H143" s="1">
        <f>SIMULIMO!M128</f>
        <v>-2365.7659211580785</v>
      </c>
      <c r="I143" s="1">
        <f>SIMULIMO!N128</f>
        <v>-2268.5264713228221</v>
      </c>
      <c r="J143" s="1">
        <f>SIMULIMO!O128</f>
        <v>-2170.3146269892204</v>
      </c>
      <c r="K143" s="1">
        <f>SIMULIMO!P128</f>
        <v>-2071.1206642122752</v>
      </c>
      <c r="L143" s="1">
        <f>SIMULIMO!Q128</f>
        <v>-1970.9347618075681</v>
      </c>
      <c r="M143" s="1">
        <f>SIMULIMO!R128</f>
        <v>-1869.7470003788112</v>
      </c>
      <c r="N143" s="1">
        <f>SIMULIMO!S128</f>
        <v>-1767.5473613357681</v>
      </c>
      <c r="O143" s="1">
        <f>SIMULIMO!T128</f>
        <v>-1664.3257259022921</v>
      </c>
      <c r="P143" s="1">
        <f>SIMULIMO!U128</f>
        <v>-1560.0718741144801</v>
      </c>
      <c r="Q143" s="1">
        <f>SIMULIMO!V128</f>
        <v>-1454.775483808791</v>
      </c>
      <c r="R143" s="143">
        <f>SIMULIMO!W127+SIMULIMO!W128</f>
        <v>169894.45383018305</v>
      </c>
      <c r="S143" s="1"/>
      <c r="T143" s="1"/>
      <c r="U143" s="1"/>
      <c r="V143" s="1"/>
      <c r="W143" s="1"/>
      <c r="X143" s="1"/>
      <c r="Y143" s="1"/>
      <c r="Z143" s="1"/>
      <c r="AA143" s="1"/>
      <c r="AB143" s="1"/>
      <c r="AC143" s="1"/>
      <c r="AD143" s="1"/>
      <c r="AE143" s="1"/>
      <c r="AF143" s="1"/>
    </row>
    <row r="144" spans="2:32" x14ac:dyDescent="0.25">
      <c r="B144" s="133">
        <v>17</v>
      </c>
      <c r="C144" s="1">
        <f>SIMULIMO!H128</f>
        <v>-22837.710904683274</v>
      </c>
      <c r="D144" s="1">
        <f>SIMULIMO!I128</f>
        <v>-2745.1909046832752</v>
      </c>
      <c r="E144" s="1">
        <f>SIMULIMO!J128</f>
        <v>-2651.7457046832733</v>
      </c>
      <c r="F144" s="1">
        <f>SIMULIMO!K128</f>
        <v>-2557.3660526832782</v>
      </c>
      <c r="G144" s="1">
        <f>SIMULIMO!L128</f>
        <v>-2462.042604163275</v>
      </c>
      <c r="H144" s="1">
        <f>SIMULIMO!M128</f>
        <v>-2365.7659211580785</v>
      </c>
      <c r="I144" s="1">
        <f>SIMULIMO!N128</f>
        <v>-2268.5264713228221</v>
      </c>
      <c r="J144" s="1">
        <f>SIMULIMO!O128</f>
        <v>-2170.3146269892204</v>
      </c>
      <c r="K144" s="1">
        <f>SIMULIMO!P128</f>
        <v>-2071.1206642122752</v>
      </c>
      <c r="L144" s="1">
        <f>SIMULIMO!Q128</f>
        <v>-1970.9347618075681</v>
      </c>
      <c r="M144" s="1">
        <f>SIMULIMO!R128</f>
        <v>-1869.7470003788112</v>
      </c>
      <c r="N144" s="1">
        <f>SIMULIMO!S128</f>
        <v>-1767.5473613357681</v>
      </c>
      <c r="O144" s="1">
        <f>SIMULIMO!T128</f>
        <v>-1664.3257259022921</v>
      </c>
      <c r="P144" s="1">
        <f>SIMULIMO!U128</f>
        <v>-1560.0718741144801</v>
      </c>
      <c r="Q144" s="1">
        <f>SIMULIMO!V128</f>
        <v>-1454.775483808791</v>
      </c>
      <c r="R144" s="1">
        <f>SIMULIMO!W128</f>
        <v>-1348.4261296000466</v>
      </c>
      <c r="S144" s="143">
        <f>SIMULIMO!X127+SIMULIMO!X128</f>
        <v>182518.64111191136</v>
      </c>
      <c r="T144" s="1"/>
      <c r="U144" s="1"/>
      <c r="V144" s="1"/>
      <c r="W144" s="1"/>
      <c r="X144" s="1"/>
      <c r="Y144" s="1"/>
      <c r="Z144" s="1"/>
      <c r="AA144" s="1"/>
      <c r="AB144" s="1"/>
      <c r="AC144" s="1"/>
      <c r="AD144" s="1"/>
      <c r="AE144" s="1"/>
      <c r="AF144" s="1"/>
    </row>
    <row r="145" spans="2:32" x14ac:dyDescent="0.25">
      <c r="B145" s="133">
        <v>18</v>
      </c>
      <c r="C145" s="1">
        <f>SIMULIMO!H128</f>
        <v>-22837.710904683274</v>
      </c>
      <c r="D145" s="1">
        <f>SIMULIMO!I128</f>
        <v>-2745.1909046832752</v>
      </c>
      <c r="E145" s="1">
        <f>SIMULIMO!J128</f>
        <v>-2651.7457046832733</v>
      </c>
      <c r="F145" s="1">
        <f>SIMULIMO!K128</f>
        <v>-2557.3660526832782</v>
      </c>
      <c r="G145" s="1">
        <f>SIMULIMO!L128</f>
        <v>-2462.042604163275</v>
      </c>
      <c r="H145" s="1">
        <f>SIMULIMO!M128</f>
        <v>-2365.7659211580785</v>
      </c>
      <c r="I145" s="1">
        <f>SIMULIMO!N128</f>
        <v>-2268.5264713228221</v>
      </c>
      <c r="J145" s="1">
        <f>SIMULIMO!O128</f>
        <v>-2170.3146269892204</v>
      </c>
      <c r="K145" s="1">
        <f>SIMULIMO!P128</f>
        <v>-2071.1206642122752</v>
      </c>
      <c r="L145" s="1">
        <f>SIMULIMO!Q128</f>
        <v>-1970.9347618075681</v>
      </c>
      <c r="M145" s="1">
        <f>SIMULIMO!R128</f>
        <v>-1869.7470003788112</v>
      </c>
      <c r="N145" s="1">
        <f>SIMULIMO!S128</f>
        <v>-1767.5473613357681</v>
      </c>
      <c r="O145" s="1">
        <f>SIMULIMO!T128</f>
        <v>-1664.3257259022921</v>
      </c>
      <c r="P145" s="1">
        <f>SIMULIMO!U128</f>
        <v>-1560.0718741144801</v>
      </c>
      <c r="Q145" s="1">
        <f>SIMULIMO!V128</f>
        <v>-1454.775483808791</v>
      </c>
      <c r="R145" s="1">
        <f>SIMULIMO!W128</f>
        <v>-1348.4261296000466</v>
      </c>
      <c r="S145" s="1">
        <f>SIMULIMO!X128</f>
        <v>-1241.0132818492141</v>
      </c>
      <c r="T145" s="143">
        <f>SIMULIMO!Y127+SIMULIMO!Y128</f>
        <v>195388.4867842478</v>
      </c>
      <c r="U145" s="1"/>
      <c r="V145" s="1"/>
      <c r="W145" s="1"/>
      <c r="X145" s="1"/>
      <c r="Y145" s="1"/>
      <c r="Z145" s="1"/>
      <c r="AA145" s="1"/>
      <c r="AB145" s="1"/>
      <c r="AC145" s="1"/>
      <c r="AD145" s="1"/>
      <c r="AE145" s="1"/>
      <c r="AF145" s="1"/>
    </row>
    <row r="146" spans="2:32" x14ac:dyDescent="0.25">
      <c r="B146" s="133">
        <v>19</v>
      </c>
      <c r="C146" s="1">
        <f>SIMULIMO!H128</f>
        <v>-22837.710904683274</v>
      </c>
      <c r="D146" s="1">
        <f>SIMULIMO!I128</f>
        <v>-2745.1909046832752</v>
      </c>
      <c r="E146" s="1">
        <f>SIMULIMO!J128</f>
        <v>-2651.7457046832733</v>
      </c>
      <c r="F146" s="1">
        <f>SIMULIMO!K128</f>
        <v>-2557.3660526832782</v>
      </c>
      <c r="G146" s="1">
        <f>SIMULIMO!L128</f>
        <v>-2462.042604163275</v>
      </c>
      <c r="H146" s="1">
        <f>SIMULIMO!M128</f>
        <v>-2365.7659211580785</v>
      </c>
      <c r="I146" s="1">
        <f>SIMULIMO!N128</f>
        <v>-2268.5264713228221</v>
      </c>
      <c r="J146" s="1">
        <f>SIMULIMO!O128</f>
        <v>-2170.3146269892204</v>
      </c>
      <c r="K146" s="1">
        <f>SIMULIMO!P128</f>
        <v>-2071.1206642122752</v>
      </c>
      <c r="L146" s="1">
        <f>SIMULIMO!Q128</f>
        <v>-1970.9347618075681</v>
      </c>
      <c r="M146" s="1">
        <f>SIMULIMO!R128</f>
        <v>-1869.7470003788112</v>
      </c>
      <c r="N146" s="1">
        <f>SIMULIMO!S128</f>
        <v>-1767.5473613357681</v>
      </c>
      <c r="O146" s="1">
        <f>SIMULIMO!T128</f>
        <v>-1664.3257259022921</v>
      </c>
      <c r="P146" s="1">
        <f>SIMULIMO!U128</f>
        <v>-1560.0718741144801</v>
      </c>
      <c r="Q146" s="1">
        <f>SIMULIMO!V128</f>
        <v>-1454.775483808791</v>
      </c>
      <c r="R146" s="1">
        <f>SIMULIMO!W128</f>
        <v>-1348.4261296000466</v>
      </c>
      <c r="S146" s="1">
        <f>SIMULIMO!X128</f>
        <v>-1241.0132818492141</v>
      </c>
      <c r="T146" s="1">
        <f>SIMULIMO!Y128</f>
        <v>-1132.5263056208757</v>
      </c>
      <c r="U146" s="143">
        <f>SIMULIMO!Z127+SIMULIMO!Z128</f>
        <v>208507.43074240268</v>
      </c>
      <c r="V146" s="1"/>
      <c r="W146" s="1"/>
      <c r="X146" s="1"/>
      <c r="Y146" s="1"/>
      <c r="Z146" s="1"/>
      <c r="AA146" s="1"/>
      <c r="AB146" s="1"/>
      <c r="AC146" s="1"/>
      <c r="AD146" s="1"/>
      <c r="AE146" s="1"/>
      <c r="AF146" s="1"/>
    </row>
    <row r="147" spans="2:32" x14ac:dyDescent="0.25">
      <c r="B147" s="133">
        <v>20</v>
      </c>
      <c r="C147" s="1">
        <f>SIMULIMO!H128</f>
        <v>-22837.710904683274</v>
      </c>
      <c r="D147" s="1">
        <f>SIMULIMO!I128</f>
        <v>-2745.1909046832752</v>
      </c>
      <c r="E147" s="1">
        <f>SIMULIMO!J128</f>
        <v>-2651.7457046832733</v>
      </c>
      <c r="F147" s="1">
        <f>SIMULIMO!K128</f>
        <v>-2557.3660526832782</v>
      </c>
      <c r="G147" s="1">
        <f>SIMULIMO!L128</f>
        <v>-2462.042604163275</v>
      </c>
      <c r="H147" s="1">
        <f>SIMULIMO!M128</f>
        <v>-2365.7659211580785</v>
      </c>
      <c r="I147" s="1">
        <f>SIMULIMO!N128</f>
        <v>-2268.5264713228221</v>
      </c>
      <c r="J147" s="1">
        <f>SIMULIMO!O128</f>
        <v>-2170.3146269892204</v>
      </c>
      <c r="K147" s="1">
        <f>SIMULIMO!P128</f>
        <v>-2071.1206642122752</v>
      </c>
      <c r="L147" s="1">
        <f>SIMULIMO!Q128</f>
        <v>-1970.9347618075681</v>
      </c>
      <c r="M147" s="1">
        <f>SIMULIMO!R128</f>
        <v>-1869.7470003788112</v>
      </c>
      <c r="N147" s="1">
        <f>SIMULIMO!S128</f>
        <v>-1767.5473613357681</v>
      </c>
      <c r="O147" s="1">
        <f>SIMULIMO!T128</f>
        <v>-1664.3257259022921</v>
      </c>
      <c r="P147" s="1">
        <f>SIMULIMO!U128</f>
        <v>-1560.0718741144801</v>
      </c>
      <c r="Q147" s="1">
        <f>SIMULIMO!V128</f>
        <v>-1454.775483808791</v>
      </c>
      <c r="R147" s="1">
        <f>SIMULIMO!W128</f>
        <v>-1348.4261296000466</v>
      </c>
      <c r="S147" s="1">
        <f>SIMULIMO!X128</f>
        <v>-1241.0132818492141</v>
      </c>
      <c r="T147" s="1">
        <f>SIMULIMO!Y128</f>
        <v>-1132.5263056208757</v>
      </c>
      <c r="U147" s="1">
        <f>SIMULIMO!Z128</f>
        <v>-1022.9544596302485</v>
      </c>
      <c r="V147" s="143">
        <f>SIMULIMO!AA127+SIMULIMO!AA128</f>
        <v>221878.9595492841</v>
      </c>
      <c r="W147" s="1"/>
      <c r="X147" s="1"/>
      <c r="Y147" s="1"/>
      <c r="Z147" s="1"/>
      <c r="AA147" s="1"/>
      <c r="AB147" s="1"/>
      <c r="AC147" s="1"/>
      <c r="AD147" s="1"/>
      <c r="AE147" s="1"/>
      <c r="AF147" s="1"/>
    </row>
    <row r="148" spans="2:32" x14ac:dyDescent="0.25">
      <c r="B148" s="133">
        <v>21</v>
      </c>
      <c r="C148" s="1">
        <f>SIMULIMO!H128</f>
        <v>-22837.710904683274</v>
      </c>
      <c r="D148" s="1">
        <f>SIMULIMO!I128</f>
        <v>-2745.1909046832752</v>
      </c>
      <c r="E148" s="1">
        <f>SIMULIMO!J128</f>
        <v>-2651.7457046832733</v>
      </c>
      <c r="F148" s="1">
        <f>SIMULIMO!K128</f>
        <v>-2557.3660526832782</v>
      </c>
      <c r="G148" s="1">
        <f>SIMULIMO!L128</f>
        <v>-2462.042604163275</v>
      </c>
      <c r="H148" s="1">
        <f>SIMULIMO!M128</f>
        <v>-2365.7659211580785</v>
      </c>
      <c r="I148" s="1">
        <f>SIMULIMO!N128</f>
        <v>-2268.5264713228221</v>
      </c>
      <c r="J148" s="1">
        <f>SIMULIMO!O128</f>
        <v>-2170.3146269892204</v>
      </c>
      <c r="K148" s="1">
        <f>SIMULIMO!P128</f>
        <v>-2071.1206642122752</v>
      </c>
      <c r="L148" s="1">
        <f>SIMULIMO!Q128</f>
        <v>-1970.9347618075681</v>
      </c>
      <c r="M148" s="1">
        <f>SIMULIMO!R128</f>
        <v>-1869.7470003788112</v>
      </c>
      <c r="N148" s="1">
        <f>SIMULIMO!S128</f>
        <v>-1767.5473613357681</v>
      </c>
      <c r="O148" s="1">
        <f>SIMULIMO!T128</f>
        <v>-1664.3257259022921</v>
      </c>
      <c r="P148" s="1">
        <f>SIMULIMO!U128</f>
        <v>-1560.0718741144801</v>
      </c>
      <c r="Q148" s="1">
        <f>SIMULIMO!V128</f>
        <v>-1454.775483808791</v>
      </c>
      <c r="R148" s="1">
        <f>SIMULIMO!W128</f>
        <v>-1348.4261296000466</v>
      </c>
      <c r="S148" s="1">
        <f>SIMULIMO!X128</f>
        <v>-1241.0132818492141</v>
      </c>
      <c r="T148" s="1">
        <f>SIMULIMO!Y128</f>
        <v>-1132.5263056208757</v>
      </c>
      <c r="U148" s="1">
        <f>SIMULIMO!Z128</f>
        <v>-1022.9544596302485</v>
      </c>
      <c r="V148" s="1">
        <f>SIMULIMO!AA128</f>
        <v>-912.28689517971702</v>
      </c>
      <c r="W148" s="143">
        <f>SIMULIMO!AB127+SIMULIMO!AB128</f>
        <v>235506.60705918024</v>
      </c>
      <c r="X148" s="1"/>
      <c r="Y148" s="1"/>
      <c r="Z148" s="1"/>
      <c r="AA148" s="1"/>
      <c r="AB148" s="1"/>
      <c r="AC148" s="1"/>
      <c r="AD148" s="1"/>
      <c r="AE148" s="1"/>
      <c r="AF148" s="1"/>
    </row>
    <row r="149" spans="2:32" x14ac:dyDescent="0.25">
      <c r="B149" s="133">
        <v>22</v>
      </c>
      <c r="C149" s="1">
        <f>SIMULIMO!H128</f>
        <v>-22837.710904683274</v>
      </c>
      <c r="D149" s="1">
        <f>SIMULIMO!I128</f>
        <v>-2745.1909046832752</v>
      </c>
      <c r="E149" s="1">
        <f>SIMULIMO!J128</f>
        <v>-2651.7457046832733</v>
      </c>
      <c r="F149" s="1">
        <f>SIMULIMO!K128</f>
        <v>-2557.3660526832782</v>
      </c>
      <c r="G149" s="1">
        <f>SIMULIMO!L128</f>
        <v>-2462.042604163275</v>
      </c>
      <c r="H149" s="1">
        <f>SIMULIMO!M128</f>
        <v>-2365.7659211580785</v>
      </c>
      <c r="I149" s="1">
        <f>SIMULIMO!N128</f>
        <v>-2268.5264713228221</v>
      </c>
      <c r="J149" s="1">
        <f>SIMULIMO!O128</f>
        <v>-2170.3146269892204</v>
      </c>
      <c r="K149" s="1">
        <f>SIMULIMO!P128</f>
        <v>-2071.1206642122752</v>
      </c>
      <c r="L149" s="1">
        <f>SIMULIMO!Q128</f>
        <v>-1970.9347618075681</v>
      </c>
      <c r="M149" s="1">
        <f>SIMULIMO!R128</f>
        <v>-1869.7470003788112</v>
      </c>
      <c r="N149" s="1">
        <f>SIMULIMO!S128</f>
        <v>-1767.5473613357681</v>
      </c>
      <c r="O149" s="1">
        <f>SIMULIMO!T128</f>
        <v>-1664.3257259022921</v>
      </c>
      <c r="P149" s="1">
        <f>SIMULIMO!U128</f>
        <v>-1560.0718741144801</v>
      </c>
      <c r="Q149" s="1">
        <f>SIMULIMO!V128</f>
        <v>-1454.775483808791</v>
      </c>
      <c r="R149" s="1">
        <f>SIMULIMO!W128</f>
        <v>-1348.4261296000466</v>
      </c>
      <c r="S149" s="1">
        <f>SIMULIMO!X128</f>
        <v>-1241.0132818492141</v>
      </c>
      <c r="T149" s="1">
        <f>SIMULIMO!Y128</f>
        <v>-1132.5263056208757</v>
      </c>
      <c r="U149" s="1">
        <f>SIMULIMO!Z128</f>
        <v>-1022.9544596302485</v>
      </c>
      <c r="V149" s="1">
        <f>SIMULIMO!AA128</f>
        <v>-912.28689517971702</v>
      </c>
      <c r="W149" s="1">
        <f>SIMULIMO!AB128</f>
        <v>-800.51265508468464</v>
      </c>
      <c r="X149" s="143">
        <f>SIMULIMO!AC127+SIMULIMO!AC128</f>
        <v>249328.72990860522</v>
      </c>
      <c r="Y149" s="1"/>
      <c r="Z149" s="1"/>
      <c r="AA149" s="1"/>
      <c r="AB149" s="1"/>
      <c r="AC149" s="1"/>
      <c r="AD149" s="1"/>
      <c r="AE149" s="1"/>
      <c r="AF149" s="1"/>
    </row>
    <row r="150" spans="2:32" x14ac:dyDescent="0.25">
      <c r="B150" s="133">
        <v>23</v>
      </c>
      <c r="C150" s="1">
        <f>SIMULIMO!H128</f>
        <v>-22837.710904683274</v>
      </c>
      <c r="D150" s="1">
        <f>SIMULIMO!I128</f>
        <v>-2745.1909046832752</v>
      </c>
      <c r="E150" s="1">
        <f>SIMULIMO!J128</f>
        <v>-2651.7457046832733</v>
      </c>
      <c r="F150" s="1">
        <f>SIMULIMO!K128</f>
        <v>-2557.3660526832782</v>
      </c>
      <c r="G150" s="1">
        <f>SIMULIMO!L128</f>
        <v>-2462.042604163275</v>
      </c>
      <c r="H150" s="1">
        <f>SIMULIMO!M128</f>
        <v>-2365.7659211580785</v>
      </c>
      <c r="I150" s="1">
        <f>SIMULIMO!N128</f>
        <v>-2268.5264713228221</v>
      </c>
      <c r="J150" s="1">
        <f>SIMULIMO!O128</f>
        <v>-2170.3146269892204</v>
      </c>
      <c r="K150" s="1">
        <f>SIMULIMO!P128</f>
        <v>-2071.1206642122752</v>
      </c>
      <c r="L150" s="1">
        <f>SIMULIMO!Q128</f>
        <v>-1970.9347618075681</v>
      </c>
      <c r="M150" s="1">
        <f>SIMULIMO!R128</f>
        <v>-1869.7470003788112</v>
      </c>
      <c r="N150" s="1">
        <f>SIMULIMO!S128</f>
        <v>-1767.5473613357681</v>
      </c>
      <c r="O150" s="1">
        <f>SIMULIMO!T128</f>
        <v>-1664.3257259022921</v>
      </c>
      <c r="P150" s="1">
        <f>SIMULIMO!U128</f>
        <v>-1560.0718741144801</v>
      </c>
      <c r="Q150" s="1">
        <f>SIMULIMO!V128</f>
        <v>-1454.775483808791</v>
      </c>
      <c r="R150" s="1">
        <f>SIMULIMO!W128</f>
        <v>-1348.4261296000466</v>
      </c>
      <c r="S150" s="1">
        <f>SIMULIMO!X128</f>
        <v>-1241.0132818492141</v>
      </c>
      <c r="T150" s="1">
        <f>SIMULIMO!Y128</f>
        <v>-1132.5263056208757</v>
      </c>
      <c r="U150" s="1">
        <f>SIMULIMO!Z128</f>
        <v>-1022.9544596302485</v>
      </c>
      <c r="V150" s="1">
        <f>SIMULIMO!AA128</f>
        <v>-912.28689517971702</v>
      </c>
      <c r="W150" s="1">
        <f>SIMULIMO!AB128</f>
        <v>-800.51265508468464</v>
      </c>
      <c r="X150" s="1">
        <f>SIMULIMO!AC128</f>
        <v>-687.62067258870002</v>
      </c>
      <c r="Y150" s="143">
        <f>SIMULIMO!AD127+SIMULIMO!AD128</f>
        <v>263492.68588759529</v>
      </c>
      <c r="Z150" s="1"/>
      <c r="AA150" s="1"/>
      <c r="AB150" s="1"/>
      <c r="AC150" s="1"/>
      <c r="AD150" s="1"/>
      <c r="AE150" s="1"/>
      <c r="AF150" s="1"/>
    </row>
    <row r="151" spans="2:32" x14ac:dyDescent="0.25">
      <c r="B151" s="133">
        <v>24</v>
      </c>
      <c r="C151" s="1">
        <f>SIMULIMO!H128</f>
        <v>-22837.710904683274</v>
      </c>
      <c r="D151" s="1">
        <f>SIMULIMO!I128</f>
        <v>-2745.1909046832752</v>
      </c>
      <c r="E151" s="1">
        <f>SIMULIMO!J128</f>
        <v>-2651.7457046832733</v>
      </c>
      <c r="F151" s="1">
        <f>SIMULIMO!K128</f>
        <v>-2557.3660526832782</v>
      </c>
      <c r="G151" s="1">
        <f>SIMULIMO!L128</f>
        <v>-2462.042604163275</v>
      </c>
      <c r="H151" s="1">
        <f>SIMULIMO!M128</f>
        <v>-2365.7659211580785</v>
      </c>
      <c r="I151" s="1">
        <f>SIMULIMO!N128</f>
        <v>-2268.5264713228221</v>
      </c>
      <c r="J151" s="1">
        <f>SIMULIMO!O128</f>
        <v>-2170.3146269892204</v>
      </c>
      <c r="K151" s="1">
        <f>SIMULIMO!P128</f>
        <v>-2071.1206642122752</v>
      </c>
      <c r="L151" s="1">
        <f>SIMULIMO!Q128</f>
        <v>-1970.9347618075681</v>
      </c>
      <c r="M151" s="1">
        <f>SIMULIMO!R128</f>
        <v>-1869.7470003788112</v>
      </c>
      <c r="N151" s="1">
        <f>SIMULIMO!S128</f>
        <v>-1767.5473613357681</v>
      </c>
      <c r="O151" s="1">
        <f>SIMULIMO!T128</f>
        <v>-1664.3257259022921</v>
      </c>
      <c r="P151" s="1">
        <f>SIMULIMO!U128</f>
        <v>-1560.0718741144801</v>
      </c>
      <c r="Q151" s="1">
        <f>SIMULIMO!V128</f>
        <v>-1454.775483808791</v>
      </c>
      <c r="R151" s="1">
        <f>SIMULIMO!W128</f>
        <v>-1348.4261296000466</v>
      </c>
      <c r="S151" s="1">
        <f>SIMULIMO!X128</f>
        <v>-1241.0132818492141</v>
      </c>
      <c r="T151" s="1">
        <f>SIMULIMO!Y128</f>
        <v>-1132.5263056208757</v>
      </c>
      <c r="U151" s="1">
        <f>SIMULIMO!Z128</f>
        <v>-1022.9544596302485</v>
      </c>
      <c r="V151" s="1">
        <f>SIMULIMO!AA128</f>
        <v>-912.28689517971702</v>
      </c>
      <c r="W151" s="1">
        <f>SIMULIMO!AB128</f>
        <v>-800.51265508468464</v>
      </c>
      <c r="X151" s="1">
        <f>SIMULIMO!AC128</f>
        <v>-687.62067258870002</v>
      </c>
      <c r="Y151" s="1">
        <f>SIMULIMO!AD128</f>
        <v>-573.59977026775277</v>
      </c>
      <c r="Z151" s="143">
        <f>SIMULIMO!AE127+SIMULIMO!AE128</f>
        <v>277930.72341613891</v>
      </c>
      <c r="AA151" s="1"/>
      <c r="AB151" s="1"/>
      <c r="AC151" s="1"/>
      <c r="AD151" s="1"/>
      <c r="AE151" s="1"/>
      <c r="AF151" s="1"/>
    </row>
    <row r="152" spans="2:32" x14ac:dyDescent="0.25">
      <c r="B152" s="133">
        <v>25</v>
      </c>
      <c r="C152" s="1">
        <f>SIMULIMO!H128</f>
        <v>-22837.710904683274</v>
      </c>
      <c r="D152" s="1">
        <f>SIMULIMO!I128</f>
        <v>-2745.1909046832752</v>
      </c>
      <c r="E152" s="1">
        <f>SIMULIMO!J128</f>
        <v>-2651.7457046832733</v>
      </c>
      <c r="F152" s="1">
        <f>SIMULIMO!K128</f>
        <v>-2557.3660526832782</v>
      </c>
      <c r="G152" s="1">
        <f>SIMULIMO!L128</f>
        <v>-2462.042604163275</v>
      </c>
      <c r="H152" s="1">
        <f>SIMULIMO!M128</f>
        <v>-2365.7659211580785</v>
      </c>
      <c r="I152" s="1">
        <f>SIMULIMO!N128</f>
        <v>-2268.5264713228221</v>
      </c>
      <c r="J152" s="1">
        <f>SIMULIMO!O128</f>
        <v>-2170.3146269892204</v>
      </c>
      <c r="K152" s="1">
        <f>SIMULIMO!P128</f>
        <v>-2071.1206642122752</v>
      </c>
      <c r="L152" s="1">
        <f>SIMULIMO!Q128</f>
        <v>-1970.9347618075681</v>
      </c>
      <c r="M152" s="1">
        <f>SIMULIMO!R128</f>
        <v>-1869.7470003788112</v>
      </c>
      <c r="N152" s="1">
        <f>SIMULIMO!S128</f>
        <v>-1767.5473613357681</v>
      </c>
      <c r="O152" s="1">
        <f>SIMULIMO!T128</f>
        <v>-1664.3257259022921</v>
      </c>
      <c r="P152" s="1">
        <f>SIMULIMO!U128</f>
        <v>-1560.0718741144801</v>
      </c>
      <c r="Q152" s="1">
        <f>SIMULIMO!V128</f>
        <v>-1454.775483808791</v>
      </c>
      <c r="R152" s="1">
        <f>SIMULIMO!W128</f>
        <v>-1348.4261296000466</v>
      </c>
      <c r="S152" s="1">
        <f>SIMULIMO!X128</f>
        <v>-1241.0132818492141</v>
      </c>
      <c r="T152" s="1">
        <f>SIMULIMO!Y128</f>
        <v>-1132.5263056208757</v>
      </c>
      <c r="U152" s="1">
        <f>SIMULIMO!Z128</f>
        <v>-1022.9544596302485</v>
      </c>
      <c r="V152" s="1">
        <f>SIMULIMO!AA128</f>
        <v>-912.28689517971702</v>
      </c>
      <c r="W152" s="1">
        <f>SIMULIMO!AB128</f>
        <v>-800.51265508468464</v>
      </c>
      <c r="X152" s="1">
        <f>SIMULIMO!AC128</f>
        <v>-687.62067258870002</v>
      </c>
      <c r="Y152" s="1">
        <f>SIMULIMO!AD128</f>
        <v>-573.59977026775277</v>
      </c>
      <c r="Z152" s="1">
        <f>SIMULIMO!AE128</f>
        <v>-458.43865892359577</v>
      </c>
      <c r="AA152" s="143">
        <f>SIMULIMO!AF127+SIMULIMO!AF128</f>
        <v>292432.76966126927</v>
      </c>
      <c r="AB152" s="1"/>
      <c r="AC152" s="1"/>
      <c r="AD152" s="1"/>
      <c r="AE152" s="1"/>
      <c r="AF152" s="1"/>
    </row>
    <row r="153" spans="2:32" x14ac:dyDescent="0.25">
      <c r="B153" s="133">
        <v>26</v>
      </c>
      <c r="C153" s="1">
        <f>SIMULIMO!H128</f>
        <v>-22837.710904683274</v>
      </c>
      <c r="D153" s="1">
        <f>SIMULIMO!I128</f>
        <v>-2745.1909046832752</v>
      </c>
      <c r="E153" s="1">
        <f>SIMULIMO!J128</f>
        <v>-2651.7457046832733</v>
      </c>
      <c r="F153" s="1">
        <f>SIMULIMO!K128</f>
        <v>-2557.3660526832782</v>
      </c>
      <c r="G153" s="1">
        <f>SIMULIMO!L128</f>
        <v>-2462.042604163275</v>
      </c>
      <c r="H153" s="1">
        <f>SIMULIMO!M128</f>
        <v>-2365.7659211580785</v>
      </c>
      <c r="I153" s="1">
        <f>SIMULIMO!N128</f>
        <v>-2268.5264713228221</v>
      </c>
      <c r="J153" s="1">
        <f>SIMULIMO!O128</f>
        <v>-2170.3146269892204</v>
      </c>
      <c r="K153" s="1">
        <f>SIMULIMO!P128</f>
        <v>-2071.1206642122752</v>
      </c>
      <c r="L153" s="1">
        <f>SIMULIMO!Q128</f>
        <v>-1970.9347618075681</v>
      </c>
      <c r="M153" s="1">
        <f>SIMULIMO!R128</f>
        <v>-1869.7470003788112</v>
      </c>
      <c r="N153" s="1">
        <f>SIMULIMO!S128</f>
        <v>-1767.5473613357681</v>
      </c>
      <c r="O153" s="1">
        <f>SIMULIMO!T128</f>
        <v>-1664.3257259022921</v>
      </c>
      <c r="P153" s="1">
        <f>SIMULIMO!U128</f>
        <v>-1560.0718741144801</v>
      </c>
      <c r="Q153" s="1">
        <f>SIMULIMO!V128</f>
        <v>-1454.775483808791</v>
      </c>
      <c r="R153" s="1">
        <f>SIMULIMO!W128</f>
        <v>-1348.4261296000466</v>
      </c>
      <c r="S153" s="1">
        <f>SIMULIMO!X128</f>
        <v>-1241.0132818492141</v>
      </c>
      <c r="T153" s="1">
        <f>SIMULIMO!Y128</f>
        <v>-1132.5263056208757</v>
      </c>
      <c r="U153" s="1">
        <f>SIMULIMO!Z128</f>
        <v>-1022.9544596302485</v>
      </c>
      <c r="V153" s="1">
        <f>SIMULIMO!AA128</f>
        <v>-912.28689517971702</v>
      </c>
      <c r="W153" s="1">
        <f>SIMULIMO!AB128</f>
        <v>-800.51265508468464</v>
      </c>
      <c r="X153" s="1">
        <f>SIMULIMO!AC128</f>
        <v>-687.62067258870002</v>
      </c>
      <c r="Y153" s="1">
        <f>SIMULIMO!AD128</f>
        <v>-573.59977026775277</v>
      </c>
      <c r="Z153" s="1">
        <f>SIMULIMO!AE128</f>
        <v>-458.43865892359577</v>
      </c>
      <c r="AA153" s="1">
        <f>SIMULIMO!AF128</f>
        <v>-556.0348173978864</v>
      </c>
      <c r="AB153" s="143">
        <f>SIMULIMO!AG127+SIMULIMO!AG128</f>
        <v>307377.14272384427</v>
      </c>
      <c r="AC153" s="1"/>
      <c r="AD153" s="1"/>
      <c r="AE153" s="1"/>
      <c r="AF153" s="1"/>
    </row>
    <row r="154" spans="2:32" x14ac:dyDescent="0.25">
      <c r="B154" s="133">
        <v>27</v>
      </c>
      <c r="C154" s="1">
        <f>SIMULIMO!H128</f>
        <v>-22837.710904683274</v>
      </c>
      <c r="D154" s="1">
        <f>SIMULIMO!I128</f>
        <v>-2745.1909046832752</v>
      </c>
      <c r="E154" s="1">
        <f>SIMULIMO!J128</f>
        <v>-2651.7457046832733</v>
      </c>
      <c r="F154" s="1">
        <f>SIMULIMO!K128</f>
        <v>-2557.3660526832782</v>
      </c>
      <c r="G154" s="1">
        <f>SIMULIMO!L128</f>
        <v>-2462.042604163275</v>
      </c>
      <c r="H154" s="1">
        <f>SIMULIMO!M128</f>
        <v>-2365.7659211580785</v>
      </c>
      <c r="I154" s="1">
        <f>SIMULIMO!N128</f>
        <v>-2268.5264713228221</v>
      </c>
      <c r="J154" s="1">
        <f>SIMULIMO!O128</f>
        <v>-2170.3146269892204</v>
      </c>
      <c r="K154" s="1">
        <f>SIMULIMO!P128</f>
        <v>-2071.1206642122752</v>
      </c>
      <c r="L154" s="1">
        <f>SIMULIMO!Q128</f>
        <v>-1970.9347618075681</v>
      </c>
      <c r="M154" s="1">
        <f>SIMULIMO!R128</f>
        <v>-1869.7470003788112</v>
      </c>
      <c r="N154" s="1">
        <f>SIMULIMO!S128</f>
        <v>-1767.5473613357681</v>
      </c>
      <c r="O154" s="1">
        <f>SIMULIMO!T128</f>
        <v>-1664.3257259022921</v>
      </c>
      <c r="P154" s="1">
        <f>SIMULIMO!U128</f>
        <v>-1560.0718741144801</v>
      </c>
      <c r="Q154" s="1">
        <f>SIMULIMO!V128</f>
        <v>-1454.775483808791</v>
      </c>
      <c r="R154" s="1">
        <f>SIMULIMO!W128</f>
        <v>-1348.4261296000466</v>
      </c>
      <c r="S154" s="1">
        <f>SIMULIMO!X128</f>
        <v>-1241.0132818492141</v>
      </c>
      <c r="T154" s="1">
        <f>SIMULIMO!Y128</f>
        <v>-1132.5263056208757</v>
      </c>
      <c r="U154" s="1">
        <f>SIMULIMO!Z128</f>
        <v>-1022.9544596302485</v>
      </c>
      <c r="V154" s="1">
        <f>SIMULIMO!AA128</f>
        <v>-912.28689517971702</v>
      </c>
      <c r="W154" s="1">
        <f>SIMULIMO!AB128</f>
        <v>-800.51265508468464</v>
      </c>
      <c r="X154" s="1">
        <f>SIMULIMO!AC128</f>
        <v>-687.62067258870002</v>
      </c>
      <c r="Y154" s="1">
        <f>SIMULIMO!AD128</f>
        <v>-573.59977026775277</v>
      </c>
      <c r="Z154" s="1">
        <f>SIMULIMO!AE128</f>
        <v>-458.43865892359577</v>
      </c>
      <c r="AA154" s="1">
        <f>SIMULIMO!AF128</f>
        <v>-556.0348173978864</v>
      </c>
      <c r="AB154" s="1">
        <f>SIMULIMO!AG128</f>
        <v>11227.272616580536</v>
      </c>
      <c r="AC154" s="143">
        <f>SIMULIMO!AH127+SIMULIMO!AH128</f>
        <v>310545.96023020556</v>
      </c>
      <c r="AD154" s="1"/>
      <c r="AE154" s="1"/>
      <c r="AF154" s="1"/>
    </row>
    <row r="155" spans="2:32" x14ac:dyDescent="0.25">
      <c r="B155" s="133">
        <v>28</v>
      </c>
      <c r="C155" s="1">
        <f>SIMULIMO!H128</f>
        <v>-22837.710904683274</v>
      </c>
      <c r="D155" s="1">
        <f>SIMULIMO!I128</f>
        <v>-2745.1909046832752</v>
      </c>
      <c r="E155" s="1">
        <f>SIMULIMO!J128</f>
        <v>-2651.7457046832733</v>
      </c>
      <c r="F155" s="1">
        <f>SIMULIMO!K128</f>
        <v>-2557.3660526832782</v>
      </c>
      <c r="G155" s="1">
        <f>SIMULIMO!L128</f>
        <v>-2462.042604163275</v>
      </c>
      <c r="H155" s="1">
        <f>SIMULIMO!M128</f>
        <v>-2365.7659211580785</v>
      </c>
      <c r="I155" s="1">
        <f>SIMULIMO!N128</f>
        <v>-2268.5264713228221</v>
      </c>
      <c r="J155" s="1">
        <f>SIMULIMO!O128</f>
        <v>-2170.3146269892204</v>
      </c>
      <c r="K155" s="1">
        <f>SIMULIMO!P128</f>
        <v>-2071.1206642122752</v>
      </c>
      <c r="L155" s="1">
        <f>SIMULIMO!Q128</f>
        <v>-1970.9347618075681</v>
      </c>
      <c r="M155" s="1">
        <f>SIMULIMO!R128</f>
        <v>-1869.7470003788112</v>
      </c>
      <c r="N155" s="1">
        <f>SIMULIMO!S128</f>
        <v>-1767.5473613357681</v>
      </c>
      <c r="O155" s="1">
        <f>SIMULIMO!T128</f>
        <v>-1664.3257259022921</v>
      </c>
      <c r="P155" s="1">
        <f>SIMULIMO!U128</f>
        <v>-1560.0718741144801</v>
      </c>
      <c r="Q155" s="1">
        <f>SIMULIMO!V128</f>
        <v>-1454.775483808791</v>
      </c>
      <c r="R155" s="1">
        <f>SIMULIMO!W128</f>
        <v>-1348.4261296000466</v>
      </c>
      <c r="S155" s="1">
        <f>SIMULIMO!X128</f>
        <v>-1241.0132818492141</v>
      </c>
      <c r="T155" s="1">
        <f>SIMULIMO!Y128</f>
        <v>-1132.5263056208757</v>
      </c>
      <c r="U155" s="1">
        <f>SIMULIMO!Z128</f>
        <v>-1022.9544596302485</v>
      </c>
      <c r="V155" s="1">
        <f>SIMULIMO!AA128</f>
        <v>-912.28689517971702</v>
      </c>
      <c r="W155" s="1">
        <f>SIMULIMO!AB128</f>
        <v>-800.51265508468464</v>
      </c>
      <c r="X155" s="1">
        <f>SIMULIMO!AC128</f>
        <v>-687.62067258870002</v>
      </c>
      <c r="Y155" s="1">
        <f>SIMULIMO!AD128</f>
        <v>-573.59977026775277</v>
      </c>
      <c r="Z155" s="1">
        <f>SIMULIMO!AE128</f>
        <v>-458.43865892359577</v>
      </c>
      <c r="AA155" s="1">
        <f>SIMULIMO!AF128</f>
        <v>-556.0348173978864</v>
      </c>
      <c r="AB155" s="1">
        <f>SIMULIMO!AG128</f>
        <v>11227.272616580536</v>
      </c>
      <c r="AC155" s="1">
        <f>SIMULIMO!AH128</f>
        <v>11115.578932221308</v>
      </c>
      <c r="AD155" s="143">
        <f>SIMULIMO!AI127+SIMULIMO!AI128</f>
        <v>313830.4090162114</v>
      </c>
      <c r="AE155" s="1"/>
      <c r="AF155" s="1"/>
    </row>
    <row r="156" spans="2:32" x14ac:dyDescent="0.25">
      <c r="B156" s="133">
        <v>29</v>
      </c>
      <c r="C156" s="1">
        <f>SIMULIMO!H128</f>
        <v>-22837.710904683274</v>
      </c>
      <c r="D156" s="1">
        <f>SIMULIMO!I128</f>
        <v>-2745.1909046832752</v>
      </c>
      <c r="E156" s="1">
        <f>SIMULIMO!J128</f>
        <v>-2651.7457046832733</v>
      </c>
      <c r="F156" s="1">
        <f>SIMULIMO!K128</f>
        <v>-2557.3660526832782</v>
      </c>
      <c r="G156" s="1">
        <f>SIMULIMO!L128</f>
        <v>-2462.042604163275</v>
      </c>
      <c r="H156" s="1">
        <f>SIMULIMO!M128</f>
        <v>-2365.7659211580785</v>
      </c>
      <c r="I156" s="1">
        <f>SIMULIMO!N128</f>
        <v>-2268.5264713228221</v>
      </c>
      <c r="J156" s="1">
        <f>SIMULIMO!O128</f>
        <v>-2170.3146269892204</v>
      </c>
      <c r="K156" s="1">
        <f>SIMULIMO!P128</f>
        <v>-2071.1206642122752</v>
      </c>
      <c r="L156" s="1">
        <f>SIMULIMO!Q128</f>
        <v>-1970.9347618075681</v>
      </c>
      <c r="M156" s="1">
        <f>SIMULIMO!R128</f>
        <v>-1869.7470003788112</v>
      </c>
      <c r="N156" s="1">
        <f>SIMULIMO!S128</f>
        <v>-1767.5473613357681</v>
      </c>
      <c r="O156" s="1">
        <f>SIMULIMO!T128</f>
        <v>-1664.3257259022921</v>
      </c>
      <c r="P156" s="1">
        <f>SIMULIMO!U128</f>
        <v>-1560.0718741144801</v>
      </c>
      <c r="Q156" s="1">
        <f>SIMULIMO!V128</f>
        <v>-1454.775483808791</v>
      </c>
      <c r="R156" s="1">
        <f>SIMULIMO!W128</f>
        <v>-1348.4261296000466</v>
      </c>
      <c r="S156" s="1">
        <f>SIMULIMO!X128</f>
        <v>-1241.0132818492141</v>
      </c>
      <c r="T156" s="1">
        <f>SIMULIMO!Y128</f>
        <v>-1132.5263056208757</v>
      </c>
      <c r="U156" s="1">
        <f>SIMULIMO!Z128</f>
        <v>-1022.9544596302485</v>
      </c>
      <c r="V156" s="1">
        <f>SIMULIMO!AA128</f>
        <v>-912.28689517971702</v>
      </c>
      <c r="W156" s="1">
        <f>SIMULIMO!AB128</f>
        <v>-800.51265508468464</v>
      </c>
      <c r="X156" s="1">
        <f>SIMULIMO!AC128</f>
        <v>-687.62067258870002</v>
      </c>
      <c r="Y156" s="1">
        <f>SIMULIMO!AD128</f>
        <v>-573.59977026775277</v>
      </c>
      <c r="Z156" s="1">
        <f>SIMULIMO!AE128</f>
        <v>-458.43865892359577</v>
      </c>
      <c r="AA156" s="1">
        <f>SIMULIMO!AF128</f>
        <v>-556.0348173978864</v>
      </c>
      <c r="AB156" s="1">
        <f>SIMULIMO!AG128</f>
        <v>11227.272616580536</v>
      </c>
      <c r="AC156" s="1">
        <f>SIMULIMO!AH128</f>
        <v>11115.578932221308</v>
      </c>
      <c r="AD156" s="1">
        <f>SIMULIMO!AI128</f>
        <v>10998.415346702723</v>
      </c>
      <c r="AE156" s="143">
        <f>SIMULIMO!AJ127+SIMULIMO!AJ128</f>
        <v>317231.9805804175</v>
      </c>
      <c r="AF156" s="1"/>
    </row>
    <row r="157" spans="2:32" x14ac:dyDescent="0.25">
      <c r="B157" s="133">
        <v>30</v>
      </c>
      <c r="C157" s="1">
        <f>SIMULIMO!H128</f>
        <v>-22837.710904683274</v>
      </c>
      <c r="D157" s="1">
        <f>SIMULIMO!I128</f>
        <v>-2745.1909046832752</v>
      </c>
      <c r="E157" s="1">
        <f>SIMULIMO!J128</f>
        <v>-2651.7457046832733</v>
      </c>
      <c r="F157" s="1">
        <f>SIMULIMO!K128</f>
        <v>-2557.3660526832782</v>
      </c>
      <c r="G157" s="1">
        <f>SIMULIMO!L128</f>
        <v>-2462.042604163275</v>
      </c>
      <c r="H157" s="1">
        <f>SIMULIMO!M128</f>
        <v>-2365.7659211580785</v>
      </c>
      <c r="I157" s="1">
        <f>SIMULIMO!N128</f>
        <v>-2268.5264713228221</v>
      </c>
      <c r="J157" s="1">
        <f>SIMULIMO!O128</f>
        <v>-2170.3146269892204</v>
      </c>
      <c r="K157" s="1">
        <f>SIMULIMO!P128</f>
        <v>-2071.1206642122752</v>
      </c>
      <c r="L157" s="1">
        <f>SIMULIMO!Q128</f>
        <v>-1970.9347618075681</v>
      </c>
      <c r="M157" s="1">
        <f>SIMULIMO!R128</f>
        <v>-1869.7470003788112</v>
      </c>
      <c r="N157" s="1">
        <f>SIMULIMO!S128</f>
        <v>-1767.5473613357681</v>
      </c>
      <c r="O157" s="1">
        <f>SIMULIMO!T128</f>
        <v>-1664.3257259022921</v>
      </c>
      <c r="P157" s="1">
        <f>SIMULIMO!U128</f>
        <v>-1560.0718741144801</v>
      </c>
      <c r="Q157" s="1">
        <f>SIMULIMO!V128</f>
        <v>-1454.775483808791</v>
      </c>
      <c r="R157" s="1">
        <f>SIMULIMO!W128</f>
        <v>-1348.4261296000466</v>
      </c>
      <c r="S157" s="1">
        <f>SIMULIMO!X128</f>
        <v>-1241.0132818492141</v>
      </c>
      <c r="T157" s="1">
        <f>SIMULIMO!Y128</f>
        <v>-1132.5263056208757</v>
      </c>
      <c r="U157" s="1">
        <f>SIMULIMO!Z128</f>
        <v>-1022.9544596302485</v>
      </c>
      <c r="V157" s="1">
        <f>SIMULIMO!AA128</f>
        <v>-912.28689517971702</v>
      </c>
      <c r="W157" s="1">
        <f>SIMULIMO!AB128</f>
        <v>-800.51265508468464</v>
      </c>
      <c r="X157" s="1">
        <f>SIMULIMO!AC128</f>
        <v>-687.62067258870002</v>
      </c>
      <c r="Y157" s="1">
        <f>SIMULIMO!AD128</f>
        <v>-573.59977026775277</v>
      </c>
      <c r="Z157" s="1">
        <f>SIMULIMO!AE128</f>
        <v>-458.43865892359577</v>
      </c>
      <c r="AA157" s="1">
        <f>SIMULIMO!AF128</f>
        <v>-556.0348173978864</v>
      </c>
      <c r="AB157" s="1">
        <f>SIMULIMO!AG128</f>
        <v>11227.272616580536</v>
      </c>
      <c r="AC157" s="1">
        <f>SIMULIMO!AH128</f>
        <v>11115.578932221308</v>
      </c>
      <c r="AD157" s="1">
        <f>SIMULIMO!AI128</f>
        <v>10998.415346702723</v>
      </c>
      <c r="AE157" s="1">
        <f>SIMULIMO!AJ128</f>
        <v>10875.596572083745</v>
      </c>
      <c r="AF157" s="143">
        <f>SIMULIMO!AK127+SIMULIMO!AK128</f>
        <v>320830.92155476694</v>
      </c>
    </row>
    <row r="159" spans="2:32" x14ac:dyDescent="0.25">
      <c r="B159" s="137"/>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c r="AA159" s="138"/>
      <c r="AB159" s="138"/>
      <c r="AC159" s="138"/>
      <c r="AD159" s="138"/>
      <c r="AE159" s="138"/>
      <c r="AF159" s="138"/>
    </row>
    <row r="162" spans="2:32" ht="15.75" x14ac:dyDescent="0.25">
      <c r="B162" s="145" t="s">
        <v>295</v>
      </c>
    </row>
    <row r="164" spans="2:32" x14ac:dyDescent="0.25">
      <c r="B164" s="133" t="s">
        <v>301</v>
      </c>
      <c r="C164" s="133">
        <v>1</v>
      </c>
      <c r="D164" s="133">
        <v>2</v>
      </c>
      <c r="E164" s="133">
        <v>3</v>
      </c>
      <c r="F164" s="133">
        <v>4</v>
      </c>
      <c r="G164" s="133">
        <v>5</v>
      </c>
      <c r="H164" s="133">
        <v>6</v>
      </c>
      <c r="I164" s="133">
        <v>7</v>
      </c>
      <c r="J164" s="133">
        <v>8</v>
      </c>
      <c r="K164" s="133">
        <v>9</v>
      </c>
      <c r="L164" s="133">
        <v>10</v>
      </c>
      <c r="M164" s="133">
        <v>11</v>
      </c>
      <c r="N164" s="133">
        <v>12</v>
      </c>
      <c r="O164" s="133">
        <v>13</v>
      </c>
      <c r="P164" s="133">
        <v>14</v>
      </c>
      <c r="Q164" s="133">
        <v>15</v>
      </c>
      <c r="R164" s="133">
        <v>16</v>
      </c>
      <c r="S164" s="133">
        <v>17</v>
      </c>
      <c r="T164" s="133">
        <v>18</v>
      </c>
      <c r="U164" s="133">
        <v>19</v>
      </c>
      <c r="V164" s="133">
        <v>20</v>
      </c>
      <c r="W164" s="133">
        <v>21</v>
      </c>
      <c r="X164" s="133">
        <v>22</v>
      </c>
      <c r="Y164" s="133">
        <v>23</v>
      </c>
      <c r="Z164" s="133">
        <v>24</v>
      </c>
      <c r="AA164" s="133">
        <v>25</v>
      </c>
      <c r="AB164" s="133">
        <v>26</v>
      </c>
      <c r="AC164" s="133">
        <v>27</v>
      </c>
      <c r="AD164" s="133">
        <v>28</v>
      </c>
      <c r="AE164" s="133">
        <v>29</v>
      </c>
      <c r="AF164" s="133">
        <v>30</v>
      </c>
    </row>
    <row r="165" spans="2:32" s="174" customFormat="1" x14ac:dyDescent="0.25">
      <c r="B165" s="173" t="s">
        <v>300</v>
      </c>
      <c r="C165" s="172" t="str">
        <f>IFERROR(IRR(C167),"N/A")</f>
        <v>N/A</v>
      </c>
      <c r="D165" s="172">
        <f>IFERROR(IRR(C168:D168),"N/A")</f>
        <v>-0.85821260181869574</v>
      </c>
      <c r="E165" s="172">
        <f>IFERROR(IRR(C169:E169),"N/A")</f>
        <v>-0.22685923658225826</v>
      </c>
      <c r="F165" s="172">
        <f>IFERROR(IRR(C170:F170),"N/A")</f>
        <v>-4.1970821873513753E-3</v>
      </c>
      <c r="G165" s="172">
        <f>IFERROR(IRR(C171:G171),"N/A")</f>
        <v>7.57679336287993E-2</v>
      </c>
      <c r="H165" s="172">
        <f>IFERROR(IRR(C172:H172),"N/A")</f>
        <v>0.10702846094085783</v>
      </c>
      <c r="I165" s="172">
        <f>IFERROR(IRR(C173:I173),"N/A")</f>
        <v>0.1189891710239086</v>
      </c>
      <c r="J165" s="172">
        <f>IFERROR(IRR(C174:J174),"N/A")</f>
        <v>0.12246120590933884</v>
      </c>
      <c r="K165" s="172">
        <f>IFERROR(IRR(C175:K175),"N/A")</f>
        <v>0.12196423397342193</v>
      </c>
      <c r="L165" s="172">
        <f>IFERROR(IRR(C176:L176),"N/A")</f>
        <v>0.11957129644335374</v>
      </c>
      <c r="M165" s="172">
        <f>IFERROR(IRR(C177:M177),"N/A")</f>
        <v>0.11629764838899148</v>
      </c>
      <c r="N165" s="172">
        <f>IFERROR(IRR(C178:N178),"N/A")</f>
        <v>0.11266293123210414</v>
      </c>
      <c r="O165" s="172">
        <f>IFERROR(IRR(C179:O179),"N/A")</f>
        <v>0.10893988626776729</v>
      </c>
      <c r="P165" s="172">
        <f>IFERROR(IRR(C180:P180),"N/A")</f>
        <v>0.10527239241760022</v>
      </c>
      <c r="Q165" s="172">
        <f>IFERROR(IRR(C181:Q181),"N/A")</f>
        <v>0.10173471462651218</v>
      </c>
      <c r="R165" s="172">
        <f>IFERROR(IRR(C182:R182),"N/A")</f>
        <v>9.8340542735888103E-2</v>
      </c>
      <c r="S165" s="172">
        <f>IFERROR(IRR(C183:S183),"N/A")</f>
        <v>9.4902394473598495E-2</v>
      </c>
      <c r="T165" s="172">
        <f>IFERROR(IRR(C184:T184),"N/A")</f>
        <v>9.1736874446407102E-2</v>
      </c>
      <c r="U165" s="172">
        <f>IFERROR(IRR(C185:U185),"N/A")</f>
        <v>8.8814238915343235E-2</v>
      </c>
      <c r="V165" s="172">
        <f>IFERROR(IRR(C186:V186),"N/A")</f>
        <v>8.6108478229323548E-2</v>
      </c>
      <c r="W165" s="172">
        <f>IFERROR(IRR(C187:W187),"N/A")</f>
        <v>8.3596883431470426E-2</v>
      </c>
      <c r="X165" s="172">
        <f>IFERROR(IRR(C188:X188),"N/A")</f>
        <v>8.1220801771476392E-2</v>
      </c>
      <c r="Y165" s="172">
        <f>IFERROR(IRR(C189:Y189),"N/A")</f>
        <v>7.8970985179584785E-2</v>
      </c>
      <c r="Z165" s="172">
        <f>IFERROR(IRR(C190:Z190),"N/A")</f>
        <v>7.6820274744649364E-2</v>
      </c>
      <c r="AA165" s="172">
        <f>IFERROR(IRR(C191:AA191),"N/A")</f>
        <v>7.4762908400370476E-2</v>
      </c>
      <c r="AB165" s="172">
        <f>IFERROR(IRR(C192:AB192),"N/A")</f>
        <v>7.2806414766260374E-2</v>
      </c>
      <c r="AC165" s="172">
        <f>IFERROR(IRR(C193:AC193),"N/A")</f>
        <v>7.1060682664467745E-2</v>
      </c>
      <c r="AD165" s="172">
        <f>IFERROR(IRR(C194:AD194),"N/A")</f>
        <v>6.9490479293822904E-2</v>
      </c>
      <c r="AE165" s="172">
        <f>IFERROR(IRR(C195:AE195),"N/A")</f>
        <v>6.8067652450552796E-2</v>
      </c>
      <c r="AF165" s="172">
        <f>IFERROR(IRR(C196:AF196),"N/A")</f>
        <v>6.678004308469343E-2</v>
      </c>
    </row>
    <row r="166" spans="2:32" x14ac:dyDescent="0.25">
      <c r="B166" s="136"/>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2:32" x14ac:dyDescent="0.25">
      <c r="B167" s="133">
        <v>1</v>
      </c>
      <c r="C167" s="143">
        <f>SIMULIMO!H159+SIMULIMO!H160</f>
        <v>-23430.742207112751</v>
      </c>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2:32" x14ac:dyDescent="0.25">
      <c r="B168" s="133">
        <v>2</v>
      </c>
      <c r="C168" s="1">
        <f>SIMULIMO!H160</f>
        <v>-18490.82138734925</v>
      </c>
      <c r="D168" s="143">
        <f>SIMULIMO!I159+SIMULIMO!I160</f>
        <v>2621.765454747464</v>
      </c>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2:32" x14ac:dyDescent="0.25">
      <c r="B169" s="133">
        <v>3</v>
      </c>
      <c r="C169" s="1">
        <f>SIMULIMO!H160</f>
        <v>-18490.82138734925</v>
      </c>
      <c r="D169" s="1">
        <f>SIMULIMO!I160</f>
        <v>-3137.7789379582273</v>
      </c>
      <c r="E169" s="143">
        <f>SIMULIMO!J159+SIMULIMO!J160</f>
        <v>13478.771159732811</v>
      </c>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2:32" x14ac:dyDescent="0.25">
      <c r="B170" s="133">
        <v>4</v>
      </c>
      <c r="C170" s="1">
        <f>SIMULIMO!H160</f>
        <v>-18490.82138734925</v>
      </c>
      <c r="D170" s="1">
        <f>SIMULIMO!I160</f>
        <v>-3137.7789379582273</v>
      </c>
      <c r="E170" s="1">
        <f>SIMULIMO!J160</f>
        <v>-3121.4943782378309</v>
      </c>
      <c r="F170" s="143">
        <f>SIMULIMO!K159+SIMULIMO!K160</f>
        <v>24478.863093243301</v>
      </c>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2:32" x14ac:dyDescent="0.25">
      <c r="B171" s="133">
        <v>5</v>
      </c>
      <c r="C171" s="1">
        <f>SIMULIMO!H160</f>
        <v>-18490.82138734925</v>
      </c>
      <c r="D171" s="1">
        <f>SIMULIMO!I160</f>
        <v>-3137.7789379582273</v>
      </c>
      <c r="E171" s="1">
        <f>SIMULIMO!J160</f>
        <v>-3121.4943782378309</v>
      </c>
      <c r="F171" s="1">
        <f>SIMULIMO!K160</f>
        <v>-3105.2748298512297</v>
      </c>
      <c r="G171" s="143">
        <f>SIMULIMO!L159+SIMULIMO!L160</f>
        <v>35623.958456757486</v>
      </c>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2:32" x14ac:dyDescent="0.25">
      <c r="B172" s="133">
        <v>6</v>
      </c>
      <c r="C172" s="1">
        <f>SIMULIMO!H160</f>
        <v>-18490.82138734925</v>
      </c>
      <c r="D172" s="1">
        <f>SIMULIMO!I160</f>
        <v>-3137.7789379582273</v>
      </c>
      <c r="E172" s="1">
        <f>SIMULIMO!J160</f>
        <v>-3121.4943782378309</v>
      </c>
      <c r="F172" s="1">
        <f>SIMULIMO!K160</f>
        <v>-3105.2748298512297</v>
      </c>
      <c r="G172" s="1">
        <f>SIMULIMO!L160</f>
        <v>-3089.1241534577512</v>
      </c>
      <c r="H172" s="143">
        <f>SIMULIMO!M159+SIMULIMO!M160</f>
        <v>46916.000476377434</v>
      </c>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2:32" x14ac:dyDescent="0.25">
      <c r="B173" s="133">
        <v>7</v>
      </c>
      <c r="C173" s="1">
        <f>SIMULIMO!H160</f>
        <v>-18490.82138734925</v>
      </c>
      <c r="D173" s="1">
        <f>SIMULIMO!I160</f>
        <v>-3137.7789379582273</v>
      </c>
      <c r="E173" s="1">
        <f>SIMULIMO!J160</f>
        <v>-3121.4943782378309</v>
      </c>
      <c r="F173" s="1">
        <f>SIMULIMO!K160</f>
        <v>-3105.2748298512297</v>
      </c>
      <c r="G173" s="1">
        <f>SIMULIMO!L160</f>
        <v>-3089.1241534577512</v>
      </c>
      <c r="H173" s="1">
        <f>SIMULIMO!M160</f>
        <v>-3073.0462935605046</v>
      </c>
      <c r="I173" s="143">
        <f>SIMULIMO!N159+SIMULIMO!N160</f>
        <v>58356.958759628993</v>
      </c>
      <c r="J173" s="1"/>
      <c r="K173" s="1"/>
      <c r="L173" s="1"/>
      <c r="M173" s="1"/>
      <c r="N173" s="1"/>
      <c r="O173" s="1"/>
      <c r="P173" s="1"/>
      <c r="Q173" s="1"/>
      <c r="R173" s="1"/>
      <c r="S173" s="1"/>
      <c r="T173" s="1"/>
      <c r="U173" s="1"/>
      <c r="V173" s="1"/>
      <c r="W173" s="1"/>
      <c r="X173" s="1"/>
      <c r="Y173" s="1"/>
      <c r="Z173" s="1"/>
      <c r="AA173" s="1"/>
      <c r="AB173" s="1"/>
      <c r="AC173" s="1"/>
      <c r="AD173" s="1"/>
      <c r="AE173" s="1"/>
      <c r="AF173" s="1"/>
    </row>
    <row r="174" spans="2:32" x14ac:dyDescent="0.25">
      <c r="B174" s="133">
        <v>8</v>
      </c>
      <c r="C174" s="1">
        <f>SIMULIMO!H160</f>
        <v>-18490.82138734925</v>
      </c>
      <c r="D174" s="1">
        <f>SIMULIMO!I160</f>
        <v>-3137.7789379582273</v>
      </c>
      <c r="E174" s="1">
        <f>SIMULIMO!J160</f>
        <v>-3121.4943782378309</v>
      </c>
      <c r="F174" s="1">
        <f>SIMULIMO!K160</f>
        <v>-3105.2748298512297</v>
      </c>
      <c r="G174" s="1">
        <f>SIMULIMO!L160</f>
        <v>-3089.1241534577512</v>
      </c>
      <c r="H174" s="1">
        <f>SIMULIMO!M160</f>
        <v>-3073.0462935605046</v>
      </c>
      <c r="I174" s="1">
        <f>SIMULIMO!N160</f>
        <v>-3057.0452799822056</v>
      </c>
      <c r="J174" s="143">
        <f>SIMULIMO!O159+SIMULIMO!O160</f>
        <v>69948.829657191716</v>
      </c>
      <c r="K174" s="1"/>
      <c r="L174" s="1"/>
      <c r="M174" s="1"/>
      <c r="N174" s="1"/>
      <c r="O174" s="1"/>
      <c r="P174" s="1"/>
      <c r="Q174" s="1"/>
      <c r="R174" s="1"/>
      <c r="S174" s="1"/>
      <c r="T174" s="1"/>
      <c r="U174" s="1"/>
      <c r="V174" s="1"/>
      <c r="W174" s="1"/>
      <c r="X174" s="1"/>
      <c r="Y174" s="1"/>
      <c r="Z174" s="1"/>
      <c r="AA174" s="1"/>
      <c r="AB174" s="1"/>
      <c r="AC174" s="1"/>
      <c r="AD174" s="1"/>
      <c r="AE174" s="1"/>
      <c r="AF174" s="1"/>
    </row>
    <row r="175" spans="2:32" x14ac:dyDescent="0.25">
      <c r="B175" s="133">
        <v>9</v>
      </c>
      <c r="C175" s="1">
        <f>SIMULIMO!H160</f>
        <v>-18490.82138734925</v>
      </c>
      <c r="D175" s="1">
        <f>SIMULIMO!I160</f>
        <v>-3137.7789379582273</v>
      </c>
      <c r="E175" s="1">
        <f>SIMULIMO!J160</f>
        <v>-3121.4943782378309</v>
      </c>
      <c r="F175" s="1">
        <f>SIMULIMO!K160</f>
        <v>-3105.2748298512297</v>
      </c>
      <c r="G175" s="1">
        <f>SIMULIMO!L160</f>
        <v>-3089.1241534577512</v>
      </c>
      <c r="H175" s="1">
        <f>SIMULIMO!M160</f>
        <v>-3073.0462935605046</v>
      </c>
      <c r="I175" s="1">
        <f>SIMULIMO!N160</f>
        <v>-3057.0452799822056</v>
      </c>
      <c r="J175" s="1">
        <f>SIMULIMO!O160</f>
        <v>-3041.125229364774</v>
      </c>
      <c r="K175" s="143">
        <f>SIMULIMO!P159+SIMULIMO!P160</f>
        <v>81693.636629624147</v>
      </c>
      <c r="L175" s="1"/>
      <c r="M175" s="1"/>
      <c r="N175" s="1"/>
      <c r="O175" s="1"/>
      <c r="P175" s="1"/>
      <c r="Q175" s="1"/>
      <c r="R175" s="1"/>
      <c r="S175" s="1"/>
      <c r="T175" s="1"/>
      <c r="U175" s="1"/>
      <c r="V175" s="1"/>
      <c r="W175" s="1"/>
      <c r="X175" s="1"/>
      <c r="Y175" s="1"/>
      <c r="Z175" s="1"/>
      <c r="AA175" s="1"/>
      <c r="AB175" s="1"/>
      <c r="AC175" s="1"/>
      <c r="AD175" s="1"/>
      <c r="AE175" s="1"/>
      <c r="AF175" s="1"/>
    </row>
    <row r="176" spans="2:32" x14ac:dyDescent="0.25">
      <c r="B176" s="133">
        <v>10</v>
      </c>
      <c r="C176" s="1">
        <f>SIMULIMO!H160</f>
        <v>-18490.82138734925</v>
      </c>
      <c r="D176" s="1">
        <f>SIMULIMO!I160</f>
        <v>-3137.7789379582273</v>
      </c>
      <c r="E176" s="1">
        <f>SIMULIMO!J160</f>
        <v>-3121.4943782378309</v>
      </c>
      <c r="F176" s="1">
        <f>SIMULIMO!K160</f>
        <v>-3105.2748298512297</v>
      </c>
      <c r="G176" s="1">
        <f>SIMULIMO!L160</f>
        <v>-3089.1241534577512</v>
      </c>
      <c r="H176" s="1">
        <f>SIMULIMO!M160</f>
        <v>-3073.0462935605046</v>
      </c>
      <c r="I176" s="1">
        <f>SIMULIMO!N160</f>
        <v>-3057.0452799822056</v>
      </c>
      <c r="J176" s="1">
        <f>SIMULIMO!O160</f>
        <v>-3041.125229364774</v>
      </c>
      <c r="K176" s="1">
        <f>SIMULIMO!P160</f>
        <v>-3025.2903466929838</v>
      </c>
      <c r="L176" s="143">
        <f>SIMULIMO!Q159+SIMULIMO!Q160</f>
        <v>93593.430619156992</v>
      </c>
      <c r="M176" s="1"/>
      <c r="N176" s="1"/>
      <c r="O176" s="1"/>
      <c r="P176" s="1"/>
      <c r="Q176" s="1"/>
      <c r="R176" s="1"/>
      <c r="S176" s="1"/>
      <c r="T176" s="1"/>
      <c r="U176" s="1"/>
      <c r="V176" s="1"/>
      <c r="W176" s="1"/>
      <c r="X176" s="1"/>
      <c r="Y176" s="1"/>
      <c r="Z176" s="1"/>
      <c r="AA176" s="1"/>
      <c r="AB176" s="1"/>
      <c r="AC176" s="1"/>
      <c r="AD176" s="1"/>
      <c r="AE176" s="1"/>
      <c r="AF176" s="1"/>
    </row>
    <row r="177" spans="2:32" x14ac:dyDescent="0.25">
      <c r="B177" s="133">
        <v>11</v>
      </c>
      <c r="C177" s="1">
        <f>SIMULIMO!H160</f>
        <v>-18490.82138734925</v>
      </c>
      <c r="D177" s="1">
        <f>SIMULIMO!I160</f>
        <v>-3137.7789379582273</v>
      </c>
      <c r="E177" s="1">
        <f>SIMULIMO!J160</f>
        <v>-3121.4943782378309</v>
      </c>
      <c r="F177" s="1">
        <f>SIMULIMO!K160</f>
        <v>-3105.2748298512297</v>
      </c>
      <c r="G177" s="1">
        <f>SIMULIMO!L160</f>
        <v>-3089.1241534577512</v>
      </c>
      <c r="H177" s="1">
        <f>SIMULIMO!M160</f>
        <v>-3073.0462935605046</v>
      </c>
      <c r="I177" s="1">
        <f>SIMULIMO!N160</f>
        <v>-3057.0452799822056</v>
      </c>
      <c r="J177" s="1">
        <f>SIMULIMO!O160</f>
        <v>-3041.125229364774</v>
      </c>
      <c r="K177" s="1">
        <f>SIMULIMO!P160</f>
        <v>-3025.2903466929838</v>
      </c>
      <c r="L177" s="1">
        <f>SIMULIMO!Q160</f>
        <v>-3009.544926842656</v>
      </c>
      <c r="M177" s="143">
        <f>SIMULIMO!R159+SIMULIMO!R160</f>
        <v>105650.2904266221</v>
      </c>
      <c r="N177" s="1"/>
      <c r="O177" s="1"/>
      <c r="P177" s="1"/>
      <c r="Q177" s="1"/>
      <c r="R177" s="1"/>
      <c r="S177" s="1"/>
      <c r="T177" s="1"/>
      <c r="U177" s="1"/>
      <c r="V177" s="1"/>
      <c r="W177" s="1"/>
      <c r="X177" s="1"/>
      <c r="Y177" s="1"/>
      <c r="Z177" s="1"/>
      <c r="AA177" s="1"/>
      <c r="AB177" s="1"/>
      <c r="AC177" s="1"/>
      <c r="AD177" s="1"/>
      <c r="AE177" s="1"/>
      <c r="AF177" s="1"/>
    </row>
    <row r="178" spans="2:32" x14ac:dyDescent="0.25">
      <c r="B178" s="133">
        <v>12</v>
      </c>
      <c r="C178" s="1">
        <f>SIMULIMO!H160</f>
        <v>-18490.82138734925</v>
      </c>
      <c r="D178" s="1">
        <f>SIMULIMO!I160</f>
        <v>-3137.7789379582273</v>
      </c>
      <c r="E178" s="1">
        <f>SIMULIMO!J160</f>
        <v>-3121.4943782378309</v>
      </c>
      <c r="F178" s="1">
        <f>SIMULIMO!K160</f>
        <v>-3105.2748298512297</v>
      </c>
      <c r="G178" s="1">
        <f>SIMULIMO!L160</f>
        <v>-3089.1241534577512</v>
      </c>
      <c r="H178" s="1">
        <f>SIMULIMO!M160</f>
        <v>-3073.0462935605046</v>
      </c>
      <c r="I178" s="1">
        <f>SIMULIMO!N160</f>
        <v>-3057.0452799822056</v>
      </c>
      <c r="J178" s="1">
        <f>SIMULIMO!O160</f>
        <v>-3041.125229364774</v>
      </c>
      <c r="K178" s="1">
        <f>SIMULIMO!P160</f>
        <v>-3025.2903466929838</v>
      </c>
      <c r="L178" s="1">
        <f>SIMULIMO!Q160</f>
        <v>-3009.544926842656</v>
      </c>
      <c r="M178" s="1">
        <f>SIMULIMO!R160</f>
        <v>-2993.893356153616</v>
      </c>
      <c r="N178" s="143">
        <f>SIMULIMO!S159+SIMULIMO!S160</f>
        <v>117866.32309358979</v>
      </c>
      <c r="O178" s="1"/>
      <c r="P178" s="1"/>
      <c r="Q178" s="1"/>
      <c r="R178" s="1"/>
      <c r="S178" s="1"/>
      <c r="T178" s="1"/>
      <c r="U178" s="1"/>
      <c r="V178" s="1"/>
      <c r="W178" s="1"/>
      <c r="X178" s="1"/>
      <c r="Y178" s="1"/>
      <c r="Z178" s="1"/>
      <c r="AA178" s="1"/>
      <c r="AB178" s="1"/>
      <c r="AC178" s="1"/>
      <c r="AD178" s="1"/>
      <c r="AE178" s="1"/>
      <c r="AF178" s="1"/>
    </row>
    <row r="179" spans="2:32" x14ac:dyDescent="0.25">
      <c r="B179" s="133">
        <v>13</v>
      </c>
      <c r="C179" s="1">
        <f>SIMULIMO!H160</f>
        <v>-18490.82138734925</v>
      </c>
      <c r="D179" s="1">
        <f>SIMULIMO!I160</f>
        <v>-3137.7789379582273</v>
      </c>
      <c r="E179" s="1">
        <f>SIMULIMO!J160</f>
        <v>-3121.4943782378309</v>
      </c>
      <c r="F179" s="1">
        <f>SIMULIMO!K160</f>
        <v>-3105.2748298512297</v>
      </c>
      <c r="G179" s="1">
        <f>SIMULIMO!L160</f>
        <v>-3089.1241534577512</v>
      </c>
      <c r="H179" s="1">
        <f>SIMULIMO!M160</f>
        <v>-3073.0462935605046</v>
      </c>
      <c r="I179" s="1">
        <f>SIMULIMO!N160</f>
        <v>-3057.0452799822056</v>
      </c>
      <c r="J179" s="1">
        <f>SIMULIMO!O160</f>
        <v>-3041.125229364774</v>
      </c>
      <c r="K179" s="1">
        <f>SIMULIMO!P160</f>
        <v>-3025.2903466929838</v>
      </c>
      <c r="L179" s="1">
        <f>SIMULIMO!Q160</f>
        <v>-3009.544926842656</v>
      </c>
      <c r="M179" s="1">
        <f>SIMULIMO!R160</f>
        <v>-2993.893356153616</v>
      </c>
      <c r="N179" s="1">
        <f>SIMULIMO!S160</f>
        <v>-2978.3401140279684</v>
      </c>
      <c r="O179" s="143">
        <f>SIMULIMO!T159+SIMULIMO!T160</f>
        <v>130243.66428978649</v>
      </c>
      <c r="P179" s="1"/>
      <c r="Q179" s="1"/>
      <c r="R179" s="1"/>
      <c r="S179" s="1"/>
      <c r="T179" s="1"/>
      <c r="U179" s="1"/>
      <c r="V179" s="1"/>
      <c r="W179" s="1"/>
      <c r="X179" s="1"/>
      <c r="Y179" s="1"/>
      <c r="Z179" s="1"/>
      <c r="AA179" s="1"/>
      <c r="AB179" s="1"/>
      <c r="AC179" s="1"/>
      <c r="AD179" s="1"/>
      <c r="AE179" s="1"/>
      <c r="AF179" s="1"/>
    </row>
    <row r="180" spans="2:32" x14ac:dyDescent="0.25">
      <c r="B180" s="133">
        <v>14</v>
      </c>
      <c r="C180" s="1">
        <f>SIMULIMO!H160</f>
        <v>-18490.82138734925</v>
      </c>
      <c r="D180" s="1">
        <f>SIMULIMO!I160</f>
        <v>-3137.7789379582273</v>
      </c>
      <c r="E180" s="1">
        <f>SIMULIMO!J160</f>
        <v>-3121.4943782378309</v>
      </c>
      <c r="F180" s="1">
        <f>SIMULIMO!K160</f>
        <v>-3105.2748298512297</v>
      </c>
      <c r="G180" s="1">
        <f>SIMULIMO!L160</f>
        <v>-3089.1241534577512</v>
      </c>
      <c r="H180" s="1">
        <f>SIMULIMO!M160</f>
        <v>-3073.0462935605046</v>
      </c>
      <c r="I180" s="1">
        <f>SIMULIMO!N160</f>
        <v>-3057.0452799822056</v>
      </c>
      <c r="J180" s="1">
        <f>SIMULIMO!O160</f>
        <v>-3041.125229364774</v>
      </c>
      <c r="K180" s="1">
        <f>SIMULIMO!P160</f>
        <v>-3025.2903466929838</v>
      </c>
      <c r="L180" s="1">
        <f>SIMULIMO!Q160</f>
        <v>-3009.544926842656</v>
      </c>
      <c r="M180" s="1">
        <f>SIMULIMO!R160</f>
        <v>-2993.893356153616</v>
      </c>
      <c r="N180" s="1">
        <f>SIMULIMO!S160</f>
        <v>-2978.3401140279684</v>
      </c>
      <c r="O180" s="1">
        <f>SIMULIMO!T160</f>
        <v>-2962.8897745538975</v>
      </c>
      <c r="P180" s="143">
        <f>SIMULIMO!U159+SIMULIMO!U160</f>
        <v>142784.47870586632</v>
      </c>
      <c r="Q180" s="1"/>
      <c r="R180" s="1"/>
      <c r="S180" s="1"/>
      <c r="T180" s="1"/>
      <c r="U180" s="1"/>
      <c r="V180" s="1"/>
      <c r="W180" s="1"/>
      <c r="X180" s="1"/>
      <c r="Y180" s="1"/>
      <c r="Z180" s="1"/>
      <c r="AA180" s="1"/>
      <c r="AB180" s="1"/>
      <c r="AC180" s="1"/>
      <c r="AD180" s="1"/>
      <c r="AE180" s="1"/>
      <c r="AF180" s="1"/>
    </row>
    <row r="181" spans="2:32" x14ac:dyDescent="0.25">
      <c r="B181" s="133">
        <v>15</v>
      </c>
      <c r="C181" s="1">
        <f>SIMULIMO!H160</f>
        <v>-18490.82138734925</v>
      </c>
      <c r="D181" s="1">
        <f>SIMULIMO!I160</f>
        <v>-3137.7789379582273</v>
      </c>
      <c r="E181" s="1">
        <f>SIMULIMO!J160</f>
        <v>-3121.4943782378309</v>
      </c>
      <c r="F181" s="1">
        <f>SIMULIMO!K160</f>
        <v>-3105.2748298512297</v>
      </c>
      <c r="G181" s="1">
        <f>SIMULIMO!L160</f>
        <v>-3089.1241534577512</v>
      </c>
      <c r="H181" s="1">
        <f>SIMULIMO!M160</f>
        <v>-3073.0462935605046</v>
      </c>
      <c r="I181" s="1">
        <f>SIMULIMO!N160</f>
        <v>-3057.0452799822056</v>
      </c>
      <c r="J181" s="1">
        <f>SIMULIMO!O160</f>
        <v>-3041.125229364774</v>
      </c>
      <c r="K181" s="1">
        <f>SIMULIMO!P160</f>
        <v>-3025.2903466929838</v>
      </c>
      <c r="L181" s="1">
        <f>SIMULIMO!Q160</f>
        <v>-3009.544926842656</v>
      </c>
      <c r="M181" s="1">
        <f>SIMULIMO!R160</f>
        <v>-2993.893356153616</v>
      </c>
      <c r="N181" s="1">
        <f>SIMULIMO!S160</f>
        <v>-2978.3401140279684</v>
      </c>
      <c r="O181" s="1">
        <f>SIMULIMO!T160</f>
        <v>-2962.8897745538975</v>
      </c>
      <c r="P181" s="1">
        <f>SIMULIMO!U160</f>
        <v>-2947.5470081555454</v>
      </c>
      <c r="Q181" s="143">
        <f>SIMULIMO!V159+SIMULIMO!V160</f>
        <v>155490.96045161065</v>
      </c>
      <c r="R181" s="1"/>
      <c r="S181" s="1"/>
      <c r="T181" s="1"/>
      <c r="U181" s="1"/>
      <c r="V181" s="1"/>
      <c r="W181" s="1"/>
      <c r="X181" s="1"/>
      <c r="Y181" s="1"/>
      <c r="Z181" s="1"/>
      <c r="AA181" s="1"/>
      <c r="AB181" s="1"/>
      <c r="AC181" s="1"/>
      <c r="AD181" s="1"/>
      <c r="AE181" s="1"/>
      <c r="AF181" s="1"/>
    </row>
    <row r="182" spans="2:32" x14ac:dyDescent="0.25">
      <c r="B182" s="133">
        <v>16</v>
      </c>
      <c r="C182" s="1">
        <f>SIMULIMO!H160</f>
        <v>-18490.82138734925</v>
      </c>
      <c r="D182" s="1">
        <f>SIMULIMO!I160</f>
        <v>-3137.7789379582273</v>
      </c>
      <c r="E182" s="1">
        <f>SIMULIMO!J160</f>
        <v>-3121.4943782378309</v>
      </c>
      <c r="F182" s="1">
        <f>SIMULIMO!K160</f>
        <v>-3105.2748298512297</v>
      </c>
      <c r="G182" s="1">
        <f>SIMULIMO!L160</f>
        <v>-3089.1241534577512</v>
      </c>
      <c r="H182" s="1">
        <f>SIMULIMO!M160</f>
        <v>-3073.0462935605046</v>
      </c>
      <c r="I182" s="1">
        <f>SIMULIMO!N160</f>
        <v>-3057.0452799822056</v>
      </c>
      <c r="J182" s="1">
        <f>SIMULIMO!O160</f>
        <v>-3041.125229364774</v>
      </c>
      <c r="K182" s="1">
        <f>SIMULIMO!P160</f>
        <v>-3025.2903466929838</v>
      </c>
      <c r="L182" s="1">
        <f>SIMULIMO!Q160</f>
        <v>-3009.544926842656</v>
      </c>
      <c r="M182" s="1">
        <f>SIMULIMO!R160</f>
        <v>-2993.893356153616</v>
      </c>
      <c r="N182" s="1">
        <f>SIMULIMO!S160</f>
        <v>-2978.3401140279684</v>
      </c>
      <c r="O182" s="1">
        <f>SIMULIMO!T160</f>
        <v>-2962.8897745538975</v>
      </c>
      <c r="P182" s="1">
        <f>SIMULIMO!U160</f>
        <v>-2947.5470081555454</v>
      </c>
      <c r="Q182" s="1">
        <f>SIMULIMO!V160</f>
        <v>-2932.3165832692562</v>
      </c>
      <c r="R182" s="143">
        <f>SIMULIMO!W159+SIMULIMO!W160</f>
        <v>168325.67659173644</v>
      </c>
      <c r="S182" s="1"/>
      <c r="T182" s="1"/>
      <c r="U182" s="1"/>
      <c r="V182" s="1"/>
      <c r="W182" s="1"/>
      <c r="X182" s="1"/>
      <c r="Y182" s="1"/>
      <c r="Z182" s="1"/>
      <c r="AA182" s="1"/>
      <c r="AB182" s="1"/>
      <c r="AC182" s="1"/>
      <c r="AD182" s="1"/>
      <c r="AE182" s="1"/>
      <c r="AF182" s="1"/>
    </row>
    <row r="183" spans="2:32" x14ac:dyDescent="0.25">
      <c r="B183" s="133">
        <v>17</v>
      </c>
      <c r="C183" s="1">
        <f>SIMULIMO!H160</f>
        <v>-18490.82138734925</v>
      </c>
      <c r="D183" s="1">
        <f>SIMULIMO!I160</f>
        <v>-3137.7789379582273</v>
      </c>
      <c r="E183" s="1">
        <f>SIMULIMO!J160</f>
        <v>-3121.4943782378309</v>
      </c>
      <c r="F183" s="1">
        <f>SIMULIMO!K160</f>
        <v>-3105.2748298512297</v>
      </c>
      <c r="G183" s="1">
        <f>SIMULIMO!L160</f>
        <v>-3089.1241534577512</v>
      </c>
      <c r="H183" s="1">
        <f>SIMULIMO!M160</f>
        <v>-3073.0462935605046</v>
      </c>
      <c r="I183" s="1">
        <f>SIMULIMO!N160</f>
        <v>-3057.0452799822056</v>
      </c>
      <c r="J183" s="1">
        <f>SIMULIMO!O160</f>
        <v>-3041.125229364774</v>
      </c>
      <c r="K183" s="1">
        <f>SIMULIMO!P160</f>
        <v>-3025.2903466929838</v>
      </c>
      <c r="L183" s="1">
        <f>SIMULIMO!Q160</f>
        <v>-3009.544926842656</v>
      </c>
      <c r="M183" s="1">
        <f>SIMULIMO!R160</f>
        <v>-2993.893356153616</v>
      </c>
      <c r="N183" s="1">
        <f>SIMULIMO!S160</f>
        <v>-2978.3401140279684</v>
      </c>
      <c r="O183" s="1">
        <f>SIMULIMO!T160</f>
        <v>-2962.8897745538975</v>
      </c>
      <c r="P183" s="1">
        <f>SIMULIMO!U160</f>
        <v>-2947.5470081555454</v>
      </c>
      <c r="Q183" s="1">
        <f>SIMULIMO!V160</f>
        <v>-2932.3165832692562</v>
      </c>
      <c r="R183" s="1">
        <f>SIMULIMO!W160</f>
        <v>-2917.2033680466393</v>
      </c>
      <c r="S183" s="143">
        <f>SIMULIMO!X159+SIMULIMO!X160</f>
        <v>180857.44206167574</v>
      </c>
      <c r="T183" s="1"/>
      <c r="U183" s="1"/>
      <c r="V183" s="1"/>
      <c r="W183" s="1"/>
      <c r="X183" s="1"/>
      <c r="Y183" s="1"/>
      <c r="Z183" s="1"/>
      <c r="AA183" s="1"/>
      <c r="AB183" s="1"/>
      <c r="AC183" s="1"/>
      <c r="AD183" s="1"/>
      <c r="AE183" s="1"/>
      <c r="AF183" s="1"/>
    </row>
    <row r="184" spans="2:32" x14ac:dyDescent="0.25">
      <c r="B184" s="133">
        <v>18</v>
      </c>
      <c r="C184" s="1">
        <f>SIMULIMO!H160</f>
        <v>-18490.82138734925</v>
      </c>
      <c r="D184" s="1">
        <f>SIMULIMO!I160</f>
        <v>-3137.7789379582273</v>
      </c>
      <c r="E184" s="1">
        <f>SIMULIMO!J160</f>
        <v>-3121.4943782378309</v>
      </c>
      <c r="F184" s="1">
        <f>SIMULIMO!K160</f>
        <v>-3105.2748298512297</v>
      </c>
      <c r="G184" s="1">
        <f>SIMULIMO!L160</f>
        <v>-3089.1241534577512</v>
      </c>
      <c r="H184" s="1">
        <f>SIMULIMO!M160</f>
        <v>-3073.0462935605046</v>
      </c>
      <c r="I184" s="1">
        <f>SIMULIMO!N160</f>
        <v>-3057.0452799822056</v>
      </c>
      <c r="J184" s="1">
        <f>SIMULIMO!O160</f>
        <v>-3041.125229364774</v>
      </c>
      <c r="K184" s="1">
        <f>SIMULIMO!P160</f>
        <v>-3025.2903466929838</v>
      </c>
      <c r="L184" s="1">
        <f>SIMULIMO!Q160</f>
        <v>-3009.544926842656</v>
      </c>
      <c r="M184" s="1">
        <f>SIMULIMO!R160</f>
        <v>-2993.893356153616</v>
      </c>
      <c r="N184" s="1">
        <f>SIMULIMO!S160</f>
        <v>-2978.3401140279684</v>
      </c>
      <c r="O184" s="1">
        <f>SIMULIMO!T160</f>
        <v>-2962.8897745538975</v>
      </c>
      <c r="P184" s="1">
        <f>SIMULIMO!U160</f>
        <v>-2947.5470081555454</v>
      </c>
      <c r="Q184" s="1">
        <f>SIMULIMO!V160</f>
        <v>-2932.3165832692562</v>
      </c>
      <c r="R184" s="1">
        <f>SIMULIMO!W160</f>
        <v>-2917.2033680466393</v>
      </c>
      <c r="S184" s="1">
        <f>SIMULIMO!X160</f>
        <v>-2902.2123320848455</v>
      </c>
      <c r="T184" s="143">
        <f>SIMULIMO!Y159+SIMULIMO!Y160</f>
        <v>193633.66454168421</v>
      </c>
      <c r="U184" s="1"/>
      <c r="V184" s="1"/>
      <c r="W184" s="1"/>
      <c r="X184" s="1"/>
      <c r="Y184" s="1"/>
      <c r="Z184" s="1"/>
      <c r="AA184" s="1"/>
      <c r="AB184" s="1"/>
      <c r="AC184" s="1"/>
      <c r="AD184" s="1"/>
      <c r="AE184" s="1"/>
      <c r="AF184" s="1"/>
    </row>
    <row r="185" spans="2:32" x14ac:dyDescent="0.25">
      <c r="B185" s="133">
        <v>19</v>
      </c>
      <c r="C185" s="1">
        <f>SIMULIMO!H160</f>
        <v>-18490.82138734925</v>
      </c>
      <c r="D185" s="1">
        <f>SIMULIMO!I160</f>
        <v>-3137.7789379582273</v>
      </c>
      <c r="E185" s="1">
        <f>SIMULIMO!J160</f>
        <v>-3121.4943782378309</v>
      </c>
      <c r="F185" s="1">
        <f>SIMULIMO!K160</f>
        <v>-3105.2748298512297</v>
      </c>
      <c r="G185" s="1">
        <f>SIMULIMO!L160</f>
        <v>-3089.1241534577512</v>
      </c>
      <c r="H185" s="1">
        <f>SIMULIMO!M160</f>
        <v>-3073.0462935605046</v>
      </c>
      <c r="I185" s="1">
        <f>SIMULIMO!N160</f>
        <v>-3057.0452799822056</v>
      </c>
      <c r="J185" s="1">
        <f>SIMULIMO!O160</f>
        <v>-3041.125229364774</v>
      </c>
      <c r="K185" s="1">
        <f>SIMULIMO!P160</f>
        <v>-3025.2903466929838</v>
      </c>
      <c r="L185" s="1">
        <f>SIMULIMO!Q160</f>
        <v>-3009.544926842656</v>
      </c>
      <c r="M185" s="1">
        <f>SIMULIMO!R160</f>
        <v>-2993.893356153616</v>
      </c>
      <c r="N185" s="1">
        <f>SIMULIMO!S160</f>
        <v>-2978.3401140279684</v>
      </c>
      <c r="O185" s="1">
        <f>SIMULIMO!T160</f>
        <v>-2962.8897745538975</v>
      </c>
      <c r="P185" s="1">
        <f>SIMULIMO!U160</f>
        <v>-2947.5470081555454</v>
      </c>
      <c r="Q185" s="1">
        <f>SIMULIMO!V160</f>
        <v>-2932.3165832692562</v>
      </c>
      <c r="R185" s="1">
        <f>SIMULIMO!W160</f>
        <v>-2917.2033680466393</v>
      </c>
      <c r="S185" s="1">
        <f>SIMULIMO!X160</f>
        <v>-2902.2123320848455</v>
      </c>
      <c r="T185" s="1">
        <f>SIMULIMO!Y160</f>
        <v>-2887.3485481844705</v>
      </c>
      <c r="U185" s="143">
        <f>SIMULIMO!Z159+SIMULIMO!Z160</f>
        <v>206657.76800789739</v>
      </c>
      <c r="V185" s="1"/>
      <c r="W185" s="1"/>
      <c r="X185" s="1"/>
      <c r="Y185" s="1"/>
      <c r="Z185" s="1"/>
      <c r="AA185" s="1"/>
      <c r="AB185" s="1"/>
      <c r="AC185" s="1"/>
      <c r="AD185" s="1"/>
      <c r="AE185" s="1"/>
      <c r="AF185" s="1"/>
    </row>
    <row r="186" spans="2:32" x14ac:dyDescent="0.25">
      <c r="B186" s="133">
        <v>20</v>
      </c>
      <c r="C186" s="1">
        <f>SIMULIMO!H160</f>
        <v>-18490.82138734925</v>
      </c>
      <c r="D186" s="1">
        <f>SIMULIMO!I160</f>
        <v>-3137.7789379582273</v>
      </c>
      <c r="E186" s="1">
        <f>SIMULIMO!J160</f>
        <v>-3121.4943782378309</v>
      </c>
      <c r="F186" s="1">
        <f>SIMULIMO!K160</f>
        <v>-3105.2748298512297</v>
      </c>
      <c r="G186" s="1">
        <f>SIMULIMO!L160</f>
        <v>-3089.1241534577512</v>
      </c>
      <c r="H186" s="1">
        <f>SIMULIMO!M160</f>
        <v>-3073.0462935605046</v>
      </c>
      <c r="I186" s="1">
        <f>SIMULIMO!N160</f>
        <v>-3057.0452799822056</v>
      </c>
      <c r="J186" s="1">
        <f>SIMULIMO!O160</f>
        <v>-3041.125229364774</v>
      </c>
      <c r="K186" s="1">
        <f>SIMULIMO!P160</f>
        <v>-3025.2903466929838</v>
      </c>
      <c r="L186" s="1">
        <f>SIMULIMO!Q160</f>
        <v>-3009.544926842656</v>
      </c>
      <c r="M186" s="1">
        <f>SIMULIMO!R160</f>
        <v>-2993.893356153616</v>
      </c>
      <c r="N186" s="1">
        <f>SIMULIMO!S160</f>
        <v>-2978.3401140279684</v>
      </c>
      <c r="O186" s="1">
        <f>SIMULIMO!T160</f>
        <v>-2962.8897745538975</v>
      </c>
      <c r="P186" s="1">
        <f>SIMULIMO!U160</f>
        <v>-2947.5470081555454</v>
      </c>
      <c r="Q186" s="1">
        <f>SIMULIMO!V160</f>
        <v>-2932.3165832692562</v>
      </c>
      <c r="R186" s="1">
        <f>SIMULIMO!W160</f>
        <v>-2917.2033680466393</v>
      </c>
      <c r="S186" s="1">
        <f>SIMULIMO!X160</f>
        <v>-2902.2123320848455</v>
      </c>
      <c r="T186" s="1">
        <f>SIMULIMO!Y160</f>
        <v>-2887.3485481844705</v>
      </c>
      <c r="U186" s="1">
        <f>SIMULIMO!Z160</f>
        <v>-2872.617194135526</v>
      </c>
      <c r="V186" s="143">
        <f>SIMULIMO!AA159+SIMULIMO!AA160</f>
        <v>219933.22288993193</v>
      </c>
      <c r="W186" s="1"/>
      <c r="X186" s="1"/>
      <c r="Y186" s="1"/>
      <c r="Z186" s="1"/>
      <c r="AA186" s="1"/>
      <c r="AB186" s="1"/>
      <c r="AC186" s="1"/>
      <c r="AD186" s="1"/>
      <c r="AE186" s="1"/>
      <c r="AF186" s="1"/>
    </row>
    <row r="187" spans="2:32" x14ac:dyDescent="0.25">
      <c r="B187" s="133">
        <v>21</v>
      </c>
      <c r="C187" s="1">
        <f>SIMULIMO!H160</f>
        <v>-18490.82138734925</v>
      </c>
      <c r="D187" s="1">
        <f>SIMULIMO!I160</f>
        <v>-3137.7789379582273</v>
      </c>
      <c r="E187" s="1">
        <f>SIMULIMO!J160</f>
        <v>-3121.4943782378309</v>
      </c>
      <c r="F187" s="1">
        <f>SIMULIMO!K160</f>
        <v>-3105.2748298512297</v>
      </c>
      <c r="G187" s="1">
        <f>SIMULIMO!L160</f>
        <v>-3089.1241534577512</v>
      </c>
      <c r="H187" s="1">
        <f>SIMULIMO!M160</f>
        <v>-3073.0462935605046</v>
      </c>
      <c r="I187" s="1">
        <f>SIMULIMO!N160</f>
        <v>-3057.0452799822056</v>
      </c>
      <c r="J187" s="1">
        <f>SIMULIMO!O160</f>
        <v>-3041.125229364774</v>
      </c>
      <c r="K187" s="1">
        <f>SIMULIMO!P160</f>
        <v>-3025.2903466929838</v>
      </c>
      <c r="L187" s="1">
        <f>SIMULIMO!Q160</f>
        <v>-3009.544926842656</v>
      </c>
      <c r="M187" s="1">
        <f>SIMULIMO!R160</f>
        <v>-2993.893356153616</v>
      </c>
      <c r="N187" s="1">
        <f>SIMULIMO!S160</f>
        <v>-2978.3401140279684</v>
      </c>
      <c r="O187" s="1">
        <f>SIMULIMO!T160</f>
        <v>-2962.8897745538975</v>
      </c>
      <c r="P187" s="1">
        <f>SIMULIMO!U160</f>
        <v>-2947.5470081555454</v>
      </c>
      <c r="Q187" s="1">
        <f>SIMULIMO!V160</f>
        <v>-2932.3165832692562</v>
      </c>
      <c r="R187" s="1">
        <f>SIMULIMO!W160</f>
        <v>-2917.2033680466393</v>
      </c>
      <c r="S187" s="1">
        <f>SIMULIMO!X160</f>
        <v>-2902.2123320848455</v>
      </c>
      <c r="T187" s="1">
        <f>SIMULIMO!Y160</f>
        <v>-2887.3485481844705</v>
      </c>
      <c r="U187" s="1">
        <f>SIMULIMO!Z160</f>
        <v>-2872.617194135526</v>
      </c>
      <c r="V187" s="1">
        <f>SIMULIMO!AA160</f>
        <v>-2858.023554531896</v>
      </c>
      <c r="W187" s="143">
        <f>SIMULIMO!AB159+SIMULIMO!AB160</f>
        <v>233463.54669165023</v>
      </c>
      <c r="X187" s="1"/>
      <c r="Y187" s="1"/>
      <c r="Z187" s="1"/>
      <c r="AA187" s="1"/>
      <c r="AB187" s="1"/>
      <c r="AC187" s="1"/>
      <c r="AD187" s="1"/>
      <c r="AE187" s="1"/>
      <c r="AF187" s="1"/>
    </row>
    <row r="188" spans="2:32" x14ac:dyDescent="0.25">
      <c r="B188" s="133">
        <v>22</v>
      </c>
      <c r="C188" s="1">
        <f>SIMULIMO!H160</f>
        <v>-18490.82138734925</v>
      </c>
      <c r="D188" s="1">
        <f>SIMULIMO!I160</f>
        <v>-3137.7789379582273</v>
      </c>
      <c r="E188" s="1">
        <f>SIMULIMO!J160</f>
        <v>-3121.4943782378309</v>
      </c>
      <c r="F188" s="1">
        <f>SIMULIMO!K160</f>
        <v>-3105.2748298512297</v>
      </c>
      <c r="G188" s="1">
        <f>SIMULIMO!L160</f>
        <v>-3089.1241534577512</v>
      </c>
      <c r="H188" s="1">
        <f>SIMULIMO!M160</f>
        <v>-3073.0462935605046</v>
      </c>
      <c r="I188" s="1">
        <f>SIMULIMO!N160</f>
        <v>-3057.0452799822056</v>
      </c>
      <c r="J188" s="1">
        <f>SIMULIMO!O160</f>
        <v>-3041.125229364774</v>
      </c>
      <c r="K188" s="1">
        <f>SIMULIMO!P160</f>
        <v>-3025.2903466929838</v>
      </c>
      <c r="L188" s="1">
        <f>SIMULIMO!Q160</f>
        <v>-3009.544926842656</v>
      </c>
      <c r="M188" s="1">
        <f>SIMULIMO!R160</f>
        <v>-2993.893356153616</v>
      </c>
      <c r="N188" s="1">
        <f>SIMULIMO!S160</f>
        <v>-2978.3401140279684</v>
      </c>
      <c r="O188" s="1">
        <f>SIMULIMO!T160</f>
        <v>-2962.8897745538975</v>
      </c>
      <c r="P188" s="1">
        <f>SIMULIMO!U160</f>
        <v>-2947.5470081555454</v>
      </c>
      <c r="Q188" s="1">
        <f>SIMULIMO!V160</f>
        <v>-2932.3165832692562</v>
      </c>
      <c r="R188" s="1">
        <f>SIMULIMO!W160</f>
        <v>-2917.2033680466393</v>
      </c>
      <c r="S188" s="1">
        <f>SIMULIMO!X160</f>
        <v>-2902.2123320848455</v>
      </c>
      <c r="T188" s="1">
        <f>SIMULIMO!Y160</f>
        <v>-2887.3485481844705</v>
      </c>
      <c r="U188" s="1">
        <f>SIMULIMO!Z160</f>
        <v>-2872.617194135526</v>
      </c>
      <c r="V188" s="1">
        <f>SIMULIMO!AA160</f>
        <v>-2858.023554531896</v>
      </c>
      <c r="W188" s="1">
        <f>SIMULIMO!AB160</f>
        <v>-2843.573022614687</v>
      </c>
      <c r="X188" s="143">
        <f>SIMULIMO!AC159+SIMULIMO!AC160</f>
        <v>247108.73731956552</v>
      </c>
      <c r="Y188" s="1"/>
      <c r="Z188" s="1"/>
      <c r="AA188" s="1"/>
      <c r="AB188" s="1"/>
      <c r="AC188" s="1"/>
      <c r="AD188" s="1"/>
      <c r="AE188" s="1"/>
      <c r="AF188" s="1"/>
    </row>
    <row r="189" spans="2:32" x14ac:dyDescent="0.25">
      <c r="B189" s="133">
        <v>23</v>
      </c>
      <c r="C189" s="1">
        <f>SIMULIMO!H160</f>
        <v>-18490.82138734925</v>
      </c>
      <c r="D189" s="1">
        <f>SIMULIMO!I160</f>
        <v>-3137.7789379582273</v>
      </c>
      <c r="E189" s="1">
        <f>SIMULIMO!J160</f>
        <v>-3121.4943782378309</v>
      </c>
      <c r="F189" s="1">
        <f>SIMULIMO!K160</f>
        <v>-3105.2748298512297</v>
      </c>
      <c r="G189" s="1">
        <f>SIMULIMO!L160</f>
        <v>-3089.1241534577512</v>
      </c>
      <c r="H189" s="1">
        <f>SIMULIMO!M160</f>
        <v>-3073.0462935605046</v>
      </c>
      <c r="I189" s="1">
        <f>SIMULIMO!N160</f>
        <v>-3057.0452799822056</v>
      </c>
      <c r="J189" s="1">
        <f>SIMULIMO!O160</f>
        <v>-3041.125229364774</v>
      </c>
      <c r="K189" s="1">
        <f>SIMULIMO!P160</f>
        <v>-3025.2903466929838</v>
      </c>
      <c r="L189" s="1">
        <f>SIMULIMO!Q160</f>
        <v>-3009.544926842656</v>
      </c>
      <c r="M189" s="1">
        <f>SIMULIMO!R160</f>
        <v>-2993.893356153616</v>
      </c>
      <c r="N189" s="1">
        <f>SIMULIMO!S160</f>
        <v>-2978.3401140279684</v>
      </c>
      <c r="O189" s="1">
        <f>SIMULIMO!T160</f>
        <v>-2962.8897745538975</v>
      </c>
      <c r="P189" s="1">
        <f>SIMULIMO!U160</f>
        <v>-2947.5470081555454</v>
      </c>
      <c r="Q189" s="1">
        <f>SIMULIMO!V160</f>
        <v>-2932.3165832692562</v>
      </c>
      <c r="R189" s="1">
        <f>SIMULIMO!W160</f>
        <v>-2917.2033680466393</v>
      </c>
      <c r="S189" s="1">
        <f>SIMULIMO!X160</f>
        <v>-2902.2123320848455</v>
      </c>
      <c r="T189" s="1">
        <f>SIMULIMO!Y160</f>
        <v>-2887.3485481844705</v>
      </c>
      <c r="U189" s="1">
        <f>SIMULIMO!Z160</f>
        <v>-2872.617194135526</v>
      </c>
      <c r="V189" s="1">
        <f>SIMULIMO!AA160</f>
        <v>-2858.023554531896</v>
      </c>
      <c r="W189" s="1">
        <f>SIMULIMO!AB160</f>
        <v>-2843.573022614687</v>
      </c>
      <c r="X189" s="1">
        <f>SIMULIMO!AC160</f>
        <v>-2907.6132616283917</v>
      </c>
      <c r="Y189" s="143">
        <f>SIMULIMO!AD159+SIMULIMO!AD160</f>
        <v>260943.96625202656</v>
      </c>
      <c r="Z189" s="1"/>
      <c r="AA189" s="1"/>
      <c r="AB189" s="1"/>
      <c r="AC189" s="1"/>
      <c r="AD189" s="1"/>
      <c r="AE189" s="1"/>
      <c r="AF189" s="1"/>
    </row>
    <row r="190" spans="2:32" x14ac:dyDescent="0.25">
      <c r="B190" s="133">
        <v>24</v>
      </c>
      <c r="C190" s="1">
        <f>SIMULIMO!H160</f>
        <v>-18490.82138734925</v>
      </c>
      <c r="D190" s="1">
        <f>SIMULIMO!I160</f>
        <v>-3137.7789379582273</v>
      </c>
      <c r="E190" s="1">
        <f>SIMULIMO!J160</f>
        <v>-3121.4943782378309</v>
      </c>
      <c r="F190" s="1">
        <f>SIMULIMO!K160</f>
        <v>-3105.2748298512297</v>
      </c>
      <c r="G190" s="1">
        <f>SIMULIMO!L160</f>
        <v>-3089.1241534577512</v>
      </c>
      <c r="H190" s="1">
        <f>SIMULIMO!M160</f>
        <v>-3073.0462935605046</v>
      </c>
      <c r="I190" s="1">
        <f>SIMULIMO!N160</f>
        <v>-3057.0452799822056</v>
      </c>
      <c r="J190" s="1">
        <f>SIMULIMO!O160</f>
        <v>-3041.125229364774</v>
      </c>
      <c r="K190" s="1">
        <f>SIMULIMO!P160</f>
        <v>-3025.2903466929838</v>
      </c>
      <c r="L190" s="1">
        <f>SIMULIMO!Q160</f>
        <v>-3009.544926842656</v>
      </c>
      <c r="M190" s="1">
        <f>SIMULIMO!R160</f>
        <v>-2993.893356153616</v>
      </c>
      <c r="N190" s="1">
        <f>SIMULIMO!S160</f>
        <v>-2978.3401140279684</v>
      </c>
      <c r="O190" s="1">
        <f>SIMULIMO!T160</f>
        <v>-2962.8897745538975</v>
      </c>
      <c r="P190" s="1">
        <f>SIMULIMO!U160</f>
        <v>-2947.5470081555454</v>
      </c>
      <c r="Q190" s="1">
        <f>SIMULIMO!V160</f>
        <v>-2932.3165832692562</v>
      </c>
      <c r="R190" s="1">
        <f>SIMULIMO!W160</f>
        <v>-2917.2033680466393</v>
      </c>
      <c r="S190" s="1">
        <f>SIMULIMO!X160</f>
        <v>-2902.2123320848455</v>
      </c>
      <c r="T190" s="1">
        <f>SIMULIMO!Y160</f>
        <v>-2887.3485481844705</v>
      </c>
      <c r="U190" s="1">
        <f>SIMULIMO!Z160</f>
        <v>-2872.617194135526</v>
      </c>
      <c r="V190" s="1">
        <f>SIMULIMO!AA160</f>
        <v>-2858.023554531896</v>
      </c>
      <c r="W190" s="1">
        <f>SIMULIMO!AB160</f>
        <v>-2843.573022614687</v>
      </c>
      <c r="X190" s="1">
        <f>SIMULIMO!AC160</f>
        <v>-2907.6132616283917</v>
      </c>
      <c r="Y190" s="1">
        <f>SIMULIMO!AD160</f>
        <v>-3122.3194058364461</v>
      </c>
      <c r="Z190" s="143">
        <f>SIMULIMO!AE159+SIMULIMO!AE160</f>
        <v>275045.75022635807</v>
      </c>
      <c r="AA190" s="1"/>
      <c r="AB190" s="1"/>
      <c r="AC190" s="1"/>
      <c r="AD190" s="1"/>
      <c r="AE190" s="1"/>
      <c r="AF190" s="1"/>
    </row>
    <row r="191" spans="2:32" x14ac:dyDescent="0.25">
      <c r="B191" s="133">
        <v>25</v>
      </c>
      <c r="C191" s="1">
        <f>SIMULIMO!H160</f>
        <v>-18490.82138734925</v>
      </c>
      <c r="D191" s="1">
        <f>SIMULIMO!I160</f>
        <v>-3137.7789379582273</v>
      </c>
      <c r="E191" s="1">
        <f>SIMULIMO!J160</f>
        <v>-3121.4943782378309</v>
      </c>
      <c r="F191" s="1">
        <f>SIMULIMO!K160</f>
        <v>-3105.2748298512297</v>
      </c>
      <c r="G191" s="1">
        <f>SIMULIMO!L160</f>
        <v>-3089.1241534577512</v>
      </c>
      <c r="H191" s="1">
        <f>SIMULIMO!M160</f>
        <v>-3073.0462935605046</v>
      </c>
      <c r="I191" s="1">
        <f>SIMULIMO!N160</f>
        <v>-3057.0452799822056</v>
      </c>
      <c r="J191" s="1">
        <f>SIMULIMO!O160</f>
        <v>-3041.125229364774</v>
      </c>
      <c r="K191" s="1">
        <f>SIMULIMO!P160</f>
        <v>-3025.2903466929838</v>
      </c>
      <c r="L191" s="1">
        <f>SIMULIMO!Q160</f>
        <v>-3009.544926842656</v>
      </c>
      <c r="M191" s="1">
        <f>SIMULIMO!R160</f>
        <v>-2993.893356153616</v>
      </c>
      <c r="N191" s="1">
        <f>SIMULIMO!S160</f>
        <v>-2978.3401140279684</v>
      </c>
      <c r="O191" s="1">
        <f>SIMULIMO!T160</f>
        <v>-2962.8897745538975</v>
      </c>
      <c r="P191" s="1">
        <f>SIMULIMO!U160</f>
        <v>-2947.5470081555454</v>
      </c>
      <c r="Q191" s="1">
        <f>SIMULIMO!V160</f>
        <v>-2932.3165832692562</v>
      </c>
      <c r="R191" s="1">
        <f>SIMULIMO!W160</f>
        <v>-2917.2033680466393</v>
      </c>
      <c r="S191" s="1">
        <f>SIMULIMO!X160</f>
        <v>-2902.2123320848455</v>
      </c>
      <c r="T191" s="1">
        <f>SIMULIMO!Y160</f>
        <v>-2887.3485481844705</v>
      </c>
      <c r="U191" s="1">
        <f>SIMULIMO!Z160</f>
        <v>-2872.617194135526</v>
      </c>
      <c r="V191" s="1">
        <f>SIMULIMO!AA160</f>
        <v>-2858.023554531896</v>
      </c>
      <c r="W191" s="1">
        <f>SIMULIMO!AB160</f>
        <v>-2843.573022614687</v>
      </c>
      <c r="X191" s="1">
        <f>SIMULIMO!AC160</f>
        <v>-2907.6132616283917</v>
      </c>
      <c r="Y191" s="1">
        <f>SIMULIMO!AD160</f>
        <v>-3122.3194058364461</v>
      </c>
      <c r="Z191" s="1">
        <f>SIMULIMO!AE160</f>
        <v>-3343.4118487044448</v>
      </c>
      <c r="AA191" s="143">
        <f>SIMULIMO!AF159+SIMULIMO!AF160</f>
        <v>289417.72876176861</v>
      </c>
      <c r="AB191" s="1"/>
      <c r="AC191" s="1"/>
      <c r="AD191" s="1"/>
      <c r="AE191" s="1"/>
      <c r="AF191" s="1"/>
    </row>
    <row r="192" spans="2:32" x14ac:dyDescent="0.25">
      <c r="B192" s="133">
        <v>26</v>
      </c>
      <c r="C192" s="1">
        <f>SIMULIMO!H160</f>
        <v>-18490.82138734925</v>
      </c>
      <c r="D192" s="1">
        <f>SIMULIMO!I160</f>
        <v>-3137.7789379582273</v>
      </c>
      <c r="E192" s="1">
        <f>SIMULIMO!J160</f>
        <v>-3121.4943782378309</v>
      </c>
      <c r="F192" s="1">
        <f>SIMULIMO!K160</f>
        <v>-3105.2748298512297</v>
      </c>
      <c r="G192" s="1">
        <f>SIMULIMO!L160</f>
        <v>-3089.1241534577512</v>
      </c>
      <c r="H192" s="1">
        <f>SIMULIMO!M160</f>
        <v>-3073.0462935605046</v>
      </c>
      <c r="I192" s="1">
        <f>SIMULIMO!N160</f>
        <v>-3057.0452799822056</v>
      </c>
      <c r="J192" s="1">
        <f>SIMULIMO!O160</f>
        <v>-3041.125229364774</v>
      </c>
      <c r="K192" s="1">
        <f>SIMULIMO!P160</f>
        <v>-3025.2903466929838</v>
      </c>
      <c r="L192" s="1">
        <f>SIMULIMO!Q160</f>
        <v>-3009.544926842656</v>
      </c>
      <c r="M192" s="1">
        <f>SIMULIMO!R160</f>
        <v>-2993.893356153616</v>
      </c>
      <c r="N192" s="1">
        <f>SIMULIMO!S160</f>
        <v>-2978.3401140279684</v>
      </c>
      <c r="O192" s="1">
        <f>SIMULIMO!T160</f>
        <v>-2962.8897745538975</v>
      </c>
      <c r="P192" s="1">
        <f>SIMULIMO!U160</f>
        <v>-2947.5470081555454</v>
      </c>
      <c r="Q192" s="1">
        <f>SIMULIMO!V160</f>
        <v>-2932.3165832692562</v>
      </c>
      <c r="R192" s="1">
        <f>SIMULIMO!W160</f>
        <v>-2917.2033680466393</v>
      </c>
      <c r="S192" s="1">
        <f>SIMULIMO!X160</f>
        <v>-2902.2123320848455</v>
      </c>
      <c r="T192" s="1">
        <f>SIMULIMO!Y160</f>
        <v>-2887.3485481844705</v>
      </c>
      <c r="U192" s="1">
        <f>SIMULIMO!Z160</f>
        <v>-2872.617194135526</v>
      </c>
      <c r="V192" s="1">
        <f>SIMULIMO!AA160</f>
        <v>-2858.023554531896</v>
      </c>
      <c r="W192" s="1">
        <f>SIMULIMO!AB160</f>
        <v>-2843.573022614687</v>
      </c>
      <c r="X192" s="1">
        <f>SIMULIMO!AC160</f>
        <v>-2907.6132616283917</v>
      </c>
      <c r="Y192" s="1">
        <f>SIMULIMO!AD160</f>
        <v>-3122.3194058364461</v>
      </c>
      <c r="Z192" s="1">
        <f>SIMULIMO!AE160</f>
        <v>-3343.4118487044448</v>
      </c>
      <c r="AA192" s="1">
        <f>SIMULIMO!AF160</f>
        <v>-3571.0757168985474</v>
      </c>
      <c r="AB192" s="143">
        <f>SIMULIMO!AG159+SIMULIMO!AG160</f>
        <v>304134.85332889413</v>
      </c>
      <c r="AC192" s="1"/>
      <c r="AD192" s="1"/>
      <c r="AE192" s="1"/>
      <c r="AF192" s="1"/>
    </row>
    <row r="193" spans="2:32" x14ac:dyDescent="0.25">
      <c r="B193" s="133">
        <v>27</v>
      </c>
      <c r="C193" s="1">
        <f>SIMULIMO!H160</f>
        <v>-18490.82138734925</v>
      </c>
      <c r="D193" s="1">
        <f>SIMULIMO!I160</f>
        <v>-3137.7789379582273</v>
      </c>
      <c r="E193" s="1">
        <f>SIMULIMO!J160</f>
        <v>-3121.4943782378309</v>
      </c>
      <c r="F193" s="1">
        <f>SIMULIMO!K160</f>
        <v>-3105.2748298512297</v>
      </c>
      <c r="G193" s="1">
        <f>SIMULIMO!L160</f>
        <v>-3089.1241534577512</v>
      </c>
      <c r="H193" s="1">
        <f>SIMULIMO!M160</f>
        <v>-3073.0462935605046</v>
      </c>
      <c r="I193" s="1">
        <f>SIMULIMO!N160</f>
        <v>-3057.0452799822056</v>
      </c>
      <c r="J193" s="1">
        <f>SIMULIMO!O160</f>
        <v>-3041.125229364774</v>
      </c>
      <c r="K193" s="1">
        <f>SIMULIMO!P160</f>
        <v>-3025.2903466929838</v>
      </c>
      <c r="L193" s="1">
        <f>SIMULIMO!Q160</f>
        <v>-3009.544926842656</v>
      </c>
      <c r="M193" s="1">
        <f>SIMULIMO!R160</f>
        <v>-2993.893356153616</v>
      </c>
      <c r="N193" s="1">
        <f>SIMULIMO!S160</f>
        <v>-2978.3401140279684</v>
      </c>
      <c r="O193" s="1">
        <f>SIMULIMO!T160</f>
        <v>-2962.8897745538975</v>
      </c>
      <c r="P193" s="1">
        <f>SIMULIMO!U160</f>
        <v>-2947.5470081555454</v>
      </c>
      <c r="Q193" s="1">
        <f>SIMULIMO!V160</f>
        <v>-2932.3165832692562</v>
      </c>
      <c r="R193" s="1">
        <f>SIMULIMO!W160</f>
        <v>-2917.2033680466393</v>
      </c>
      <c r="S193" s="1">
        <f>SIMULIMO!X160</f>
        <v>-2902.2123320848455</v>
      </c>
      <c r="T193" s="1">
        <f>SIMULIMO!Y160</f>
        <v>-2887.3485481844705</v>
      </c>
      <c r="U193" s="1">
        <f>SIMULIMO!Z160</f>
        <v>-2872.617194135526</v>
      </c>
      <c r="V193" s="1">
        <f>SIMULIMO!AA160</f>
        <v>-2858.023554531896</v>
      </c>
      <c r="W193" s="1">
        <f>SIMULIMO!AB160</f>
        <v>-2843.573022614687</v>
      </c>
      <c r="X193" s="1">
        <f>SIMULIMO!AC160</f>
        <v>-2907.6132616283917</v>
      </c>
      <c r="Y193" s="1">
        <f>SIMULIMO!AD160</f>
        <v>-3122.3194058364461</v>
      </c>
      <c r="Z193" s="1">
        <f>SIMULIMO!AE160</f>
        <v>-3343.4118487044448</v>
      </c>
      <c r="AA193" s="1">
        <f>SIMULIMO!AF160</f>
        <v>-3571.0757168985474</v>
      </c>
      <c r="AB193" s="1">
        <f>SIMULIMO!AG160</f>
        <v>7984.9832216304003</v>
      </c>
      <c r="AC193" s="143">
        <f>SIMULIMO!AH159+SIMULIMO!AH160</f>
        <v>307270.08394130593</v>
      </c>
      <c r="AD193" s="1"/>
      <c r="AE193" s="1"/>
      <c r="AF193" s="1"/>
    </row>
    <row r="194" spans="2:32" x14ac:dyDescent="0.25">
      <c r="B194" s="133">
        <v>28</v>
      </c>
      <c r="C194" s="1">
        <f>SIMULIMO!H160</f>
        <v>-18490.82138734925</v>
      </c>
      <c r="D194" s="1">
        <f>SIMULIMO!I160</f>
        <v>-3137.7789379582273</v>
      </c>
      <c r="E194" s="1">
        <f>SIMULIMO!J160</f>
        <v>-3121.4943782378309</v>
      </c>
      <c r="F194" s="1">
        <f>SIMULIMO!K160</f>
        <v>-3105.2748298512297</v>
      </c>
      <c r="G194" s="1">
        <f>SIMULIMO!L160</f>
        <v>-3089.1241534577512</v>
      </c>
      <c r="H194" s="1">
        <f>SIMULIMO!M160</f>
        <v>-3073.0462935605046</v>
      </c>
      <c r="I194" s="1">
        <f>SIMULIMO!N160</f>
        <v>-3057.0452799822056</v>
      </c>
      <c r="J194" s="1">
        <f>SIMULIMO!O160</f>
        <v>-3041.125229364774</v>
      </c>
      <c r="K194" s="1">
        <f>SIMULIMO!P160</f>
        <v>-3025.2903466929838</v>
      </c>
      <c r="L194" s="1">
        <f>SIMULIMO!Q160</f>
        <v>-3009.544926842656</v>
      </c>
      <c r="M194" s="1">
        <f>SIMULIMO!R160</f>
        <v>-2993.893356153616</v>
      </c>
      <c r="N194" s="1">
        <f>SIMULIMO!S160</f>
        <v>-2978.3401140279684</v>
      </c>
      <c r="O194" s="1">
        <f>SIMULIMO!T160</f>
        <v>-2962.8897745538975</v>
      </c>
      <c r="P194" s="1">
        <f>SIMULIMO!U160</f>
        <v>-2947.5470081555454</v>
      </c>
      <c r="Q194" s="1">
        <f>SIMULIMO!V160</f>
        <v>-2932.3165832692562</v>
      </c>
      <c r="R194" s="1">
        <f>SIMULIMO!W160</f>
        <v>-2917.2033680466393</v>
      </c>
      <c r="S194" s="1">
        <f>SIMULIMO!X160</f>
        <v>-2902.2123320848455</v>
      </c>
      <c r="T194" s="1">
        <f>SIMULIMO!Y160</f>
        <v>-2887.3485481844705</v>
      </c>
      <c r="U194" s="1">
        <f>SIMULIMO!Z160</f>
        <v>-2872.617194135526</v>
      </c>
      <c r="V194" s="1">
        <f>SIMULIMO!AA160</f>
        <v>-2858.023554531896</v>
      </c>
      <c r="W194" s="1">
        <f>SIMULIMO!AB160</f>
        <v>-2843.573022614687</v>
      </c>
      <c r="X194" s="1">
        <f>SIMULIMO!AC160</f>
        <v>-2907.6132616283917</v>
      </c>
      <c r="Y194" s="1">
        <f>SIMULIMO!AD160</f>
        <v>-3122.3194058364461</v>
      </c>
      <c r="Z194" s="1">
        <f>SIMULIMO!AE160</f>
        <v>-3343.4118487044448</v>
      </c>
      <c r="AA194" s="1">
        <f>SIMULIMO!AF160</f>
        <v>-3571.0757168985474</v>
      </c>
      <c r="AB194" s="1">
        <f>SIMULIMO!AG160</f>
        <v>7984.9832216304003</v>
      </c>
      <c r="AC194" s="1">
        <f>SIMULIMO!AH160</f>
        <v>7839.7026433216697</v>
      </c>
      <c r="AD194" s="143">
        <f>SIMULIMO!AI159+SIMULIMO!AI160</f>
        <v>310520.60996442277</v>
      </c>
      <c r="AE194" s="1"/>
      <c r="AF194" s="1"/>
    </row>
    <row r="195" spans="2:32" x14ac:dyDescent="0.25">
      <c r="B195" s="133">
        <v>29</v>
      </c>
      <c r="C195" s="1">
        <f>SIMULIMO!H160</f>
        <v>-18490.82138734925</v>
      </c>
      <c r="D195" s="1">
        <f>SIMULIMO!I160</f>
        <v>-3137.7789379582273</v>
      </c>
      <c r="E195" s="1">
        <f>SIMULIMO!J160</f>
        <v>-3121.4943782378309</v>
      </c>
      <c r="F195" s="1">
        <f>SIMULIMO!K160</f>
        <v>-3105.2748298512297</v>
      </c>
      <c r="G195" s="1">
        <f>SIMULIMO!L160</f>
        <v>-3089.1241534577512</v>
      </c>
      <c r="H195" s="1">
        <f>SIMULIMO!M160</f>
        <v>-3073.0462935605046</v>
      </c>
      <c r="I195" s="1">
        <f>SIMULIMO!N160</f>
        <v>-3057.0452799822056</v>
      </c>
      <c r="J195" s="1">
        <f>SIMULIMO!O160</f>
        <v>-3041.125229364774</v>
      </c>
      <c r="K195" s="1">
        <f>SIMULIMO!P160</f>
        <v>-3025.2903466929838</v>
      </c>
      <c r="L195" s="1">
        <f>SIMULIMO!Q160</f>
        <v>-3009.544926842656</v>
      </c>
      <c r="M195" s="1">
        <f>SIMULIMO!R160</f>
        <v>-2993.893356153616</v>
      </c>
      <c r="N195" s="1">
        <f>SIMULIMO!S160</f>
        <v>-2978.3401140279684</v>
      </c>
      <c r="O195" s="1">
        <f>SIMULIMO!T160</f>
        <v>-2962.8897745538975</v>
      </c>
      <c r="P195" s="1">
        <f>SIMULIMO!U160</f>
        <v>-2947.5470081555454</v>
      </c>
      <c r="Q195" s="1">
        <f>SIMULIMO!V160</f>
        <v>-2932.3165832692562</v>
      </c>
      <c r="R195" s="1">
        <f>SIMULIMO!W160</f>
        <v>-2917.2033680466393</v>
      </c>
      <c r="S195" s="1">
        <f>SIMULIMO!X160</f>
        <v>-2902.2123320848455</v>
      </c>
      <c r="T195" s="1">
        <f>SIMULIMO!Y160</f>
        <v>-2887.3485481844705</v>
      </c>
      <c r="U195" s="1">
        <f>SIMULIMO!Z160</f>
        <v>-2872.617194135526</v>
      </c>
      <c r="V195" s="1">
        <f>SIMULIMO!AA160</f>
        <v>-2858.023554531896</v>
      </c>
      <c r="W195" s="1">
        <f>SIMULIMO!AB160</f>
        <v>-2843.573022614687</v>
      </c>
      <c r="X195" s="1">
        <f>SIMULIMO!AC160</f>
        <v>-2907.6132616283917</v>
      </c>
      <c r="Y195" s="1">
        <f>SIMULIMO!AD160</f>
        <v>-3122.3194058364461</v>
      </c>
      <c r="Z195" s="1">
        <f>SIMULIMO!AE160</f>
        <v>-3343.4118487044448</v>
      </c>
      <c r="AA195" s="1">
        <f>SIMULIMO!AF160</f>
        <v>-3571.0757168985474</v>
      </c>
      <c r="AB195" s="1">
        <f>SIMULIMO!AG160</f>
        <v>7984.9832216304003</v>
      </c>
      <c r="AC195" s="1">
        <f>SIMULIMO!AH160</f>
        <v>7839.7026433216697</v>
      </c>
      <c r="AD195" s="1">
        <f>SIMULIMO!AI160</f>
        <v>7688.6162949140935</v>
      </c>
      <c r="AE195" s="143">
        <f>SIMULIMO!AJ159+SIMULIMO!AJ160</f>
        <v>313887.91953811096</v>
      </c>
      <c r="AF195" s="1"/>
    </row>
    <row r="196" spans="2:32" x14ac:dyDescent="0.25">
      <c r="B196" s="133">
        <v>30</v>
      </c>
      <c r="C196" s="1">
        <f>SIMULIMO!H160</f>
        <v>-18490.82138734925</v>
      </c>
      <c r="D196" s="1">
        <f>SIMULIMO!I160</f>
        <v>-3137.7789379582273</v>
      </c>
      <c r="E196" s="1">
        <f>SIMULIMO!J160</f>
        <v>-3121.4943782378309</v>
      </c>
      <c r="F196" s="1">
        <f>SIMULIMO!K160</f>
        <v>-3105.2748298512297</v>
      </c>
      <c r="G196" s="1">
        <f>SIMULIMO!L160</f>
        <v>-3089.1241534577512</v>
      </c>
      <c r="H196" s="1">
        <f>SIMULIMO!M160</f>
        <v>-3073.0462935605046</v>
      </c>
      <c r="I196" s="1">
        <f>SIMULIMO!N160</f>
        <v>-3057.0452799822056</v>
      </c>
      <c r="J196" s="1">
        <f>SIMULIMO!O160</f>
        <v>-3041.125229364774</v>
      </c>
      <c r="K196" s="1">
        <f>SIMULIMO!P160</f>
        <v>-3025.2903466929838</v>
      </c>
      <c r="L196" s="1">
        <f>SIMULIMO!Q160</f>
        <v>-3009.544926842656</v>
      </c>
      <c r="M196" s="1">
        <f>SIMULIMO!R160</f>
        <v>-2993.893356153616</v>
      </c>
      <c r="N196" s="1">
        <f>SIMULIMO!S160</f>
        <v>-2978.3401140279684</v>
      </c>
      <c r="O196" s="1">
        <f>SIMULIMO!T160</f>
        <v>-2962.8897745538975</v>
      </c>
      <c r="P196" s="1">
        <f>SIMULIMO!U160</f>
        <v>-2947.5470081555454</v>
      </c>
      <c r="Q196" s="1">
        <f>SIMULIMO!V160</f>
        <v>-2932.3165832692562</v>
      </c>
      <c r="R196" s="1">
        <f>SIMULIMO!W160</f>
        <v>-2917.2033680466393</v>
      </c>
      <c r="S196" s="1">
        <f>SIMULIMO!X160</f>
        <v>-2902.2123320848455</v>
      </c>
      <c r="T196" s="1">
        <f>SIMULIMO!Y160</f>
        <v>-2887.3485481844705</v>
      </c>
      <c r="U196" s="1">
        <f>SIMULIMO!Z160</f>
        <v>-2872.617194135526</v>
      </c>
      <c r="V196" s="1">
        <f>SIMULIMO!AA160</f>
        <v>-2858.023554531896</v>
      </c>
      <c r="W196" s="1">
        <f>SIMULIMO!AB160</f>
        <v>-2843.573022614687</v>
      </c>
      <c r="X196" s="1">
        <f>SIMULIMO!AC160</f>
        <v>-2907.6132616283917</v>
      </c>
      <c r="Y196" s="1">
        <f>SIMULIMO!AD160</f>
        <v>-3122.3194058364461</v>
      </c>
      <c r="Z196" s="1">
        <f>SIMULIMO!AE160</f>
        <v>-3343.4118487044448</v>
      </c>
      <c r="AA196" s="1">
        <f>SIMULIMO!AF160</f>
        <v>-3571.0757168985474</v>
      </c>
      <c r="AB196" s="1">
        <f>SIMULIMO!AG160</f>
        <v>7984.9832216304003</v>
      </c>
      <c r="AC196" s="1">
        <f>SIMULIMO!AH160</f>
        <v>7839.7026433216697</v>
      </c>
      <c r="AD196" s="1">
        <f>SIMULIMO!AI160</f>
        <v>7688.6162949140935</v>
      </c>
      <c r="AE196" s="1">
        <f>SIMULIMO!AJ160</f>
        <v>7531.5355297772267</v>
      </c>
      <c r="AF196" s="143">
        <f>SIMULIMO!AK159+SIMULIMO!AK160</f>
        <v>317452.25590203737</v>
      </c>
    </row>
    <row r="198" spans="2:32" x14ac:dyDescent="0.25">
      <c r="B198" s="137"/>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c r="AA198" s="138"/>
      <c r="AB198" s="138"/>
      <c r="AC198" s="138"/>
      <c r="AD198" s="138"/>
      <c r="AE198" s="138"/>
      <c r="AF198" s="138"/>
    </row>
    <row r="201" spans="2:32" ht="15.75" x14ac:dyDescent="0.25">
      <c r="B201" s="145" t="s">
        <v>296</v>
      </c>
    </row>
    <row r="203" spans="2:32" x14ac:dyDescent="0.25">
      <c r="B203" s="133" t="s">
        <v>301</v>
      </c>
      <c r="C203" s="133">
        <v>1</v>
      </c>
      <c r="D203" s="133">
        <v>2</v>
      </c>
      <c r="E203" s="133">
        <v>3</v>
      </c>
      <c r="F203" s="133">
        <v>4</v>
      </c>
      <c r="G203" s="133">
        <v>5</v>
      </c>
      <c r="H203" s="133">
        <v>6</v>
      </c>
      <c r="I203" s="133">
        <v>7</v>
      </c>
      <c r="J203" s="133">
        <v>8</v>
      </c>
      <c r="K203" s="133">
        <v>9</v>
      </c>
      <c r="L203" s="133">
        <v>10</v>
      </c>
      <c r="M203" s="133">
        <v>11</v>
      </c>
      <c r="N203" s="133">
        <v>12</v>
      </c>
      <c r="O203" s="133">
        <v>13</v>
      </c>
      <c r="P203" s="133">
        <v>14</v>
      </c>
      <c r="Q203" s="133">
        <v>15</v>
      </c>
      <c r="R203" s="133">
        <v>16</v>
      </c>
      <c r="S203" s="133">
        <v>17</v>
      </c>
      <c r="T203" s="133">
        <v>18</v>
      </c>
      <c r="U203" s="133">
        <v>19</v>
      </c>
      <c r="V203" s="133">
        <v>20</v>
      </c>
      <c r="W203" s="133">
        <v>21</v>
      </c>
      <c r="X203" s="133">
        <v>22</v>
      </c>
      <c r="Y203" s="133">
        <v>23</v>
      </c>
      <c r="Z203" s="133">
        <v>24</v>
      </c>
      <c r="AA203" s="133">
        <v>25</v>
      </c>
      <c r="AB203" s="133">
        <v>26</v>
      </c>
      <c r="AC203" s="133">
        <v>27</v>
      </c>
      <c r="AD203" s="133">
        <v>28</v>
      </c>
      <c r="AE203" s="133">
        <v>29</v>
      </c>
      <c r="AF203" s="133">
        <v>30</v>
      </c>
    </row>
    <row r="204" spans="2:32" s="174" customFormat="1" x14ac:dyDescent="0.25">
      <c r="B204" s="173" t="s">
        <v>300</v>
      </c>
      <c r="C204" s="172" t="str">
        <f>IFERROR(IRR(C206),"N/A")</f>
        <v>N/A</v>
      </c>
      <c r="D204" s="172">
        <f>IFERROR(IRR(C207:D207),"N/A")</f>
        <v>-0.94709352399471602</v>
      </c>
      <c r="E204" s="172">
        <f>IFERROR(IRR(C208:E208),"N/A")</f>
        <v>-0.37950944531796604</v>
      </c>
      <c r="F204" s="172">
        <f>IFERROR(IRR(C209:F209),"N/A")</f>
        <v>-0.13108279574228854</v>
      </c>
      <c r="G204" s="172">
        <f>IFERROR(IRR(C210:G210),"N/A")</f>
        <v>-2.6675803437109291E-2</v>
      </c>
      <c r="H204" s="172">
        <f>IFERROR(IRR(C211:H211),"N/A")</f>
        <v>2.2605914617200185E-2</v>
      </c>
      <c r="I204" s="172">
        <f>IFERROR(IRR(C212:I212),"N/A")</f>
        <v>4.7802887302880626E-2</v>
      </c>
      <c r="J204" s="172">
        <f>IFERROR(IRR(C213:J213),"N/A")</f>
        <v>6.1259152692893615E-2</v>
      </c>
      <c r="K204" s="172">
        <f>IFERROR(IRR(C214:K214),"N/A")</f>
        <v>6.851329572057363E-2</v>
      </c>
      <c r="L204" s="172">
        <f>IFERROR(IRR(C215:L215),"N/A")</f>
        <v>7.2294530160243342E-2</v>
      </c>
      <c r="M204" s="172">
        <f>IFERROR(IRR(C216:M216),"N/A")</f>
        <v>7.4048298774757271E-2</v>
      </c>
      <c r="N204" s="172">
        <f>IFERROR(IRR(C217:N217),"N/A")</f>
        <v>7.4584325875682866E-2</v>
      </c>
      <c r="O204" s="172">
        <f>IFERROR(IRR(C218:O218),"N/A")</f>
        <v>7.4376669126790196E-2</v>
      </c>
      <c r="P204" s="172">
        <f>IFERROR(IRR(C219:P219),"N/A")</f>
        <v>7.3712701852945317E-2</v>
      </c>
      <c r="Q204" s="172">
        <f>IFERROR(IRR(C220:Q220),"N/A")</f>
        <v>7.2771456833991222E-2</v>
      </c>
      <c r="R204" s="172">
        <f>IFERROR(IRR(C221:R221),"N/A")</f>
        <v>7.1644693794062242E-2</v>
      </c>
      <c r="S204" s="172">
        <f>IFERROR(IRR(C222:S222),"N/A")</f>
        <v>7.0203964306270406E-2</v>
      </c>
      <c r="T204" s="172">
        <f>IFERROR(IRR(C223:T223),"N/A")</f>
        <v>6.8813057253383381E-2</v>
      </c>
      <c r="U204" s="172">
        <f>IFERROR(IRR(C224:U224),"N/A")</f>
        <v>6.747799353737105E-2</v>
      </c>
      <c r="V204" s="172">
        <f>IFERROR(IRR(C225:V225),"N/A")</f>
        <v>6.6201215825445248E-2</v>
      </c>
      <c r="W204" s="172">
        <f>IFERROR(IRR(C226:W226),"N/A")</f>
        <v>6.4982938198818063E-2</v>
      </c>
      <c r="X204" s="172">
        <f>IFERROR(IRR(C227:X227),"N/A")</f>
        <v>6.3786415855214829E-2</v>
      </c>
      <c r="Y204" s="172">
        <f>IFERROR(IRR(C228:Y228),"N/A")</f>
        <v>6.2619325324348774E-2</v>
      </c>
      <c r="Z204" s="172">
        <f>IFERROR(IRR(C229:Z229),"N/A")</f>
        <v>6.1467412595875182E-2</v>
      </c>
      <c r="AA204" s="172">
        <f>IFERROR(IRR(C230:AA230),"N/A")</f>
        <v>6.0335509962316403E-2</v>
      </c>
      <c r="AB204" s="172">
        <f>IFERROR(IRR(C231:AB231),"N/A")</f>
        <v>5.9257857326928898E-2</v>
      </c>
      <c r="AC204" s="172">
        <f>IFERROR(IRR(C232:AC232),"N/A")</f>
        <v>5.8288148514072269E-2</v>
      </c>
      <c r="AD204" s="172">
        <f>IFERROR(IRR(C233:AD233),"N/A")</f>
        <v>5.740740913122333E-2</v>
      </c>
      <c r="AE204" s="172">
        <f>IFERROR(IRR(C234:AE234),"N/A")</f>
        <v>5.6600691147148829E-2</v>
      </c>
      <c r="AF204" s="172">
        <f>IFERROR(IRR(C235:AF235),"N/A")</f>
        <v>5.5866379034592351E-2</v>
      </c>
    </row>
    <row r="205" spans="2:32" x14ac:dyDescent="0.25">
      <c r="B205" s="136"/>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2:32" x14ac:dyDescent="0.25">
      <c r="B206" s="133">
        <v>1</v>
      </c>
      <c r="C206" s="143">
        <f>SIMULIMO!H187+SIMULIMO!H188</f>
        <v>-29476.831724446776</v>
      </c>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2:32" x14ac:dyDescent="0.25">
      <c r="B207" s="133">
        <v>2</v>
      </c>
      <c r="C207" s="1">
        <f>SIMULIMO!H188</f>
        <v>-24536.910904683275</v>
      </c>
      <c r="D207" s="143">
        <f>SIMULIMO!I187+SIMULIMO!I188</f>
        <v>1298.1614880224151</v>
      </c>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2:32" x14ac:dyDescent="0.25">
      <c r="B208" s="133">
        <v>3</v>
      </c>
      <c r="C208" s="1">
        <f>SIMULIMO!H188</f>
        <v>-24536.910904683275</v>
      </c>
      <c r="D208" s="1">
        <f>SIMULIMO!I188</f>
        <v>-4461.3829046832761</v>
      </c>
      <c r="E208" s="143">
        <f>SIMULIMO!J187+SIMULIMO!J188</f>
        <v>12215.165913287368</v>
      </c>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2:32" x14ac:dyDescent="0.25">
      <c r="B209" s="133">
        <v>4</v>
      </c>
      <c r="C209" s="1">
        <f>SIMULIMO!H188</f>
        <v>-24536.910904683275</v>
      </c>
      <c r="D209" s="1">
        <f>SIMULIMO!I188</f>
        <v>-4461.3829046832761</v>
      </c>
      <c r="E209" s="1">
        <f>SIMULIMO!J188</f>
        <v>-4385.0996246832738</v>
      </c>
      <c r="F209" s="143">
        <f>SIMULIMO!K187+SIMULIMO!K188</f>
        <v>23276.084411211254</v>
      </c>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2:32" x14ac:dyDescent="0.25">
      <c r="B210" s="133">
        <v>5</v>
      </c>
      <c r="C210" s="1">
        <f>SIMULIMO!H188</f>
        <v>-24536.910904683275</v>
      </c>
      <c r="D210" s="1">
        <f>SIMULIMO!I188</f>
        <v>-4461.3829046832761</v>
      </c>
      <c r="E210" s="1">
        <f>SIMULIMO!J188</f>
        <v>-4385.0996246832738</v>
      </c>
      <c r="F210" s="1">
        <f>SIMULIMO!K188</f>
        <v>-4308.0535118832759</v>
      </c>
      <c r="G210" s="143">
        <f>SIMULIMO!L187+SIMULIMO!L188</f>
        <v>34482.845672259966</v>
      </c>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2:32" x14ac:dyDescent="0.25">
      <c r="B211" s="133">
        <v>6</v>
      </c>
      <c r="C211" s="1">
        <f>SIMULIMO!H188</f>
        <v>-24536.910904683275</v>
      </c>
      <c r="D211" s="1">
        <f>SIMULIMO!I188</f>
        <v>-4461.3829046832761</v>
      </c>
      <c r="E211" s="1">
        <f>SIMULIMO!J188</f>
        <v>-4385.0996246832738</v>
      </c>
      <c r="F211" s="1">
        <f>SIMULIMO!K188</f>
        <v>-4308.0535118832759</v>
      </c>
      <c r="G211" s="1">
        <f>SIMULIMO!L188</f>
        <v>-4230.2369379552711</v>
      </c>
      <c r="H211" s="143">
        <f>SIMULIMO!M187+SIMULIMO!M188</f>
        <v>45837.404571649939</v>
      </c>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2:32" x14ac:dyDescent="0.25">
      <c r="B212" s="133">
        <v>7</v>
      </c>
      <c r="C212" s="1">
        <f>SIMULIMO!H188</f>
        <v>-24536.910904683275</v>
      </c>
      <c r="D212" s="1">
        <f>SIMULIMO!I188</f>
        <v>-4461.3829046832761</v>
      </c>
      <c r="E212" s="1">
        <f>SIMULIMO!J188</f>
        <v>-4385.0996246832738</v>
      </c>
      <c r="F212" s="1">
        <f>SIMULIMO!K188</f>
        <v>-4308.0535118832759</v>
      </c>
      <c r="G212" s="1">
        <f>SIMULIMO!L188</f>
        <v>-4230.2369379552711</v>
      </c>
      <c r="H212" s="1">
        <f>SIMULIMO!M188</f>
        <v>-4151.6421982879947</v>
      </c>
      <c r="I212" s="143">
        <f>SIMULIMO!N187+SIMULIMO!N188</f>
        <v>57341.742528387163</v>
      </c>
      <c r="J212" s="1"/>
      <c r="K212" s="1"/>
      <c r="L212" s="1"/>
      <c r="M212" s="1"/>
      <c r="N212" s="1"/>
      <c r="O212" s="1"/>
      <c r="P212" s="1"/>
      <c r="Q212" s="1"/>
      <c r="R212" s="1"/>
      <c r="S212" s="1"/>
      <c r="T212" s="1"/>
      <c r="U212" s="1"/>
      <c r="V212" s="1"/>
      <c r="W212" s="1"/>
      <c r="X212" s="1"/>
      <c r="Y212" s="1"/>
      <c r="Z212" s="1"/>
      <c r="AA212" s="1"/>
      <c r="AB212" s="1"/>
      <c r="AC212" s="1"/>
      <c r="AD212" s="1"/>
      <c r="AE212" s="1"/>
      <c r="AF212" s="1"/>
    </row>
    <row r="213" spans="2:32" x14ac:dyDescent="0.25">
      <c r="B213" s="133">
        <v>8</v>
      </c>
      <c r="C213" s="1">
        <f>SIMULIMO!H188</f>
        <v>-24536.910904683275</v>
      </c>
      <c r="D213" s="1">
        <f>SIMULIMO!I188</f>
        <v>-4461.3829046832761</v>
      </c>
      <c r="E213" s="1">
        <f>SIMULIMO!J188</f>
        <v>-4385.0996246832738</v>
      </c>
      <c r="F213" s="1">
        <f>SIMULIMO!K188</f>
        <v>-4308.0535118832759</v>
      </c>
      <c r="G213" s="1">
        <f>SIMULIMO!L188</f>
        <v>-4230.2369379552711</v>
      </c>
      <c r="H213" s="1">
        <f>SIMULIMO!M188</f>
        <v>-4151.6421982879947</v>
      </c>
      <c r="I213" s="1">
        <f>SIMULIMO!N188</f>
        <v>-4072.2615112240387</v>
      </c>
      <c r="J213" s="143">
        <f>SIMULIMO!O187+SIMULIMO!O188</f>
        <v>68997.867869267036</v>
      </c>
      <c r="K213" s="1"/>
      <c r="L213" s="1"/>
      <c r="M213" s="1"/>
      <c r="N213" s="1"/>
      <c r="O213" s="1"/>
      <c r="P213" s="1"/>
      <c r="Q213" s="1"/>
      <c r="R213" s="1"/>
      <c r="S213" s="1"/>
      <c r="T213" s="1"/>
      <c r="U213" s="1"/>
      <c r="V213" s="1"/>
      <c r="W213" s="1"/>
      <c r="X213" s="1"/>
      <c r="Y213" s="1"/>
      <c r="Z213" s="1"/>
      <c r="AA213" s="1"/>
      <c r="AB213" s="1"/>
      <c r="AC213" s="1"/>
      <c r="AD213" s="1"/>
      <c r="AE213" s="1"/>
      <c r="AF213" s="1"/>
    </row>
    <row r="214" spans="2:32" x14ac:dyDescent="0.25">
      <c r="B214" s="133">
        <v>9</v>
      </c>
      <c r="C214" s="1">
        <f>SIMULIMO!H188</f>
        <v>-24536.910904683275</v>
      </c>
      <c r="D214" s="1">
        <f>SIMULIMO!I188</f>
        <v>-4461.3829046832761</v>
      </c>
      <c r="E214" s="1">
        <f>SIMULIMO!J188</f>
        <v>-4385.0996246832738</v>
      </c>
      <c r="F214" s="1">
        <f>SIMULIMO!K188</f>
        <v>-4308.0535118832759</v>
      </c>
      <c r="G214" s="1">
        <f>SIMULIMO!L188</f>
        <v>-4230.2369379552711</v>
      </c>
      <c r="H214" s="1">
        <f>SIMULIMO!M188</f>
        <v>-4151.6421982879947</v>
      </c>
      <c r="I214" s="1">
        <f>SIMULIMO!N188</f>
        <v>-4072.2615112240387</v>
      </c>
      <c r="J214" s="1">
        <f>SIMULIMO!O188</f>
        <v>-3992.087017289452</v>
      </c>
      <c r="K214" s="143">
        <f>SIMULIMO!P187+SIMULIMO!P188</f>
        <v>80807.816197901629</v>
      </c>
      <c r="L214" s="1"/>
      <c r="M214" s="1"/>
      <c r="N214" s="1"/>
      <c r="O214" s="1"/>
      <c r="P214" s="1"/>
      <c r="Q214" s="1"/>
      <c r="R214" s="1"/>
      <c r="S214" s="1"/>
      <c r="T214" s="1"/>
      <c r="U214" s="1"/>
      <c r="V214" s="1"/>
      <c r="W214" s="1"/>
      <c r="X214" s="1"/>
      <c r="Y214" s="1"/>
      <c r="Z214" s="1"/>
      <c r="AA214" s="1"/>
      <c r="AB214" s="1"/>
      <c r="AC214" s="1"/>
      <c r="AD214" s="1"/>
      <c r="AE214" s="1"/>
      <c r="AF214" s="1"/>
    </row>
    <row r="215" spans="2:32" x14ac:dyDescent="0.25">
      <c r="B215" s="133">
        <v>10</v>
      </c>
      <c r="C215" s="1">
        <f>SIMULIMO!H188</f>
        <v>-24536.910904683275</v>
      </c>
      <c r="D215" s="1">
        <f>SIMULIMO!I188</f>
        <v>-4461.3829046832761</v>
      </c>
      <c r="E215" s="1">
        <f>SIMULIMO!J188</f>
        <v>-4385.0996246832738</v>
      </c>
      <c r="F215" s="1">
        <f>SIMULIMO!K188</f>
        <v>-4308.0535118832759</v>
      </c>
      <c r="G215" s="1">
        <f>SIMULIMO!L188</f>
        <v>-4230.2369379552711</v>
      </c>
      <c r="H215" s="1">
        <f>SIMULIMO!M188</f>
        <v>-4151.6421982879947</v>
      </c>
      <c r="I215" s="1">
        <f>SIMULIMO!N188</f>
        <v>-4072.2615112240387</v>
      </c>
      <c r="J215" s="1">
        <f>SIMULIMO!O188</f>
        <v>-3992.087017289452</v>
      </c>
      <c r="K215" s="1">
        <f>SIMULIMO!P188</f>
        <v>-3911.1107784155083</v>
      </c>
      <c r="L215" s="143">
        <f>SIMULIMO!Q187+SIMULIMO!Q188</f>
        <v>92773.650768846826</v>
      </c>
      <c r="M215" s="1"/>
      <c r="N215" s="1"/>
      <c r="O215" s="1"/>
      <c r="P215" s="1"/>
      <c r="Q215" s="1"/>
      <c r="R215" s="1"/>
      <c r="S215" s="1"/>
      <c r="T215" s="1"/>
      <c r="U215" s="1"/>
      <c r="V215" s="1"/>
      <c r="W215" s="1"/>
      <c r="X215" s="1"/>
      <c r="Y215" s="1"/>
      <c r="Z215" s="1"/>
      <c r="AA215" s="1"/>
      <c r="AB215" s="1"/>
      <c r="AC215" s="1"/>
      <c r="AD215" s="1"/>
      <c r="AE215" s="1"/>
      <c r="AF215" s="1"/>
    </row>
    <row r="216" spans="2:32" x14ac:dyDescent="0.25">
      <c r="B216" s="133">
        <v>11</v>
      </c>
      <c r="C216" s="1">
        <f>SIMULIMO!H188</f>
        <v>-24536.910904683275</v>
      </c>
      <c r="D216" s="1">
        <f>SIMULIMO!I188</f>
        <v>-4461.3829046832761</v>
      </c>
      <c r="E216" s="1">
        <f>SIMULIMO!J188</f>
        <v>-4385.0996246832738</v>
      </c>
      <c r="F216" s="1">
        <f>SIMULIMO!K188</f>
        <v>-4308.0535118832759</v>
      </c>
      <c r="G216" s="1">
        <f>SIMULIMO!L188</f>
        <v>-4230.2369379552711</v>
      </c>
      <c r="H216" s="1">
        <f>SIMULIMO!M188</f>
        <v>-4151.6421982879947</v>
      </c>
      <c r="I216" s="1">
        <f>SIMULIMO!N188</f>
        <v>-4072.2615112240387</v>
      </c>
      <c r="J216" s="1">
        <f>SIMULIMO!O188</f>
        <v>-3992.087017289452</v>
      </c>
      <c r="K216" s="1">
        <f>SIMULIMO!P188</f>
        <v>-3911.1107784155083</v>
      </c>
      <c r="L216" s="1">
        <f>SIMULIMO!Q188</f>
        <v>-3829.3247771528322</v>
      </c>
      <c r="M216" s="143">
        <f>SIMULIMO!R187+SIMULIMO!R188</f>
        <v>104897.46286689819</v>
      </c>
      <c r="N216" s="1"/>
      <c r="O216" s="1"/>
      <c r="P216" s="1"/>
      <c r="Q216" s="1"/>
      <c r="R216" s="1"/>
      <c r="S216" s="1"/>
      <c r="T216" s="1"/>
      <c r="U216" s="1"/>
      <c r="V216" s="1"/>
      <c r="W216" s="1"/>
      <c r="X216" s="1"/>
      <c r="Y216" s="1"/>
      <c r="Z216" s="1"/>
      <c r="AA216" s="1"/>
      <c r="AB216" s="1"/>
      <c r="AC216" s="1"/>
      <c r="AD216" s="1"/>
      <c r="AE216" s="1"/>
      <c r="AF216" s="1"/>
    </row>
    <row r="217" spans="2:32" x14ac:dyDescent="0.25">
      <c r="B217" s="133">
        <v>12</v>
      </c>
      <c r="C217" s="1">
        <f>SIMULIMO!H188</f>
        <v>-24536.910904683275</v>
      </c>
      <c r="D217" s="1">
        <f>SIMULIMO!I188</f>
        <v>-4461.3829046832761</v>
      </c>
      <c r="E217" s="1">
        <f>SIMULIMO!J188</f>
        <v>-4385.0996246832738</v>
      </c>
      <c r="F217" s="1">
        <f>SIMULIMO!K188</f>
        <v>-4308.0535118832759</v>
      </c>
      <c r="G217" s="1">
        <f>SIMULIMO!L188</f>
        <v>-4230.2369379552711</v>
      </c>
      <c r="H217" s="1">
        <f>SIMULIMO!M188</f>
        <v>-4151.6421982879947</v>
      </c>
      <c r="I217" s="1">
        <f>SIMULIMO!N188</f>
        <v>-4072.2615112240387</v>
      </c>
      <c r="J217" s="1">
        <f>SIMULIMO!O188</f>
        <v>-3992.087017289452</v>
      </c>
      <c r="K217" s="1">
        <f>SIMULIMO!P188</f>
        <v>-3911.1107784155083</v>
      </c>
      <c r="L217" s="1">
        <f>SIMULIMO!Q188</f>
        <v>-3829.3247771528322</v>
      </c>
      <c r="M217" s="1">
        <f>SIMULIMO!R188</f>
        <v>-3746.720915877529</v>
      </c>
      <c r="N217" s="143">
        <f>SIMULIMO!S187+SIMULIMO!S188</f>
        <v>117181.3721916283</v>
      </c>
      <c r="O217" s="1"/>
      <c r="P217" s="1"/>
      <c r="Q217" s="1"/>
      <c r="R217" s="1"/>
      <c r="S217" s="1"/>
      <c r="T217" s="1"/>
      <c r="U217" s="1"/>
      <c r="V217" s="1"/>
      <c r="W217" s="1"/>
      <c r="X217" s="1"/>
      <c r="Y217" s="1"/>
      <c r="Z217" s="1"/>
      <c r="AA217" s="1"/>
      <c r="AB217" s="1"/>
      <c r="AC217" s="1"/>
      <c r="AD217" s="1"/>
      <c r="AE217" s="1"/>
      <c r="AF217" s="1"/>
    </row>
    <row r="218" spans="2:32" x14ac:dyDescent="0.25">
      <c r="B218" s="133">
        <v>13</v>
      </c>
      <c r="C218" s="1">
        <f>SIMULIMO!H188</f>
        <v>-24536.910904683275</v>
      </c>
      <c r="D218" s="1">
        <f>SIMULIMO!I188</f>
        <v>-4461.3829046832761</v>
      </c>
      <c r="E218" s="1">
        <f>SIMULIMO!J188</f>
        <v>-4385.0996246832738</v>
      </c>
      <c r="F218" s="1">
        <f>SIMULIMO!K188</f>
        <v>-4308.0535118832759</v>
      </c>
      <c r="G218" s="1">
        <f>SIMULIMO!L188</f>
        <v>-4230.2369379552711</v>
      </c>
      <c r="H218" s="1">
        <f>SIMULIMO!M188</f>
        <v>-4151.6421982879947</v>
      </c>
      <c r="I218" s="1">
        <f>SIMULIMO!N188</f>
        <v>-4072.2615112240387</v>
      </c>
      <c r="J218" s="1">
        <f>SIMULIMO!O188</f>
        <v>-3992.087017289452</v>
      </c>
      <c r="K218" s="1">
        <f>SIMULIMO!P188</f>
        <v>-3911.1107784155083</v>
      </c>
      <c r="L218" s="1">
        <f>SIMULIMO!Q188</f>
        <v>-3829.3247771528322</v>
      </c>
      <c r="M218" s="1">
        <f>SIMULIMO!R188</f>
        <v>-3746.720915877529</v>
      </c>
      <c r="N218" s="1">
        <f>SIMULIMO!S188</f>
        <v>-3663.2910159894718</v>
      </c>
      <c r="O218" s="143">
        <f>SIMULIMO!T187+SIMULIMO!T188</f>
        <v>129627.52724723786</v>
      </c>
      <c r="P218" s="1"/>
      <c r="Q218" s="1"/>
      <c r="R218" s="1"/>
      <c r="S218" s="1"/>
      <c r="T218" s="1"/>
      <c r="U218" s="1"/>
      <c r="V218" s="1"/>
      <c r="W218" s="1"/>
      <c r="X218" s="1"/>
      <c r="Y218" s="1"/>
      <c r="Z218" s="1"/>
      <c r="AA218" s="1"/>
      <c r="AB218" s="1"/>
      <c r="AC218" s="1"/>
      <c r="AD218" s="1"/>
      <c r="AE218" s="1"/>
      <c r="AF218" s="1"/>
    </row>
    <row r="219" spans="2:32" x14ac:dyDescent="0.25">
      <c r="B219" s="133">
        <v>14</v>
      </c>
      <c r="C219" s="1">
        <f>SIMULIMO!H188</f>
        <v>-24536.910904683275</v>
      </c>
      <c r="D219" s="1">
        <f>SIMULIMO!I188</f>
        <v>-4461.3829046832761</v>
      </c>
      <c r="E219" s="1">
        <f>SIMULIMO!J188</f>
        <v>-4385.0996246832738</v>
      </c>
      <c r="F219" s="1">
        <f>SIMULIMO!K188</f>
        <v>-4308.0535118832759</v>
      </c>
      <c r="G219" s="1">
        <f>SIMULIMO!L188</f>
        <v>-4230.2369379552711</v>
      </c>
      <c r="H219" s="1">
        <f>SIMULIMO!M188</f>
        <v>-4151.6421982879947</v>
      </c>
      <c r="I219" s="1">
        <f>SIMULIMO!N188</f>
        <v>-4072.2615112240387</v>
      </c>
      <c r="J219" s="1">
        <f>SIMULIMO!O188</f>
        <v>-3992.087017289452</v>
      </c>
      <c r="K219" s="1">
        <f>SIMULIMO!P188</f>
        <v>-3911.1107784155083</v>
      </c>
      <c r="L219" s="1">
        <f>SIMULIMO!Q188</f>
        <v>-3829.3247771528322</v>
      </c>
      <c r="M219" s="1">
        <f>SIMULIMO!R188</f>
        <v>-3746.720915877529</v>
      </c>
      <c r="N219" s="1">
        <f>SIMULIMO!S188</f>
        <v>-3663.2910159894718</v>
      </c>
      <c r="O219" s="1">
        <f>SIMULIMO!T188</f>
        <v>-3579.0268171025355</v>
      </c>
      <c r="P219" s="143">
        <f>SIMULIMO!U187+SIMULIMO!U188</f>
        <v>142238.10573779515</v>
      </c>
      <c r="Q219" s="1"/>
      <c r="R219" s="1"/>
      <c r="S219" s="1"/>
      <c r="T219" s="1"/>
      <c r="U219" s="1"/>
      <c r="V219" s="1"/>
      <c r="W219" s="1"/>
      <c r="X219" s="1"/>
      <c r="Y219" s="1"/>
      <c r="Z219" s="1"/>
      <c r="AA219" s="1"/>
      <c r="AB219" s="1"/>
      <c r="AC219" s="1"/>
      <c r="AD219" s="1"/>
      <c r="AE219" s="1"/>
      <c r="AF219" s="1"/>
    </row>
    <row r="220" spans="2:32" x14ac:dyDescent="0.25">
      <c r="B220" s="133">
        <v>15</v>
      </c>
      <c r="C220" s="1">
        <f>SIMULIMO!H188</f>
        <v>-24536.910904683275</v>
      </c>
      <c r="D220" s="1">
        <f>SIMULIMO!I188</f>
        <v>-4461.3829046832761</v>
      </c>
      <c r="E220" s="1">
        <f>SIMULIMO!J188</f>
        <v>-4385.0996246832738</v>
      </c>
      <c r="F220" s="1">
        <f>SIMULIMO!K188</f>
        <v>-4308.0535118832759</v>
      </c>
      <c r="G220" s="1">
        <f>SIMULIMO!L188</f>
        <v>-4230.2369379552711</v>
      </c>
      <c r="H220" s="1">
        <f>SIMULIMO!M188</f>
        <v>-4151.6421982879947</v>
      </c>
      <c r="I220" s="1">
        <f>SIMULIMO!N188</f>
        <v>-4072.2615112240387</v>
      </c>
      <c r="J220" s="1">
        <f>SIMULIMO!O188</f>
        <v>-3992.087017289452</v>
      </c>
      <c r="K220" s="1">
        <f>SIMULIMO!P188</f>
        <v>-3911.1107784155083</v>
      </c>
      <c r="L220" s="1">
        <f>SIMULIMO!Q188</f>
        <v>-3829.3247771528322</v>
      </c>
      <c r="M220" s="1">
        <f>SIMULIMO!R188</f>
        <v>-3746.720915877529</v>
      </c>
      <c r="N220" s="1">
        <f>SIMULIMO!S188</f>
        <v>-3663.2910159894718</v>
      </c>
      <c r="O220" s="1">
        <f>SIMULIMO!T188</f>
        <v>-3579.0268171025355</v>
      </c>
      <c r="P220" s="1">
        <f>SIMULIMO!U188</f>
        <v>-3493.9199762267249</v>
      </c>
      <c r="Q220" s="143">
        <f>SIMULIMO!V187+SIMULIMO!V188</f>
        <v>155015.31496793774</v>
      </c>
      <c r="R220" s="1"/>
      <c r="S220" s="1"/>
      <c r="T220" s="1"/>
      <c r="U220" s="1"/>
      <c r="V220" s="1"/>
      <c r="W220" s="1"/>
      <c r="X220" s="1"/>
      <c r="Y220" s="1"/>
      <c r="Z220" s="1"/>
      <c r="AA220" s="1"/>
      <c r="AB220" s="1"/>
      <c r="AC220" s="1"/>
      <c r="AD220" s="1"/>
      <c r="AE220" s="1"/>
      <c r="AF220" s="1"/>
    </row>
    <row r="221" spans="2:32" x14ac:dyDescent="0.25">
      <c r="B221" s="133">
        <v>16</v>
      </c>
      <c r="C221" s="1">
        <f>SIMULIMO!H188</f>
        <v>-24536.910904683275</v>
      </c>
      <c r="D221" s="1">
        <f>SIMULIMO!I188</f>
        <v>-4461.3829046832761</v>
      </c>
      <c r="E221" s="1">
        <f>SIMULIMO!J188</f>
        <v>-4385.0996246832738</v>
      </c>
      <c r="F221" s="1">
        <f>SIMULIMO!K188</f>
        <v>-4308.0535118832759</v>
      </c>
      <c r="G221" s="1">
        <f>SIMULIMO!L188</f>
        <v>-4230.2369379552711</v>
      </c>
      <c r="H221" s="1">
        <f>SIMULIMO!M188</f>
        <v>-4151.6421982879947</v>
      </c>
      <c r="I221" s="1">
        <f>SIMULIMO!N188</f>
        <v>-4072.2615112240387</v>
      </c>
      <c r="J221" s="1">
        <f>SIMULIMO!O188</f>
        <v>-3992.087017289452</v>
      </c>
      <c r="K221" s="1">
        <f>SIMULIMO!P188</f>
        <v>-3911.1107784155083</v>
      </c>
      <c r="L221" s="1">
        <f>SIMULIMO!Q188</f>
        <v>-3829.3247771528322</v>
      </c>
      <c r="M221" s="1">
        <f>SIMULIMO!R188</f>
        <v>-3746.720915877529</v>
      </c>
      <c r="N221" s="1">
        <f>SIMULIMO!S188</f>
        <v>-3663.2910159894718</v>
      </c>
      <c r="O221" s="1">
        <f>SIMULIMO!T188</f>
        <v>-3579.0268171025355</v>
      </c>
      <c r="P221" s="1">
        <f>SIMULIMO!U188</f>
        <v>-3493.9199762267249</v>
      </c>
      <c r="Q221" s="1">
        <f>SIMULIMO!V188</f>
        <v>-3407.9620669421588</v>
      </c>
      <c r="R221" s="143">
        <f>SIMULIMO!W187+SIMULIMO!W188</f>
        <v>167921.73538121834</v>
      </c>
      <c r="S221" s="144"/>
      <c r="T221" s="1"/>
      <c r="U221" s="1"/>
      <c r="V221" s="1"/>
      <c r="W221" s="1"/>
      <c r="X221" s="1"/>
      <c r="Y221" s="1"/>
      <c r="Z221" s="1"/>
      <c r="AA221" s="1"/>
      <c r="AB221" s="1"/>
      <c r="AC221" s="1"/>
      <c r="AD221" s="1"/>
      <c r="AE221" s="1"/>
      <c r="AF221" s="1"/>
    </row>
    <row r="222" spans="2:32" x14ac:dyDescent="0.25">
      <c r="B222" s="133">
        <v>17</v>
      </c>
      <c r="C222" s="1">
        <f>SIMULIMO!H188</f>
        <v>-24536.910904683275</v>
      </c>
      <c r="D222" s="1">
        <f>SIMULIMO!I188</f>
        <v>-4461.3829046832761</v>
      </c>
      <c r="E222" s="1">
        <f>SIMULIMO!J188</f>
        <v>-4385.0996246832738</v>
      </c>
      <c r="F222" s="1">
        <f>SIMULIMO!K188</f>
        <v>-4308.0535118832759</v>
      </c>
      <c r="G222" s="1">
        <f>SIMULIMO!L188</f>
        <v>-4230.2369379552711</v>
      </c>
      <c r="H222" s="1">
        <f>SIMULIMO!M188</f>
        <v>-4151.6421982879947</v>
      </c>
      <c r="I222" s="1">
        <f>SIMULIMO!N188</f>
        <v>-4072.2615112240387</v>
      </c>
      <c r="J222" s="1">
        <f>SIMULIMO!O188</f>
        <v>-3992.087017289452</v>
      </c>
      <c r="K222" s="1">
        <f>SIMULIMO!P188</f>
        <v>-3911.1107784155083</v>
      </c>
      <c r="L222" s="1">
        <f>SIMULIMO!Q188</f>
        <v>-3829.3247771528322</v>
      </c>
      <c r="M222" s="1">
        <f>SIMULIMO!R188</f>
        <v>-3746.720915877529</v>
      </c>
      <c r="N222" s="1">
        <f>SIMULIMO!S188</f>
        <v>-3663.2910159894718</v>
      </c>
      <c r="O222" s="1">
        <f>SIMULIMO!T188</f>
        <v>-3579.0268171025355</v>
      </c>
      <c r="P222" s="1">
        <f>SIMULIMO!U188</f>
        <v>-3493.9199762267249</v>
      </c>
      <c r="Q222" s="1">
        <f>SIMULIMO!V188</f>
        <v>-3407.9620669421588</v>
      </c>
      <c r="R222" s="1">
        <f>SIMULIMO!W188</f>
        <v>-3321.144578564747</v>
      </c>
      <c r="S222" s="143">
        <f>SIMULIMO!X187+SIMULIMO!X188</f>
        <v>180526.19547845703</v>
      </c>
      <c r="T222" s="1"/>
      <c r="U222" s="1"/>
      <c r="V222" s="1"/>
      <c r="W222" s="1"/>
      <c r="X222" s="1"/>
      <c r="Y222" s="1"/>
      <c r="Z222" s="1"/>
      <c r="AA222" s="1"/>
      <c r="AB222" s="1"/>
      <c r="AC222" s="1"/>
      <c r="AD222" s="1"/>
      <c r="AE222" s="1"/>
      <c r="AF222" s="1"/>
    </row>
    <row r="223" spans="2:32" x14ac:dyDescent="0.25">
      <c r="B223" s="133">
        <v>18</v>
      </c>
      <c r="C223" s="1">
        <f>SIMULIMO!H188</f>
        <v>-24536.910904683275</v>
      </c>
      <c r="D223" s="1">
        <f>SIMULIMO!I188</f>
        <v>-4461.3829046832761</v>
      </c>
      <c r="E223" s="1">
        <f>SIMULIMO!J188</f>
        <v>-4385.0996246832738</v>
      </c>
      <c r="F223" s="1">
        <f>SIMULIMO!K188</f>
        <v>-4308.0535118832759</v>
      </c>
      <c r="G223" s="1">
        <f>SIMULIMO!L188</f>
        <v>-4230.2369379552711</v>
      </c>
      <c r="H223" s="1">
        <f>SIMULIMO!M188</f>
        <v>-4151.6421982879947</v>
      </c>
      <c r="I223" s="1">
        <f>SIMULIMO!N188</f>
        <v>-4072.2615112240387</v>
      </c>
      <c r="J223" s="1">
        <f>SIMULIMO!O188</f>
        <v>-3992.087017289452</v>
      </c>
      <c r="K223" s="1">
        <f>SIMULIMO!P188</f>
        <v>-3911.1107784155083</v>
      </c>
      <c r="L223" s="1">
        <f>SIMULIMO!Q188</f>
        <v>-3829.3247771528322</v>
      </c>
      <c r="M223" s="1">
        <f>SIMULIMO!R188</f>
        <v>-3746.720915877529</v>
      </c>
      <c r="N223" s="1">
        <f>SIMULIMO!S188</f>
        <v>-3663.2910159894718</v>
      </c>
      <c r="O223" s="1">
        <f>SIMULIMO!T188</f>
        <v>-3579.0268171025355</v>
      </c>
      <c r="P223" s="1">
        <f>SIMULIMO!U188</f>
        <v>-3493.9199762267249</v>
      </c>
      <c r="Q223" s="1">
        <f>SIMULIMO!V188</f>
        <v>-3407.9620669421588</v>
      </c>
      <c r="R223" s="1">
        <f>SIMULIMO!W188</f>
        <v>-3321.144578564747</v>
      </c>
      <c r="S223" s="1">
        <f>SIMULIMO!X188</f>
        <v>-3233.4589153035622</v>
      </c>
      <c r="T223" s="143">
        <f>SIMULIMO!Y187+SIMULIMO!Y188</f>
        <v>193376.11669445891</v>
      </c>
      <c r="U223" s="1"/>
      <c r="V223" s="1"/>
      <c r="W223" s="1"/>
      <c r="X223" s="1"/>
      <c r="Y223" s="1"/>
      <c r="Z223" s="1"/>
      <c r="AA223" s="1"/>
      <c r="AB223" s="1"/>
      <c r="AC223" s="1"/>
      <c r="AD223" s="1"/>
      <c r="AE223" s="1"/>
      <c r="AF223" s="1"/>
    </row>
    <row r="224" spans="2:32" x14ac:dyDescent="0.25">
      <c r="B224" s="133">
        <v>19</v>
      </c>
      <c r="C224" s="1">
        <f>SIMULIMO!H188</f>
        <v>-24536.910904683275</v>
      </c>
      <c r="D224" s="1">
        <f>SIMULIMO!I188</f>
        <v>-4461.3829046832761</v>
      </c>
      <c r="E224" s="1">
        <f>SIMULIMO!J188</f>
        <v>-4385.0996246832738</v>
      </c>
      <c r="F224" s="1">
        <f>SIMULIMO!K188</f>
        <v>-4308.0535118832759</v>
      </c>
      <c r="G224" s="1">
        <f>SIMULIMO!L188</f>
        <v>-4230.2369379552711</v>
      </c>
      <c r="H224" s="1">
        <f>SIMULIMO!M188</f>
        <v>-4151.6421982879947</v>
      </c>
      <c r="I224" s="1">
        <f>SIMULIMO!N188</f>
        <v>-4072.2615112240387</v>
      </c>
      <c r="J224" s="1">
        <f>SIMULIMO!O188</f>
        <v>-3992.087017289452</v>
      </c>
      <c r="K224" s="1">
        <f>SIMULIMO!P188</f>
        <v>-3911.1107784155083</v>
      </c>
      <c r="L224" s="1">
        <f>SIMULIMO!Q188</f>
        <v>-3829.3247771528322</v>
      </c>
      <c r="M224" s="1">
        <f>SIMULIMO!R188</f>
        <v>-3746.720915877529</v>
      </c>
      <c r="N224" s="1">
        <f>SIMULIMO!S188</f>
        <v>-3663.2910159894718</v>
      </c>
      <c r="O224" s="1">
        <f>SIMULIMO!T188</f>
        <v>-3579.0268171025355</v>
      </c>
      <c r="P224" s="1">
        <f>SIMULIMO!U188</f>
        <v>-3493.9199762267249</v>
      </c>
      <c r="Q224" s="1">
        <f>SIMULIMO!V188</f>
        <v>-3407.9620669421588</v>
      </c>
      <c r="R224" s="1">
        <f>SIMULIMO!W188</f>
        <v>-3321.144578564747</v>
      </c>
      <c r="S224" s="1">
        <f>SIMULIMO!X188</f>
        <v>-3233.4589153035622</v>
      </c>
      <c r="T224" s="1">
        <f>SIMULIMO!Y188</f>
        <v>-3144.8963954097662</v>
      </c>
      <c r="U224" s="143">
        <f>SIMULIMO!Z187+SIMULIMO!Z188</f>
        <v>206474.93695171591</v>
      </c>
      <c r="V224" s="1"/>
      <c r="W224" s="1"/>
      <c r="X224" s="1"/>
      <c r="Y224" s="1"/>
      <c r="Z224" s="1"/>
      <c r="AA224" s="1"/>
      <c r="AB224" s="1"/>
      <c r="AC224" s="1"/>
      <c r="AD224" s="1"/>
      <c r="AE224" s="1"/>
      <c r="AF224" s="1"/>
    </row>
    <row r="225" spans="2:32" x14ac:dyDescent="0.25">
      <c r="B225" s="133">
        <v>20</v>
      </c>
      <c r="C225" s="1">
        <f>SIMULIMO!H188</f>
        <v>-24536.910904683275</v>
      </c>
      <c r="D225" s="1">
        <f>SIMULIMO!I188</f>
        <v>-4461.3829046832761</v>
      </c>
      <c r="E225" s="1">
        <f>SIMULIMO!J188</f>
        <v>-4385.0996246832738</v>
      </c>
      <c r="F225" s="1">
        <f>SIMULIMO!K188</f>
        <v>-4308.0535118832759</v>
      </c>
      <c r="G225" s="1">
        <f>SIMULIMO!L188</f>
        <v>-4230.2369379552711</v>
      </c>
      <c r="H225" s="1">
        <f>SIMULIMO!M188</f>
        <v>-4151.6421982879947</v>
      </c>
      <c r="I225" s="1">
        <f>SIMULIMO!N188</f>
        <v>-4072.2615112240387</v>
      </c>
      <c r="J225" s="1">
        <f>SIMULIMO!O188</f>
        <v>-3992.087017289452</v>
      </c>
      <c r="K225" s="1">
        <f>SIMULIMO!P188</f>
        <v>-3911.1107784155083</v>
      </c>
      <c r="L225" s="1">
        <f>SIMULIMO!Q188</f>
        <v>-3829.3247771528322</v>
      </c>
      <c r="M225" s="1">
        <f>SIMULIMO!R188</f>
        <v>-3746.720915877529</v>
      </c>
      <c r="N225" s="1">
        <f>SIMULIMO!S188</f>
        <v>-3663.2910159894718</v>
      </c>
      <c r="O225" s="1">
        <f>SIMULIMO!T188</f>
        <v>-3579.0268171025355</v>
      </c>
      <c r="P225" s="1">
        <f>SIMULIMO!U188</f>
        <v>-3493.9199762267249</v>
      </c>
      <c r="Q225" s="1">
        <f>SIMULIMO!V188</f>
        <v>-3407.9620669421588</v>
      </c>
      <c r="R225" s="1">
        <f>SIMULIMO!W188</f>
        <v>-3321.144578564747</v>
      </c>
      <c r="S225" s="1">
        <f>SIMULIMO!X188</f>
        <v>-3233.4589153035622</v>
      </c>
      <c r="T225" s="1">
        <f>SIMULIMO!Y188</f>
        <v>-3144.8963954097662</v>
      </c>
      <c r="U225" s="1">
        <f>SIMULIMO!Z188</f>
        <v>-3055.4482503170275</v>
      </c>
      <c r="V225" s="143">
        <f>SIMULIMO!AA187+SIMULIMO!AA188</f>
        <v>219826.14082069046</v>
      </c>
      <c r="W225" s="1"/>
      <c r="X225" s="1"/>
      <c r="Y225" s="1"/>
      <c r="Z225" s="1"/>
      <c r="AA225" s="1"/>
      <c r="AB225" s="1"/>
      <c r="AC225" s="1"/>
      <c r="AD225" s="1"/>
      <c r="AE225" s="1"/>
      <c r="AF225" s="1"/>
    </row>
    <row r="226" spans="2:32" x14ac:dyDescent="0.25">
      <c r="B226" s="133">
        <v>21</v>
      </c>
      <c r="C226" s="1">
        <f>SIMULIMO!H188</f>
        <v>-24536.910904683275</v>
      </c>
      <c r="D226" s="1">
        <f>SIMULIMO!I188</f>
        <v>-4461.3829046832761</v>
      </c>
      <c r="E226" s="1">
        <f>SIMULIMO!J188</f>
        <v>-4385.0996246832738</v>
      </c>
      <c r="F226" s="1">
        <f>SIMULIMO!K188</f>
        <v>-4308.0535118832759</v>
      </c>
      <c r="G226" s="1">
        <f>SIMULIMO!L188</f>
        <v>-4230.2369379552711</v>
      </c>
      <c r="H226" s="1">
        <f>SIMULIMO!M188</f>
        <v>-4151.6421982879947</v>
      </c>
      <c r="I226" s="1">
        <f>SIMULIMO!N188</f>
        <v>-4072.2615112240387</v>
      </c>
      <c r="J226" s="1">
        <f>SIMULIMO!O188</f>
        <v>-3992.087017289452</v>
      </c>
      <c r="K226" s="1">
        <f>SIMULIMO!P188</f>
        <v>-3911.1107784155083</v>
      </c>
      <c r="L226" s="1">
        <f>SIMULIMO!Q188</f>
        <v>-3829.3247771528322</v>
      </c>
      <c r="M226" s="1">
        <f>SIMULIMO!R188</f>
        <v>-3746.720915877529</v>
      </c>
      <c r="N226" s="1">
        <f>SIMULIMO!S188</f>
        <v>-3663.2910159894718</v>
      </c>
      <c r="O226" s="1">
        <f>SIMULIMO!T188</f>
        <v>-3579.0268171025355</v>
      </c>
      <c r="P226" s="1">
        <f>SIMULIMO!U188</f>
        <v>-3493.9199762267249</v>
      </c>
      <c r="Q226" s="1">
        <f>SIMULIMO!V188</f>
        <v>-3407.9620669421588</v>
      </c>
      <c r="R226" s="1">
        <f>SIMULIMO!W188</f>
        <v>-3321.144578564747</v>
      </c>
      <c r="S226" s="1">
        <f>SIMULIMO!X188</f>
        <v>-3233.4589153035622</v>
      </c>
      <c r="T226" s="1">
        <f>SIMULIMO!Y188</f>
        <v>-3144.8963954097662</v>
      </c>
      <c r="U226" s="1">
        <f>SIMULIMO!Z188</f>
        <v>-3055.4482503170275</v>
      </c>
      <c r="V226" s="1">
        <f>SIMULIMO!AA188</f>
        <v>-2965.1056237733674</v>
      </c>
      <c r="W226" s="143">
        <f>SIMULIMO!AB187+SIMULIMO!AB188</f>
        <v>233433.26014330066</v>
      </c>
      <c r="X226" s="1"/>
      <c r="Y226" s="1"/>
      <c r="Z226" s="1"/>
      <c r="AA226" s="1"/>
      <c r="AB226" s="1"/>
      <c r="AC226" s="1"/>
      <c r="AD226" s="1"/>
      <c r="AE226" s="1"/>
      <c r="AF226" s="1"/>
    </row>
    <row r="227" spans="2:32" x14ac:dyDescent="0.25">
      <c r="B227" s="133">
        <v>22</v>
      </c>
      <c r="C227" s="1">
        <f>SIMULIMO!H188</f>
        <v>-24536.910904683275</v>
      </c>
      <c r="D227" s="1">
        <f>SIMULIMO!I188</f>
        <v>-4461.3829046832761</v>
      </c>
      <c r="E227" s="1">
        <f>SIMULIMO!J188</f>
        <v>-4385.0996246832738</v>
      </c>
      <c r="F227" s="1">
        <f>SIMULIMO!K188</f>
        <v>-4308.0535118832759</v>
      </c>
      <c r="G227" s="1">
        <f>SIMULIMO!L188</f>
        <v>-4230.2369379552711</v>
      </c>
      <c r="H227" s="1">
        <f>SIMULIMO!M188</f>
        <v>-4151.6421982879947</v>
      </c>
      <c r="I227" s="1">
        <f>SIMULIMO!N188</f>
        <v>-4072.2615112240387</v>
      </c>
      <c r="J227" s="1">
        <f>SIMULIMO!O188</f>
        <v>-3992.087017289452</v>
      </c>
      <c r="K227" s="1">
        <f>SIMULIMO!P188</f>
        <v>-3911.1107784155083</v>
      </c>
      <c r="L227" s="1">
        <f>SIMULIMO!Q188</f>
        <v>-3829.3247771528322</v>
      </c>
      <c r="M227" s="1">
        <f>SIMULIMO!R188</f>
        <v>-3746.720915877529</v>
      </c>
      <c r="N227" s="1">
        <f>SIMULIMO!S188</f>
        <v>-3663.2910159894718</v>
      </c>
      <c r="O227" s="1">
        <f>SIMULIMO!T188</f>
        <v>-3579.0268171025355</v>
      </c>
      <c r="P227" s="1">
        <f>SIMULIMO!U188</f>
        <v>-3493.9199762267249</v>
      </c>
      <c r="Q227" s="1">
        <f>SIMULIMO!V188</f>
        <v>-3407.9620669421588</v>
      </c>
      <c r="R227" s="1">
        <f>SIMULIMO!W188</f>
        <v>-3321.144578564747</v>
      </c>
      <c r="S227" s="1">
        <f>SIMULIMO!X188</f>
        <v>-3233.4589153035622</v>
      </c>
      <c r="T227" s="1">
        <f>SIMULIMO!Y188</f>
        <v>-3144.8963954097662</v>
      </c>
      <c r="U227" s="1">
        <f>SIMULIMO!Z188</f>
        <v>-3055.4482503170275</v>
      </c>
      <c r="V227" s="1">
        <f>SIMULIMO!AA188</f>
        <v>-2965.1056237733674</v>
      </c>
      <c r="W227" s="1">
        <f>SIMULIMO!AB188</f>
        <v>-2873.8595709642718</v>
      </c>
      <c r="X227" s="143">
        <f>SIMULIMO!AC187+SIMULIMO!AC188</f>
        <v>247167.39360327189</v>
      </c>
      <c r="Y227" s="1"/>
      <c r="Z227" s="1"/>
      <c r="AA227" s="1"/>
      <c r="AB227" s="1"/>
      <c r="AC227" s="1"/>
      <c r="AD227" s="1"/>
      <c r="AE227" s="1"/>
      <c r="AF227" s="1"/>
    </row>
    <row r="228" spans="2:32" x14ac:dyDescent="0.25">
      <c r="B228" s="133">
        <v>23</v>
      </c>
      <c r="C228" s="1">
        <f>SIMULIMO!H188</f>
        <v>-24536.910904683275</v>
      </c>
      <c r="D228" s="1">
        <f>SIMULIMO!I188</f>
        <v>-4461.3829046832761</v>
      </c>
      <c r="E228" s="1">
        <f>SIMULIMO!J188</f>
        <v>-4385.0996246832738</v>
      </c>
      <c r="F228" s="1">
        <f>SIMULIMO!K188</f>
        <v>-4308.0535118832759</v>
      </c>
      <c r="G228" s="1">
        <f>SIMULIMO!L188</f>
        <v>-4230.2369379552711</v>
      </c>
      <c r="H228" s="1">
        <f>SIMULIMO!M188</f>
        <v>-4151.6421982879947</v>
      </c>
      <c r="I228" s="1">
        <f>SIMULIMO!N188</f>
        <v>-4072.2615112240387</v>
      </c>
      <c r="J228" s="1">
        <f>SIMULIMO!O188</f>
        <v>-3992.087017289452</v>
      </c>
      <c r="K228" s="1">
        <f>SIMULIMO!P188</f>
        <v>-3911.1107784155083</v>
      </c>
      <c r="L228" s="1">
        <f>SIMULIMO!Q188</f>
        <v>-3829.3247771528322</v>
      </c>
      <c r="M228" s="1">
        <f>SIMULIMO!R188</f>
        <v>-3746.720915877529</v>
      </c>
      <c r="N228" s="1">
        <f>SIMULIMO!S188</f>
        <v>-3663.2910159894718</v>
      </c>
      <c r="O228" s="1">
        <f>SIMULIMO!T188</f>
        <v>-3579.0268171025355</v>
      </c>
      <c r="P228" s="1">
        <f>SIMULIMO!U188</f>
        <v>-3493.9199762267249</v>
      </c>
      <c r="Q228" s="1">
        <f>SIMULIMO!V188</f>
        <v>-3407.9620669421588</v>
      </c>
      <c r="R228" s="1">
        <f>SIMULIMO!W188</f>
        <v>-3321.144578564747</v>
      </c>
      <c r="S228" s="1">
        <f>SIMULIMO!X188</f>
        <v>-3233.4589153035622</v>
      </c>
      <c r="T228" s="1">
        <f>SIMULIMO!Y188</f>
        <v>-3144.8963954097662</v>
      </c>
      <c r="U228" s="1">
        <f>SIMULIMO!Z188</f>
        <v>-3055.4482503170275</v>
      </c>
      <c r="V228" s="1">
        <f>SIMULIMO!AA188</f>
        <v>-2965.1056237733674</v>
      </c>
      <c r="W228" s="1">
        <f>SIMULIMO!AB188</f>
        <v>-2873.8595709642718</v>
      </c>
      <c r="X228" s="1">
        <f>SIMULIMO!AC188</f>
        <v>-2848.9569779220446</v>
      </c>
      <c r="Y228" s="143">
        <f>SIMULIMO!AD187+SIMULIMO!AD188</f>
        <v>261099.95020538912</v>
      </c>
      <c r="Z228" s="1"/>
      <c r="AA228" s="1"/>
      <c r="AB228" s="1"/>
      <c r="AC228" s="1"/>
      <c r="AD228" s="1"/>
      <c r="AE228" s="1"/>
      <c r="AF228" s="1"/>
    </row>
    <row r="229" spans="2:32" x14ac:dyDescent="0.25">
      <c r="B229" s="133">
        <v>24</v>
      </c>
      <c r="C229" s="1">
        <f>SIMULIMO!H188</f>
        <v>-24536.910904683275</v>
      </c>
      <c r="D229" s="1">
        <f>SIMULIMO!I188</f>
        <v>-4461.3829046832761</v>
      </c>
      <c r="E229" s="1">
        <f>SIMULIMO!J188</f>
        <v>-4385.0996246832738</v>
      </c>
      <c r="F229" s="1">
        <f>SIMULIMO!K188</f>
        <v>-4308.0535118832759</v>
      </c>
      <c r="G229" s="1">
        <f>SIMULIMO!L188</f>
        <v>-4230.2369379552711</v>
      </c>
      <c r="H229" s="1">
        <f>SIMULIMO!M188</f>
        <v>-4151.6421982879947</v>
      </c>
      <c r="I229" s="1">
        <f>SIMULIMO!N188</f>
        <v>-4072.2615112240387</v>
      </c>
      <c r="J229" s="1">
        <f>SIMULIMO!O188</f>
        <v>-3992.087017289452</v>
      </c>
      <c r="K229" s="1">
        <f>SIMULIMO!P188</f>
        <v>-3911.1107784155083</v>
      </c>
      <c r="L229" s="1">
        <f>SIMULIMO!Q188</f>
        <v>-3829.3247771528322</v>
      </c>
      <c r="M229" s="1">
        <f>SIMULIMO!R188</f>
        <v>-3746.720915877529</v>
      </c>
      <c r="N229" s="1">
        <f>SIMULIMO!S188</f>
        <v>-3663.2910159894718</v>
      </c>
      <c r="O229" s="1">
        <f>SIMULIMO!T188</f>
        <v>-3579.0268171025355</v>
      </c>
      <c r="P229" s="1">
        <f>SIMULIMO!U188</f>
        <v>-3493.9199762267249</v>
      </c>
      <c r="Q229" s="1">
        <f>SIMULIMO!V188</f>
        <v>-3407.9620669421588</v>
      </c>
      <c r="R229" s="1">
        <f>SIMULIMO!W188</f>
        <v>-3321.144578564747</v>
      </c>
      <c r="S229" s="1">
        <f>SIMULIMO!X188</f>
        <v>-3233.4589153035622</v>
      </c>
      <c r="T229" s="1">
        <f>SIMULIMO!Y188</f>
        <v>-3144.8963954097662</v>
      </c>
      <c r="U229" s="1">
        <f>SIMULIMO!Z188</f>
        <v>-3055.4482503170275</v>
      </c>
      <c r="V229" s="1">
        <f>SIMULIMO!AA188</f>
        <v>-2965.1056237733674</v>
      </c>
      <c r="W229" s="1">
        <f>SIMULIMO!AB188</f>
        <v>-2873.8595709642718</v>
      </c>
      <c r="X229" s="1">
        <f>SIMULIMO!AC188</f>
        <v>-2848.9569779220446</v>
      </c>
      <c r="Y229" s="1">
        <f>SIMULIMO!AD188</f>
        <v>-2966.3354524738966</v>
      </c>
      <c r="Z229" s="143">
        <f>SIMULIMO!AE187+SIMULIMO!AE188</f>
        <v>275300.40681087668</v>
      </c>
      <c r="AA229" s="1"/>
      <c r="AB229" s="1"/>
      <c r="AC229" s="1"/>
      <c r="AD229" s="1"/>
      <c r="AE229" s="1"/>
      <c r="AF229" s="1"/>
    </row>
    <row r="230" spans="2:32" x14ac:dyDescent="0.25">
      <c r="B230" s="133">
        <v>25</v>
      </c>
      <c r="C230" s="1">
        <f>SIMULIMO!H188</f>
        <v>-24536.910904683275</v>
      </c>
      <c r="D230" s="1">
        <f>SIMULIMO!I188</f>
        <v>-4461.3829046832761</v>
      </c>
      <c r="E230" s="1">
        <f>SIMULIMO!J188</f>
        <v>-4385.0996246832738</v>
      </c>
      <c r="F230" s="1">
        <f>SIMULIMO!K188</f>
        <v>-4308.0535118832759</v>
      </c>
      <c r="G230" s="1">
        <f>SIMULIMO!L188</f>
        <v>-4230.2369379552711</v>
      </c>
      <c r="H230" s="1">
        <f>SIMULIMO!M188</f>
        <v>-4151.6421982879947</v>
      </c>
      <c r="I230" s="1">
        <f>SIMULIMO!N188</f>
        <v>-4072.2615112240387</v>
      </c>
      <c r="J230" s="1">
        <f>SIMULIMO!O188</f>
        <v>-3992.087017289452</v>
      </c>
      <c r="K230" s="1">
        <f>SIMULIMO!P188</f>
        <v>-3911.1107784155083</v>
      </c>
      <c r="L230" s="1">
        <f>SIMULIMO!Q188</f>
        <v>-3829.3247771528322</v>
      </c>
      <c r="M230" s="1">
        <f>SIMULIMO!R188</f>
        <v>-3746.720915877529</v>
      </c>
      <c r="N230" s="1">
        <f>SIMULIMO!S188</f>
        <v>-3663.2910159894718</v>
      </c>
      <c r="O230" s="1">
        <f>SIMULIMO!T188</f>
        <v>-3579.0268171025355</v>
      </c>
      <c r="P230" s="1">
        <f>SIMULIMO!U188</f>
        <v>-3493.9199762267249</v>
      </c>
      <c r="Q230" s="1">
        <f>SIMULIMO!V188</f>
        <v>-3407.9620669421588</v>
      </c>
      <c r="R230" s="1">
        <f>SIMULIMO!W188</f>
        <v>-3321.144578564747</v>
      </c>
      <c r="S230" s="1">
        <f>SIMULIMO!X188</f>
        <v>-3233.4589153035622</v>
      </c>
      <c r="T230" s="1">
        <f>SIMULIMO!Y188</f>
        <v>-3144.8963954097662</v>
      </c>
      <c r="U230" s="1">
        <f>SIMULIMO!Z188</f>
        <v>-3055.4482503170275</v>
      </c>
      <c r="V230" s="1">
        <f>SIMULIMO!AA188</f>
        <v>-2965.1056237733674</v>
      </c>
      <c r="W230" s="1">
        <f>SIMULIMO!AB188</f>
        <v>-2873.8595709642718</v>
      </c>
      <c r="X230" s="1">
        <f>SIMULIMO!AC188</f>
        <v>-2848.9569779220446</v>
      </c>
      <c r="Y230" s="1">
        <f>SIMULIMO!AD188</f>
        <v>-2966.3354524738966</v>
      </c>
      <c r="Z230" s="1">
        <f>SIMULIMO!AE188</f>
        <v>-3088.7552641858624</v>
      </c>
      <c r="AA230" s="143">
        <f>SIMULIMO!AF187+SIMULIMO!AF188</f>
        <v>289772.42162566521</v>
      </c>
      <c r="AB230" s="1"/>
      <c r="AC230" s="1"/>
      <c r="AD230" s="1"/>
      <c r="AE230" s="1"/>
      <c r="AF230" s="1"/>
    </row>
    <row r="231" spans="2:32" x14ac:dyDescent="0.25">
      <c r="B231" s="133">
        <v>26</v>
      </c>
      <c r="C231" s="1">
        <f>SIMULIMO!H188</f>
        <v>-24536.910904683275</v>
      </c>
      <c r="D231" s="1">
        <f>SIMULIMO!I188</f>
        <v>-4461.3829046832761</v>
      </c>
      <c r="E231" s="1">
        <f>SIMULIMO!J188</f>
        <v>-4385.0996246832738</v>
      </c>
      <c r="F231" s="1">
        <f>SIMULIMO!K188</f>
        <v>-4308.0535118832759</v>
      </c>
      <c r="G231" s="1">
        <f>SIMULIMO!L188</f>
        <v>-4230.2369379552711</v>
      </c>
      <c r="H231" s="1">
        <f>SIMULIMO!M188</f>
        <v>-4151.6421982879947</v>
      </c>
      <c r="I231" s="1">
        <f>SIMULIMO!N188</f>
        <v>-4072.2615112240387</v>
      </c>
      <c r="J231" s="1">
        <f>SIMULIMO!O188</f>
        <v>-3992.087017289452</v>
      </c>
      <c r="K231" s="1">
        <f>SIMULIMO!P188</f>
        <v>-3911.1107784155083</v>
      </c>
      <c r="L231" s="1">
        <f>SIMULIMO!Q188</f>
        <v>-3829.3247771528322</v>
      </c>
      <c r="M231" s="1">
        <f>SIMULIMO!R188</f>
        <v>-3746.720915877529</v>
      </c>
      <c r="N231" s="1">
        <f>SIMULIMO!S188</f>
        <v>-3663.2910159894718</v>
      </c>
      <c r="O231" s="1">
        <f>SIMULIMO!T188</f>
        <v>-3579.0268171025355</v>
      </c>
      <c r="P231" s="1">
        <f>SIMULIMO!U188</f>
        <v>-3493.9199762267249</v>
      </c>
      <c r="Q231" s="1">
        <f>SIMULIMO!V188</f>
        <v>-3407.9620669421588</v>
      </c>
      <c r="R231" s="1">
        <f>SIMULIMO!W188</f>
        <v>-3321.144578564747</v>
      </c>
      <c r="S231" s="1">
        <f>SIMULIMO!X188</f>
        <v>-3233.4589153035622</v>
      </c>
      <c r="T231" s="1">
        <f>SIMULIMO!Y188</f>
        <v>-3144.8963954097662</v>
      </c>
      <c r="U231" s="1">
        <f>SIMULIMO!Z188</f>
        <v>-3055.4482503170275</v>
      </c>
      <c r="V231" s="1">
        <f>SIMULIMO!AA188</f>
        <v>-2965.1056237733674</v>
      </c>
      <c r="W231" s="1">
        <f>SIMULIMO!AB188</f>
        <v>-2873.8595709642718</v>
      </c>
      <c r="X231" s="1">
        <f>SIMULIMO!AC188</f>
        <v>-2848.9569779220446</v>
      </c>
      <c r="Y231" s="1">
        <f>SIMULIMO!AD188</f>
        <v>-2966.3354524738966</v>
      </c>
      <c r="Z231" s="1">
        <f>SIMULIMO!AE188</f>
        <v>-3088.7552641858624</v>
      </c>
      <c r="AA231" s="1">
        <f>SIMULIMO!AF188</f>
        <v>-3216.3828530019582</v>
      </c>
      <c r="AB231" s="143">
        <f>SIMULIMO!AG187+SIMULIMO!AG188</f>
        <v>304690.19120788417</v>
      </c>
      <c r="AC231" s="1"/>
      <c r="AD231" s="1"/>
      <c r="AE231" s="1"/>
      <c r="AF231" s="1"/>
    </row>
    <row r="232" spans="2:32" x14ac:dyDescent="0.25">
      <c r="B232" s="133">
        <v>27</v>
      </c>
      <c r="C232" s="1">
        <f>SIMULIMO!H188</f>
        <v>-24536.910904683275</v>
      </c>
      <c r="D232" s="1">
        <f>SIMULIMO!I188</f>
        <v>-4461.3829046832761</v>
      </c>
      <c r="E232" s="1">
        <f>SIMULIMO!J188</f>
        <v>-4385.0996246832738</v>
      </c>
      <c r="F232" s="1">
        <f>SIMULIMO!K188</f>
        <v>-4308.0535118832759</v>
      </c>
      <c r="G232" s="1">
        <f>SIMULIMO!L188</f>
        <v>-4230.2369379552711</v>
      </c>
      <c r="H232" s="1">
        <f>SIMULIMO!M188</f>
        <v>-4151.6421982879947</v>
      </c>
      <c r="I232" s="1">
        <f>SIMULIMO!N188</f>
        <v>-4072.2615112240387</v>
      </c>
      <c r="J232" s="1">
        <f>SIMULIMO!O188</f>
        <v>-3992.087017289452</v>
      </c>
      <c r="K232" s="1">
        <f>SIMULIMO!P188</f>
        <v>-3911.1107784155083</v>
      </c>
      <c r="L232" s="1">
        <f>SIMULIMO!Q188</f>
        <v>-3829.3247771528322</v>
      </c>
      <c r="M232" s="1">
        <f>SIMULIMO!R188</f>
        <v>-3746.720915877529</v>
      </c>
      <c r="N232" s="1">
        <f>SIMULIMO!S188</f>
        <v>-3663.2910159894718</v>
      </c>
      <c r="O232" s="1">
        <f>SIMULIMO!T188</f>
        <v>-3579.0268171025355</v>
      </c>
      <c r="P232" s="1">
        <f>SIMULIMO!U188</f>
        <v>-3493.9199762267249</v>
      </c>
      <c r="Q232" s="1">
        <f>SIMULIMO!V188</f>
        <v>-3407.9620669421588</v>
      </c>
      <c r="R232" s="1">
        <f>SIMULIMO!W188</f>
        <v>-3321.144578564747</v>
      </c>
      <c r="S232" s="1">
        <f>SIMULIMO!X188</f>
        <v>-3233.4589153035622</v>
      </c>
      <c r="T232" s="1">
        <f>SIMULIMO!Y188</f>
        <v>-3144.8963954097662</v>
      </c>
      <c r="U232" s="1">
        <f>SIMULIMO!Z188</f>
        <v>-3055.4482503170275</v>
      </c>
      <c r="V232" s="1">
        <f>SIMULIMO!AA188</f>
        <v>-2965.1056237733674</v>
      </c>
      <c r="W232" s="1">
        <f>SIMULIMO!AB188</f>
        <v>-2873.8595709642718</v>
      </c>
      <c r="X232" s="1">
        <f>SIMULIMO!AC188</f>
        <v>-2848.9569779220446</v>
      </c>
      <c r="Y232" s="1">
        <f>SIMULIMO!AD188</f>
        <v>-2966.3354524738966</v>
      </c>
      <c r="Z232" s="1">
        <f>SIMULIMO!AE188</f>
        <v>-3088.7552641858624</v>
      </c>
      <c r="AA232" s="1">
        <f>SIMULIMO!AF188</f>
        <v>-3216.3828530019582</v>
      </c>
      <c r="AB232" s="1">
        <f>SIMULIMO!AG188</f>
        <v>8540.3211006204274</v>
      </c>
      <c r="AC232" s="143">
        <f>SIMULIMO!AH187+SIMULIMO!AH188</f>
        <v>307832.13919908588</v>
      </c>
      <c r="AD232" s="1"/>
      <c r="AE232" s="1"/>
      <c r="AF232" s="1"/>
    </row>
    <row r="233" spans="2:32" x14ac:dyDescent="0.25">
      <c r="B233" s="133">
        <v>28</v>
      </c>
      <c r="C233" s="1">
        <f>SIMULIMO!H188</f>
        <v>-24536.910904683275</v>
      </c>
      <c r="D233" s="1">
        <f>SIMULIMO!I188</f>
        <v>-4461.3829046832761</v>
      </c>
      <c r="E233" s="1">
        <f>SIMULIMO!J188</f>
        <v>-4385.0996246832738</v>
      </c>
      <c r="F233" s="1">
        <f>SIMULIMO!K188</f>
        <v>-4308.0535118832759</v>
      </c>
      <c r="G233" s="1">
        <f>SIMULIMO!L188</f>
        <v>-4230.2369379552711</v>
      </c>
      <c r="H233" s="1">
        <f>SIMULIMO!M188</f>
        <v>-4151.6421982879947</v>
      </c>
      <c r="I233" s="1">
        <f>SIMULIMO!N188</f>
        <v>-4072.2615112240387</v>
      </c>
      <c r="J233" s="1">
        <f>SIMULIMO!O188</f>
        <v>-3992.087017289452</v>
      </c>
      <c r="K233" s="1">
        <f>SIMULIMO!P188</f>
        <v>-3911.1107784155083</v>
      </c>
      <c r="L233" s="1">
        <f>SIMULIMO!Q188</f>
        <v>-3829.3247771528322</v>
      </c>
      <c r="M233" s="1">
        <f>SIMULIMO!R188</f>
        <v>-3746.720915877529</v>
      </c>
      <c r="N233" s="1">
        <f>SIMULIMO!S188</f>
        <v>-3663.2910159894718</v>
      </c>
      <c r="O233" s="1">
        <f>SIMULIMO!T188</f>
        <v>-3579.0268171025355</v>
      </c>
      <c r="P233" s="1">
        <f>SIMULIMO!U188</f>
        <v>-3493.9199762267249</v>
      </c>
      <c r="Q233" s="1">
        <f>SIMULIMO!V188</f>
        <v>-3407.9620669421588</v>
      </c>
      <c r="R233" s="1">
        <f>SIMULIMO!W188</f>
        <v>-3321.144578564747</v>
      </c>
      <c r="S233" s="1">
        <f>SIMULIMO!X188</f>
        <v>-3233.4589153035622</v>
      </c>
      <c r="T233" s="1">
        <f>SIMULIMO!Y188</f>
        <v>-3144.8963954097662</v>
      </c>
      <c r="U233" s="1">
        <f>SIMULIMO!Z188</f>
        <v>-3055.4482503170275</v>
      </c>
      <c r="V233" s="1">
        <f>SIMULIMO!AA188</f>
        <v>-2965.1056237733674</v>
      </c>
      <c r="W233" s="1">
        <f>SIMULIMO!AB188</f>
        <v>-2873.8595709642718</v>
      </c>
      <c r="X233" s="1">
        <f>SIMULIMO!AC188</f>
        <v>-2848.9569779220446</v>
      </c>
      <c r="Y233" s="1">
        <f>SIMULIMO!AD188</f>
        <v>-2966.3354524738966</v>
      </c>
      <c r="Z233" s="1">
        <f>SIMULIMO!AE188</f>
        <v>-3088.7552641858624</v>
      </c>
      <c r="AA233" s="1">
        <f>SIMULIMO!AF188</f>
        <v>-3216.3828530019582</v>
      </c>
      <c r="AB233" s="1">
        <f>SIMULIMO!AG188</f>
        <v>8540.3211006204274</v>
      </c>
      <c r="AC233" s="1">
        <f>SIMULIMO!AH188</f>
        <v>8401.7579011015969</v>
      </c>
      <c r="AD233" s="143">
        <f>SIMULIMO!AI187+SIMULIMO!AI188</f>
        <v>311089.44977478049</v>
      </c>
      <c r="AE233" s="1"/>
      <c r="AF233" s="1"/>
    </row>
    <row r="234" spans="2:32" x14ac:dyDescent="0.25">
      <c r="B234" s="133">
        <v>29</v>
      </c>
      <c r="C234" s="1">
        <f>SIMULIMO!H188</f>
        <v>-24536.910904683275</v>
      </c>
      <c r="D234" s="1">
        <f>SIMULIMO!I188</f>
        <v>-4461.3829046832761</v>
      </c>
      <c r="E234" s="1">
        <f>SIMULIMO!J188</f>
        <v>-4385.0996246832738</v>
      </c>
      <c r="F234" s="1">
        <f>SIMULIMO!K188</f>
        <v>-4308.0535118832759</v>
      </c>
      <c r="G234" s="1">
        <f>SIMULIMO!L188</f>
        <v>-4230.2369379552711</v>
      </c>
      <c r="H234" s="1">
        <f>SIMULIMO!M188</f>
        <v>-4151.6421982879947</v>
      </c>
      <c r="I234" s="1">
        <f>SIMULIMO!N188</f>
        <v>-4072.2615112240387</v>
      </c>
      <c r="J234" s="1">
        <f>SIMULIMO!O188</f>
        <v>-3992.087017289452</v>
      </c>
      <c r="K234" s="1">
        <f>SIMULIMO!P188</f>
        <v>-3911.1107784155083</v>
      </c>
      <c r="L234" s="1">
        <f>SIMULIMO!Q188</f>
        <v>-3829.3247771528322</v>
      </c>
      <c r="M234" s="1">
        <f>SIMULIMO!R188</f>
        <v>-3746.720915877529</v>
      </c>
      <c r="N234" s="1">
        <f>SIMULIMO!S188</f>
        <v>-3663.2910159894718</v>
      </c>
      <c r="O234" s="1">
        <f>SIMULIMO!T188</f>
        <v>-3579.0268171025355</v>
      </c>
      <c r="P234" s="1">
        <f>SIMULIMO!U188</f>
        <v>-3493.9199762267249</v>
      </c>
      <c r="Q234" s="1">
        <f>SIMULIMO!V188</f>
        <v>-3407.9620669421588</v>
      </c>
      <c r="R234" s="1">
        <f>SIMULIMO!W188</f>
        <v>-3321.144578564747</v>
      </c>
      <c r="S234" s="1">
        <f>SIMULIMO!X188</f>
        <v>-3233.4589153035622</v>
      </c>
      <c r="T234" s="1">
        <f>SIMULIMO!Y188</f>
        <v>-3144.8963954097662</v>
      </c>
      <c r="U234" s="1">
        <f>SIMULIMO!Z188</f>
        <v>-3055.4482503170275</v>
      </c>
      <c r="V234" s="1">
        <f>SIMULIMO!AA188</f>
        <v>-2965.1056237733674</v>
      </c>
      <c r="W234" s="1">
        <f>SIMULIMO!AB188</f>
        <v>-2873.8595709642718</v>
      </c>
      <c r="X234" s="1">
        <f>SIMULIMO!AC188</f>
        <v>-2848.9569779220446</v>
      </c>
      <c r="Y234" s="1">
        <f>SIMULIMO!AD188</f>
        <v>-2966.3354524738966</v>
      </c>
      <c r="Z234" s="1">
        <f>SIMULIMO!AE188</f>
        <v>-3088.7552641858624</v>
      </c>
      <c r="AA234" s="1">
        <f>SIMULIMO!AF188</f>
        <v>-3216.3828530019582</v>
      </c>
      <c r="AB234" s="1">
        <f>SIMULIMO!AG188</f>
        <v>8540.3211006204274</v>
      </c>
      <c r="AC234" s="1">
        <f>SIMULIMO!AH188</f>
        <v>8401.7579011015969</v>
      </c>
      <c r="AD234" s="1">
        <f>SIMULIMO!AI188</f>
        <v>8257.4561052718163</v>
      </c>
      <c r="AE234" s="143">
        <f>SIMULIMO!AJ187+SIMULIMO!AJ188</f>
        <v>314463.61174657225</v>
      </c>
      <c r="AF234" s="1"/>
    </row>
    <row r="235" spans="2:32" x14ac:dyDescent="0.25">
      <c r="B235" s="133">
        <v>30</v>
      </c>
      <c r="C235" s="1">
        <f>SIMULIMO!H188</f>
        <v>-24536.910904683275</v>
      </c>
      <c r="D235" s="1">
        <f>SIMULIMO!I188</f>
        <v>-4461.3829046832761</v>
      </c>
      <c r="E235" s="1">
        <f>SIMULIMO!J188</f>
        <v>-4385.0996246832738</v>
      </c>
      <c r="F235" s="1">
        <f>SIMULIMO!K188</f>
        <v>-4308.0535118832759</v>
      </c>
      <c r="G235" s="1">
        <f>SIMULIMO!L188</f>
        <v>-4230.2369379552711</v>
      </c>
      <c r="H235" s="1">
        <f>SIMULIMO!M188</f>
        <v>-4151.6421982879947</v>
      </c>
      <c r="I235" s="1">
        <f>SIMULIMO!N188</f>
        <v>-4072.2615112240387</v>
      </c>
      <c r="J235" s="1">
        <f>SIMULIMO!O188</f>
        <v>-3992.087017289452</v>
      </c>
      <c r="K235" s="1">
        <f>SIMULIMO!P188</f>
        <v>-3911.1107784155083</v>
      </c>
      <c r="L235" s="1">
        <f>SIMULIMO!Q188</f>
        <v>-3829.3247771528322</v>
      </c>
      <c r="M235" s="1">
        <f>SIMULIMO!R188</f>
        <v>-3746.720915877529</v>
      </c>
      <c r="N235" s="1">
        <f>SIMULIMO!S188</f>
        <v>-3663.2910159894718</v>
      </c>
      <c r="O235" s="1">
        <f>SIMULIMO!T188</f>
        <v>-3579.0268171025355</v>
      </c>
      <c r="P235" s="1">
        <f>SIMULIMO!U188</f>
        <v>-3493.9199762267249</v>
      </c>
      <c r="Q235" s="1">
        <f>SIMULIMO!V188</f>
        <v>-3407.9620669421588</v>
      </c>
      <c r="R235" s="1">
        <f>SIMULIMO!W188</f>
        <v>-3321.144578564747</v>
      </c>
      <c r="S235" s="1">
        <f>SIMULIMO!X188</f>
        <v>-3233.4589153035622</v>
      </c>
      <c r="T235" s="1">
        <f>SIMULIMO!Y188</f>
        <v>-3144.8963954097662</v>
      </c>
      <c r="U235" s="1">
        <f>SIMULIMO!Z188</f>
        <v>-3055.4482503170275</v>
      </c>
      <c r="V235" s="1">
        <f>SIMULIMO!AA188</f>
        <v>-2965.1056237733674</v>
      </c>
      <c r="W235" s="1">
        <f>SIMULIMO!AB188</f>
        <v>-2873.8595709642718</v>
      </c>
      <c r="X235" s="1">
        <f>SIMULIMO!AC188</f>
        <v>-2848.9569779220446</v>
      </c>
      <c r="Y235" s="1">
        <f>SIMULIMO!AD188</f>
        <v>-2966.3354524738966</v>
      </c>
      <c r="Z235" s="1">
        <f>SIMULIMO!AE188</f>
        <v>-3088.7552641858624</v>
      </c>
      <c r="AA235" s="1">
        <f>SIMULIMO!AF188</f>
        <v>-3216.3828530019582</v>
      </c>
      <c r="AB235" s="1">
        <f>SIMULIMO!AG188</f>
        <v>8540.3211006204274</v>
      </c>
      <c r="AC235" s="1">
        <f>SIMULIMO!AH188</f>
        <v>8401.7579011015969</v>
      </c>
      <c r="AD235" s="1">
        <f>SIMULIMO!AI188</f>
        <v>8257.4561052718163</v>
      </c>
      <c r="AE235" s="1">
        <f>SIMULIMO!AJ188</f>
        <v>8107.2277382385355</v>
      </c>
      <c r="AF235" s="143">
        <f>SIMULIMO!AK187+SIMULIMO!AK188</f>
        <v>318034.86903258326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A7216-4B3E-43FB-B78E-670F002F316F}">
  <dimension ref="B2:D183"/>
  <sheetViews>
    <sheetView showGridLines="0" topLeftCell="A67" zoomScale="70" zoomScaleNormal="70" workbookViewId="0">
      <selection activeCell="C18" sqref="C18"/>
    </sheetView>
  </sheetViews>
  <sheetFormatPr baseColWidth="10" defaultRowHeight="15" x14ac:dyDescent="0.25"/>
  <cols>
    <col min="1" max="1" width="3.85546875" customWidth="1"/>
    <col min="2" max="2" width="19" style="8" customWidth="1"/>
    <col min="3" max="3" width="69.5703125" style="13" bestFit="1" customWidth="1"/>
    <col min="4" max="4" width="161.42578125" style="10" customWidth="1"/>
  </cols>
  <sheetData>
    <row r="2" spans="2:4" s="5" customFormat="1" ht="36.75" customHeight="1" x14ac:dyDescent="0.25">
      <c r="B2" s="52"/>
      <c r="C2" s="209" t="s">
        <v>90</v>
      </c>
      <c r="D2" s="210"/>
    </row>
    <row r="4" spans="2:4" ht="36" customHeight="1" x14ac:dyDescent="0.25">
      <c r="B4" s="107" t="s">
        <v>151</v>
      </c>
      <c r="C4" s="107" t="s">
        <v>26</v>
      </c>
      <c r="D4" s="108" t="s">
        <v>36</v>
      </c>
    </row>
    <row r="5" spans="2:4" ht="20.25" customHeight="1" x14ac:dyDescent="0.25"/>
    <row r="6" spans="2:4" s="83" customFormat="1" ht="42.75" customHeight="1" x14ac:dyDescent="0.25">
      <c r="B6" s="95" t="s">
        <v>91</v>
      </c>
      <c r="C6" s="11" t="s">
        <v>58</v>
      </c>
      <c r="D6" s="9" t="s">
        <v>265</v>
      </c>
    </row>
    <row r="7" spans="2:4" s="83" customFormat="1" ht="20.25" customHeight="1" x14ac:dyDescent="0.25">
      <c r="B7" s="94"/>
      <c r="C7" s="54"/>
      <c r="D7" s="82"/>
    </row>
    <row r="8" spans="2:4" ht="42.75" customHeight="1" x14ac:dyDescent="0.25">
      <c r="B8" s="211" t="s">
        <v>92</v>
      </c>
      <c r="C8" s="11" t="s">
        <v>61</v>
      </c>
      <c r="D8" s="9" t="s">
        <v>53</v>
      </c>
    </row>
    <row r="9" spans="2:4" ht="42.75" customHeight="1" x14ac:dyDescent="0.25">
      <c r="B9" s="212"/>
      <c r="C9" s="12" t="s">
        <v>89</v>
      </c>
      <c r="D9" s="9" t="s">
        <v>47</v>
      </c>
    </row>
    <row r="10" spans="2:4" ht="42.75" customHeight="1" x14ac:dyDescent="0.25">
      <c r="B10" s="212"/>
      <c r="C10" s="11" t="s">
        <v>59</v>
      </c>
      <c r="D10" s="9" t="s">
        <v>42</v>
      </c>
    </row>
    <row r="11" spans="2:4" ht="42.75" customHeight="1" x14ac:dyDescent="0.25">
      <c r="B11" s="212"/>
      <c r="C11" s="11" t="s">
        <v>62</v>
      </c>
      <c r="D11" s="9" t="s">
        <v>43</v>
      </c>
    </row>
    <row r="12" spans="2:4" ht="42.75" customHeight="1" x14ac:dyDescent="0.25">
      <c r="B12" s="213"/>
      <c r="C12" s="11" t="s">
        <v>75</v>
      </c>
      <c r="D12" s="9" t="s">
        <v>35</v>
      </c>
    </row>
    <row r="13" spans="2:4" s="83" customFormat="1" ht="20.25" customHeight="1" x14ac:dyDescent="0.25">
      <c r="B13" s="85"/>
      <c r="C13" s="54"/>
      <c r="D13" s="82"/>
    </row>
    <row r="14" spans="2:4" ht="42.75" customHeight="1" x14ac:dyDescent="0.25">
      <c r="B14" s="211" t="s">
        <v>68</v>
      </c>
      <c r="C14" s="11" t="s">
        <v>63</v>
      </c>
      <c r="D14" s="9" t="s">
        <v>269</v>
      </c>
    </row>
    <row r="15" spans="2:4" ht="42.75" customHeight="1" x14ac:dyDescent="0.25">
      <c r="B15" s="212"/>
      <c r="C15" s="11" t="s">
        <v>64</v>
      </c>
      <c r="D15" s="9" t="s">
        <v>266</v>
      </c>
    </row>
    <row r="16" spans="2:4" ht="42.75" customHeight="1" x14ac:dyDescent="0.25">
      <c r="B16" s="212"/>
      <c r="C16" s="11" t="s">
        <v>65</v>
      </c>
      <c r="D16" s="9" t="s">
        <v>267</v>
      </c>
    </row>
    <row r="17" spans="2:4" ht="42.75" customHeight="1" x14ac:dyDescent="0.25">
      <c r="B17" s="212"/>
      <c r="C17" s="11" t="s">
        <v>66</v>
      </c>
      <c r="D17" s="9" t="s">
        <v>268</v>
      </c>
    </row>
    <row r="18" spans="2:4" ht="42.75" customHeight="1" x14ac:dyDescent="0.25">
      <c r="B18" s="212"/>
      <c r="C18" s="11" t="s">
        <v>67</v>
      </c>
      <c r="D18" s="9" t="s">
        <v>54</v>
      </c>
    </row>
    <row r="19" spans="2:4" ht="42.75" customHeight="1" x14ac:dyDescent="0.25">
      <c r="B19" s="213"/>
      <c r="C19" s="11" t="s">
        <v>76</v>
      </c>
      <c r="D19" s="9" t="s">
        <v>52</v>
      </c>
    </row>
    <row r="20" spans="2:4" s="83" customFormat="1" ht="20.25" customHeight="1" x14ac:dyDescent="0.25">
      <c r="B20" s="85"/>
      <c r="C20" s="54"/>
      <c r="D20" s="82"/>
    </row>
    <row r="21" spans="2:4" ht="42.75" customHeight="1" x14ac:dyDescent="0.25">
      <c r="B21" s="211" t="s">
        <v>94</v>
      </c>
      <c r="C21" s="11" t="s">
        <v>69</v>
      </c>
      <c r="D21" s="9" t="s">
        <v>55</v>
      </c>
    </row>
    <row r="22" spans="2:4" ht="42.75" customHeight="1" x14ac:dyDescent="0.25">
      <c r="B22" s="212"/>
      <c r="C22" s="11" t="s">
        <v>70</v>
      </c>
      <c r="D22" s="9" t="s">
        <v>44</v>
      </c>
    </row>
    <row r="23" spans="2:4" ht="42.75" customHeight="1" x14ac:dyDescent="0.25">
      <c r="B23" s="213"/>
      <c r="C23" s="11" t="s">
        <v>71</v>
      </c>
      <c r="D23" s="9" t="s">
        <v>45</v>
      </c>
    </row>
    <row r="24" spans="2:4" s="83" customFormat="1" ht="20.25" customHeight="1" x14ac:dyDescent="0.25">
      <c r="B24" s="85"/>
      <c r="C24" s="54"/>
      <c r="D24" s="82"/>
    </row>
    <row r="25" spans="2:4" ht="42.75" customHeight="1" x14ac:dyDescent="0.25">
      <c r="B25" s="211" t="s">
        <v>93</v>
      </c>
      <c r="C25" s="11" t="s">
        <v>156</v>
      </c>
      <c r="D25" s="9" t="s">
        <v>270</v>
      </c>
    </row>
    <row r="26" spans="2:4" ht="42.75" customHeight="1" x14ac:dyDescent="0.25">
      <c r="B26" s="212"/>
      <c r="C26" s="11" t="s">
        <v>281</v>
      </c>
      <c r="D26" s="9" t="s">
        <v>282</v>
      </c>
    </row>
    <row r="27" spans="2:4" ht="42.75" customHeight="1" x14ac:dyDescent="0.25">
      <c r="B27" s="212"/>
      <c r="C27" s="11" t="s">
        <v>157</v>
      </c>
      <c r="D27" s="9" t="s">
        <v>56</v>
      </c>
    </row>
    <row r="28" spans="2:4" ht="42.75" customHeight="1" x14ac:dyDescent="0.25">
      <c r="B28" s="212"/>
      <c r="C28" s="11" t="s">
        <v>154</v>
      </c>
      <c r="D28" s="9" t="s">
        <v>160</v>
      </c>
    </row>
    <row r="29" spans="2:4" ht="42.75" customHeight="1" x14ac:dyDescent="0.25">
      <c r="B29" s="213"/>
      <c r="C29" s="11" t="s">
        <v>72</v>
      </c>
      <c r="D29" s="9" t="s">
        <v>57</v>
      </c>
    </row>
    <row r="30" spans="2:4" s="83" customFormat="1" ht="20.25" customHeight="1" x14ac:dyDescent="0.25">
      <c r="B30" s="85"/>
      <c r="C30" s="54"/>
      <c r="D30" s="82"/>
    </row>
    <row r="31" spans="2:4" ht="42.75" customHeight="1" x14ac:dyDescent="0.25">
      <c r="B31" s="211" t="s">
        <v>210</v>
      </c>
      <c r="C31" s="11" t="s">
        <v>73</v>
      </c>
      <c r="D31" s="9" t="s">
        <v>86</v>
      </c>
    </row>
    <row r="32" spans="2:4" ht="42.75" customHeight="1" x14ac:dyDescent="0.25">
      <c r="B32" s="212"/>
      <c r="C32" s="11" t="s">
        <v>29</v>
      </c>
      <c r="D32" s="9" t="s">
        <v>87</v>
      </c>
    </row>
    <row r="33" spans="2:4" ht="42.75" customHeight="1" x14ac:dyDescent="0.25">
      <c r="B33" s="212"/>
      <c r="C33" s="11" t="s">
        <v>30</v>
      </c>
      <c r="D33" s="9" t="s">
        <v>271</v>
      </c>
    </row>
    <row r="34" spans="2:4" ht="42.75" customHeight="1" x14ac:dyDescent="0.25">
      <c r="B34" s="212"/>
      <c r="C34" s="11" t="s">
        <v>31</v>
      </c>
      <c r="D34" s="9" t="s">
        <v>48</v>
      </c>
    </row>
    <row r="35" spans="2:4" ht="42.75" customHeight="1" x14ac:dyDescent="0.25">
      <c r="B35" s="212"/>
      <c r="C35" s="11" t="s">
        <v>77</v>
      </c>
      <c r="D35" s="9" t="s">
        <v>88</v>
      </c>
    </row>
    <row r="36" spans="2:4" ht="42.75" customHeight="1" x14ac:dyDescent="0.25">
      <c r="B36" s="212"/>
      <c r="C36" s="11" t="s">
        <v>32</v>
      </c>
      <c r="D36" s="9" t="s">
        <v>272</v>
      </c>
    </row>
    <row r="37" spans="2:4" ht="42.75" customHeight="1" x14ac:dyDescent="0.25">
      <c r="B37" s="212"/>
      <c r="C37" s="11" t="s">
        <v>33</v>
      </c>
      <c r="D37" s="9" t="s">
        <v>273</v>
      </c>
    </row>
    <row r="38" spans="2:4" ht="42.75" customHeight="1" x14ac:dyDescent="0.25">
      <c r="B38" s="212"/>
      <c r="C38" s="44" t="s">
        <v>34</v>
      </c>
      <c r="D38" s="78" t="s">
        <v>49</v>
      </c>
    </row>
    <row r="39" spans="2:4" ht="42.75" customHeight="1" x14ac:dyDescent="0.25">
      <c r="B39" s="213"/>
      <c r="C39" s="11" t="s">
        <v>74</v>
      </c>
      <c r="D39" s="9" t="s">
        <v>41</v>
      </c>
    </row>
    <row r="40" spans="2:4" s="83" customFormat="1" ht="20.25" customHeight="1" x14ac:dyDescent="0.25">
      <c r="B40" s="94"/>
      <c r="C40" s="54"/>
      <c r="D40" s="82"/>
    </row>
    <row r="41" spans="2:4" s="83" customFormat="1" ht="42.75" customHeight="1" x14ac:dyDescent="0.25">
      <c r="B41" s="95" t="s">
        <v>106</v>
      </c>
      <c r="C41" s="11" t="s">
        <v>97</v>
      </c>
      <c r="D41" s="9" t="s">
        <v>304</v>
      </c>
    </row>
    <row r="42" spans="2:4" ht="20.25" customHeight="1" x14ac:dyDescent="0.25">
      <c r="B42" s="85"/>
      <c r="C42" s="54"/>
      <c r="D42" s="77"/>
    </row>
    <row r="43" spans="2:4" ht="42.75" customHeight="1" x14ac:dyDescent="0.25">
      <c r="B43" s="216" t="s">
        <v>232</v>
      </c>
      <c r="C43" s="11" t="s">
        <v>171</v>
      </c>
      <c r="D43" s="14" t="s">
        <v>285</v>
      </c>
    </row>
    <row r="44" spans="2:4" ht="42.75" customHeight="1" x14ac:dyDescent="0.25">
      <c r="B44" s="216"/>
      <c r="C44" s="11" t="s">
        <v>172</v>
      </c>
      <c r="D44" s="9" t="s">
        <v>284</v>
      </c>
    </row>
    <row r="45" spans="2:4" ht="42.75" customHeight="1" x14ac:dyDescent="0.25">
      <c r="B45" s="216"/>
      <c r="C45" s="11" t="s">
        <v>162</v>
      </c>
      <c r="D45" s="9" t="s">
        <v>283</v>
      </c>
    </row>
    <row r="46" spans="2:4" ht="42.75" customHeight="1" x14ac:dyDescent="0.25">
      <c r="B46" s="216"/>
      <c r="C46" s="43" t="s">
        <v>308</v>
      </c>
      <c r="D46" s="80" t="s">
        <v>152</v>
      </c>
    </row>
    <row r="47" spans="2:4" ht="42.75" customHeight="1" x14ac:dyDescent="0.25">
      <c r="B47" s="216"/>
      <c r="C47" s="43" t="s">
        <v>161</v>
      </c>
      <c r="D47" s="80" t="s">
        <v>145</v>
      </c>
    </row>
    <row r="48" spans="2:4" ht="42.75" customHeight="1" x14ac:dyDescent="0.25">
      <c r="B48" s="216"/>
      <c r="C48" s="11" t="s">
        <v>323</v>
      </c>
      <c r="D48" s="9" t="s">
        <v>275</v>
      </c>
    </row>
    <row r="49" spans="2:4" ht="42.75" customHeight="1" x14ac:dyDescent="0.25">
      <c r="B49" s="216"/>
      <c r="C49" s="11" t="s">
        <v>324</v>
      </c>
      <c r="D49" s="9" t="s">
        <v>141</v>
      </c>
    </row>
    <row r="50" spans="2:4" ht="42.75" customHeight="1" x14ac:dyDescent="0.25">
      <c r="B50" s="216"/>
      <c r="C50" s="11" t="s">
        <v>325</v>
      </c>
      <c r="D50" s="9" t="s">
        <v>276</v>
      </c>
    </row>
    <row r="51" spans="2:4" ht="42.75" customHeight="1" x14ac:dyDescent="0.25">
      <c r="B51" s="216"/>
      <c r="C51" s="11" t="s">
        <v>326</v>
      </c>
      <c r="D51" s="9" t="s">
        <v>142</v>
      </c>
    </row>
    <row r="52" spans="2:4" ht="42.75" customHeight="1" x14ac:dyDescent="0.25">
      <c r="B52" s="216"/>
      <c r="C52" s="11" t="s">
        <v>208</v>
      </c>
      <c r="D52" s="9" t="s">
        <v>143</v>
      </c>
    </row>
    <row r="53" spans="2:4" ht="42.75" customHeight="1" x14ac:dyDescent="0.25">
      <c r="B53" s="216"/>
      <c r="C53" s="11" t="s">
        <v>334</v>
      </c>
      <c r="D53" s="9" t="s">
        <v>277</v>
      </c>
    </row>
    <row r="54" spans="2:4" ht="42.75" customHeight="1" x14ac:dyDescent="0.25">
      <c r="B54" s="216"/>
      <c r="C54" s="11" t="s">
        <v>335</v>
      </c>
      <c r="D54" s="9" t="s">
        <v>144</v>
      </c>
    </row>
    <row r="55" spans="2:4" ht="42.75" customHeight="1" x14ac:dyDescent="0.25">
      <c r="B55" s="216"/>
      <c r="C55" s="11" t="s">
        <v>163</v>
      </c>
      <c r="D55" s="9" t="s">
        <v>146</v>
      </c>
    </row>
    <row r="56" spans="2:4" ht="42.75" customHeight="1" x14ac:dyDescent="0.25">
      <c r="B56" s="216"/>
      <c r="C56" s="11" t="s">
        <v>307</v>
      </c>
      <c r="D56" s="9" t="s">
        <v>147</v>
      </c>
    </row>
    <row r="57" spans="2:4" ht="42.75" customHeight="1" x14ac:dyDescent="0.25">
      <c r="B57" s="216"/>
      <c r="C57" s="11" t="s">
        <v>309</v>
      </c>
      <c r="D57" s="9" t="s">
        <v>148</v>
      </c>
    </row>
    <row r="58" spans="2:4" ht="42.75" customHeight="1" x14ac:dyDescent="0.25">
      <c r="B58" s="216"/>
      <c r="C58" s="14" t="s">
        <v>341</v>
      </c>
      <c r="D58" s="78" t="s">
        <v>149</v>
      </c>
    </row>
    <row r="59" spans="2:4" ht="42.75" customHeight="1" x14ac:dyDescent="0.25">
      <c r="B59" s="216"/>
      <c r="C59" s="11" t="s">
        <v>336</v>
      </c>
      <c r="D59" s="9" t="s">
        <v>344</v>
      </c>
    </row>
    <row r="60" spans="2:4" s="83" customFormat="1" ht="42.75" customHeight="1" x14ac:dyDescent="0.25">
      <c r="B60" s="216"/>
      <c r="C60" s="11" t="s">
        <v>337</v>
      </c>
      <c r="D60" s="9" t="s">
        <v>342</v>
      </c>
    </row>
    <row r="61" spans="2:4" s="83" customFormat="1" ht="42.75" customHeight="1" x14ac:dyDescent="0.25">
      <c r="B61" s="216"/>
      <c r="C61" s="14" t="s">
        <v>346</v>
      </c>
      <c r="D61" s="9" t="s">
        <v>351</v>
      </c>
    </row>
    <row r="62" spans="2:4" s="83" customFormat="1" ht="42.75" customHeight="1" x14ac:dyDescent="0.25">
      <c r="B62" s="216"/>
      <c r="C62" s="11" t="s">
        <v>338</v>
      </c>
      <c r="D62" s="84" t="s">
        <v>150</v>
      </c>
    </row>
    <row r="63" spans="2:4" s="83" customFormat="1" ht="42.75" customHeight="1" x14ac:dyDescent="0.25">
      <c r="B63" s="216"/>
      <c r="C63" s="11" t="s">
        <v>339</v>
      </c>
      <c r="D63" s="9" t="s">
        <v>345</v>
      </c>
    </row>
    <row r="64" spans="2:4" s="83" customFormat="1" ht="42.75" customHeight="1" x14ac:dyDescent="0.25">
      <c r="B64" s="216"/>
      <c r="C64" s="11" t="s">
        <v>340</v>
      </c>
      <c r="D64" s="9" t="s">
        <v>342</v>
      </c>
    </row>
    <row r="65" spans="2:4" s="83" customFormat="1" ht="42.75" customHeight="1" x14ac:dyDescent="0.25">
      <c r="B65" s="216"/>
      <c r="C65" s="14" t="s">
        <v>347</v>
      </c>
      <c r="D65" s="9" t="s">
        <v>350</v>
      </c>
    </row>
    <row r="66" spans="2:4" s="83" customFormat="1" ht="20.25" customHeight="1" x14ac:dyDescent="0.25">
      <c r="B66" s="81"/>
      <c r="C66" s="54"/>
      <c r="D66" s="82"/>
    </row>
    <row r="67" spans="2:4" s="83" customFormat="1" ht="54.75" customHeight="1" x14ac:dyDescent="0.25">
      <c r="B67" s="215" t="s">
        <v>262</v>
      </c>
      <c r="C67" s="11" t="s">
        <v>233</v>
      </c>
      <c r="D67" s="84" t="s">
        <v>286</v>
      </c>
    </row>
    <row r="68" spans="2:4" s="83" customFormat="1" ht="42.75" customHeight="1" x14ac:dyDescent="0.25">
      <c r="B68" s="215"/>
      <c r="C68" s="11" t="s">
        <v>234</v>
      </c>
      <c r="D68" s="84" t="s">
        <v>274</v>
      </c>
    </row>
    <row r="69" spans="2:4" ht="42.75" customHeight="1" x14ac:dyDescent="0.25">
      <c r="B69" s="215"/>
      <c r="C69" s="11" t="s">
        <v>107</v>
      </c>
      <c r="D69" s="9" t="s">
        <v>236</v>
      </c>
    </row>
    <row r="70" spans="2:4" ht="42.75" customHeight="1" x14ac:dyDescent="0.25">
      <c r="B70" s="215"/>
      <c r="C70" s="11" t="s">
        <v>111</v>
      </c>
      <c r="D70" s="9" t="s">
        <v>220</v>
      </c>
    </row>
    <row r="71" spans="2:4" ht="42.75" customHeight="1" x14ac:dyDescent="0.25">
      <c r="B71" s="215"/>
      <c r="C71" s="11" t="s">
        <v>213</v>
      </c>
      <c r="D71" s="9" t="s">
        <v>237</v>
      </c>
    </row>
    <row r="72" spans="2:4" ht="42.75" customHeight="1" x14ac:dyDescent="0.25">
      <c r="B72" s="215"/>
      <c r="C72" s="11" t="s">
        <v>215</v>
      </c>
      <c r="D72" s="9" t="s">
        <v>238</v>
      </c>
    </row>
    <row r="73" spans="2:4" ht="42.75" customHeight="1" x14ac:dyDescent="0.25">
      <c r="B73" s="215"/>
      <c r="C73" s="11" t="s">
        <v>214</v>
      </c>
      <c r="D73" s="9" t="s">
        <v>239</v>
      </c>
    </row>
    <row r="74" spans="2:4" ht="42.75" customHeight="1" x14ac:dyDescent="0.25">
      <c r="B74" s="215"/>
      <c r="C74" s="11" t="s">
        <v>216</v>
      </c>
      <c r="D74" s="9" t="s">
        <v>240</v>
      </c>
    </row>
    <row r="75" spans="2:4" ht="42.75" customHeight="1" x14ac:dyDescent="0.25">
      <c r="B75" s="215"/>
      <c r="C75" s="11" t="s">
        <v>217</v>
      </c>
      <c r="D75" s="9" t="s">
        <v>241</v>
      </c>
    </row>
    <row r="76" spans="2:4" ht="42.75" customHeight="1" x14ac:dyDescent="0.25">
      <c r="B76" s="215"/>
      <c r="C76" s="11" t="s">
        <v>218</v>
      </c>
      <c r="D76" s="9" t="s">
        <v>242</v>
      </c>
    </row>
    <row r="77" spans="2:4" ht="42.75" customHeight="1" x14ac:dyDescent="0.25">
      <c r="B77" s="215"/>
      <c r="C77" s="11" t="s">
        <v>118</v>
      </c>
      <c r="D77" s="9" t="s">
        <v>243</v>
      </c>
    </row>
    <row r="78" spans="2:4" ht="42.75" customHeight="1" x14ac:dyDescent="0.25">
      <c r="B78" s="215"/>
      <c r="C78" s="11" t="s">
        <v>119</v>
      </c>
      <c r="D78" s="9" t="s">
        <v>228</v>
      </c>
    </row>
    <row r="79" spans="2:4" ht="42.75" customHeight="1" x14ac:dyDescent="0.25">
      <c r="B79" s="215"/>
      <c r="C79" s="14" t="s">
        <v>108</v>
      </c>
      <c r="D79" s="9" t="s">
        <v>229</v>
      </c>
    </row>
    <row r="80" spans="2:4" ht="42.75" customHeight="1" x14ac:dyDescent="0.25">
      <c r="B80" s="215"/>
      <c r="C80" s="160" t="s">
        <v>120</v>
      </c>
      <c r="D80" s="171" t="s">
        <v>235</v>
      </c>
    </row>
    <row r="81" spans="2:4" ht="42.75" customHeight="1" x14ac:dyDescent="0.25">
      <c r="B81" s="215"/>
      <c r="C81" s="160" t="s">
        <v>121</v>
      </c>
      <c r="D81" s="171" t="s">
        <v>130</v>
      </c>
    </row>
    <row r="82" spans="2:4" ht="57" customHeight="1" x14ac:dyDescent="0.25">
      <c r="B82" s="215"/>
      <c r="C82" s="41" t="s">
        <v>166</v>
      </c>
      <c r="D82" s="9" t="s">
        <v>259</v>
      </c>
    </row>
    <row r="83" spans="2:4" ht="42.75" customHeight="1" x14ac:dyDescent="0.25">
      <c r="B83" s="215"/>
      <c r="C83" s="11" t="s">
        <v>109</v>
      </c>
      <c r="D83" s="9" t="s">
        <v>138</v>
      </c>
    </row>
    <row r="84" spans="2:4" ht="42.75" customHeight="1" x14ac:dyDescent="0.25">
      <c r="B84" s="215"/>
      <c r="C84" s="11" t="s">
        <v>122</v>
      </c>
      <c r="D84" s="9" t="s">
        <v>131</v>
      </c>
    </row>
    <row r="85" spans="2:4" ht="42.75" customHeight="1" x14ac:dyDescent="0.25">
      <c r="B85" s="215"/>
      <c r="C85" s="11" t="s">
        <v>123</v>
      </c>
      <c r="D85" s="9" t="s">
        <v>135</v>
      </c>
    </row>
    <row r="86" spans="2:4" ht="42.75" customHeight="1" x14ac:dyDescent="0.25">
      <c r="B86" s="215"/>
      <c r="C86" s="11" t="s">
        <v>124</v>
      </c>
      <c r="D86" s="9" t="s">
        <v>132</v>
      </c>
    </row>
    <row r="87" spans="2:4" ht="42.75" customHeight="1" x14ac:dyDescent="0.25">
      <c r="B87" s="215"/>
      <c r="C87" s="11" t="s">
        <v>125</v>
      </c>
      <c r="D87" s="9" t="s">
        <v>136</v>
      </c>
    </row>
    <row r="88" spans="2:4" ht="42.75" customHeight="1" x14ac:dyDescent="0.25">
      <c r="B88" s="215"/>
      <c r="C88" s="11" t="s">
        <v>126</v>
      </c>
      <c r="D88" s="9" t="s">
        <v>134</v>
      </c>
    </row>
    <row r="89" spans="2:4" ht="42.75" customHeight="1" x14ac:dyDescent="0.25">
      <c r="B89" s="215"/>
      <c r="C89" s="11" t="s">
        <v>127</v>
      </c>
      <c r="D89" s="9" t="s">
        <v>133</v>
      </c>
    </row>
    <row r="90" spans="2:4" ht="42.75" customHeight="1" x14ac:dyDescent="0.25">
      <c r="B90" s="215"/>
      <c r="C90" s="11" t="s">
        <v>128</v>
      </c>
      <c r="D90" s="79" t="s">
        <v>137</v>
      </c>
    </row>
    <row r="91" spans="2:4" ht="42.75" customHeight="1" x14ac:dyDescent="0.25">
      <c r="B91" s="215"/>
      <c r="C91" s="11" t="s">
        <v>129</v>
      </c>
      <c r="D91" s="9" t="s">
        <v>139</v>
      </c>
    </row>
    <row r="92" spans="2:4" ht="42.75" customHeight="1" x14ac:dyDescent="0.25">
      <c r="B92" s="215"/>
      <c r="C92" s="11" t="s">
        <v>110</v>
      </c>
      <c r="D92" s="9" t="s">
        <v>158</v>
      </c>
    </row>
    <row r="93" spans="2:4" ht="42.75" customHeight="1" x14ac:dyDescent="0.25">
      <c r="B93" s="215"/>
      <c r="C93" s="11" t="s">
        <v>299</v>
      </c>
      <c r="D93" s="9" t="s">
        <v>331</v>
      </c>
    </row>
    <row r="94" spans="2:4" ht="42.75" customHeight="1" x14ac:dyDescent="0.25">
      <c r="B94" s="215"/>
      <c r="C94" s="160" t="s">
        <v>298</v>
      </c>
      <c r="D94" s="171" t="s">
        <v>332</v>
      </c>
    </row>
    <row r="95" spans="2:4" ht="42.75" customHeight="1" x14ac:dyDescent="0.25">
      <c r="B95" s="215"/>
      <c r="C95" s="169" t="s">
        <v>343</v>
      </c>
      <c r="D95" s="171" t="s">
        <v>140</v>
      </c>
    </row>
    <row r="96" spans="2:4" s="83" customFormat="1" ht="20.25" customHeight="1" x14ac:dyDescent="0.25">
      <c r="B96" s="81"/>
      <c r="C96" s="54"/>
      <c r="D96" s="82"/>
    </row>
    <row r="97" spans="2:4" ht="42.75" customHeight="1" x14ac:dyDescent="0.25">
      <c r="B97" s="203" t="s">
        <v>261</v>
      </c>
      <c r="C97" s="11" t="s">
        <v>107</v>
      </c>
      <c r="D97" s="9" t="s">
        <v>244</v>
      </c>
    </row>
    <row r="98" spans="2:4" ht="42.75" customHeight="1" x14ac:dyDescent="0.25">
      <c r="B98" s="204"/>
      <c r="C98" s="43" t="s">
        <v>111</v>
      </c>
      <c r="D98" s="80" t="s">
        <v>220</v>
      </c>
    </row>
    <row r="99" spans="2:4" ht="42.75" customHeight="1" x14ac:dyDescent="0.25">
      <c r="B99" s="204"/>
      <c r="C99" s="11" t="s">
        <v>213</v>
      </c>
      <c r="D99" s="9" t="s">
        <v>245</v>
      </c>
    </row>
    <row r="100" spans="2:4" ht="42.75" customHeight="1" x14ac:dyDescent="0.25">
      <c r="B100" s="204"/>
      <c r="C100" s="11" t="s">
        <v>215</v>
      </c>
      <c r="D100" s="9" t="s">
        <v>246</v>
      </c>
    </row>
    <row r="101" spans="2:4" ht="42.75" customHeight="1" x14ac:dyDescent="0.25">
      <c r="B101" s="204"/>
      <c r="C101" s="11" t="s">
        <v>214</v>
      </c>
      <c r="D101" s="9" t="s">
        <v>247</v>
      </c>
    </row>
    <row r="102" spans="2:4" ht="42.75" customHeight="1" x14ac:dyDescent="0.25">
      <c r="B102" s="204"/>
      <c r="C102" s="11" t="s">
        <v>216</v>
      </c>
      <c r="D102" s="9" t="s">
        <v>248</v>
      </c>
    </row>
    <row r="103" spans="2:4" ht="42.75" customHeight="1" x14ac:dyDescent="0.25">
      <c r="B103" s="204"/>
      <c r="C103" s="11" t="s">
        <v>217</v>
      </c>
      <c r="D103" s="9" t="s">
        <v>249</v>
      </c>
    </row>
    <row r="104" spans="2:4" ht="42.75" customHeight="1" x14ac:dyDescent="0.25">
      <c r="B104" s="204"/>
      <c r="C104" s="11" t="s">
        <v>218</v>
      </c>
      <c r="D104" s="9" t="s">
        <v>250</v>
      </c>
    </row>
    <row r="105" spans="2:4" ht="42.75" customHeight="1" x14ac:dyDescent="0.25">
      <c r="B105" s="204"/>
      <c r="C105" s="11" t="s">
        <v>118</v>
      </c>
      <c r="D105" s="9" t="s">
        <v>251</v>
      </c>
    </row>
    <row r="106" spans="2:4" ht="42.75" customHeight="1" x14ac:dyDescent="0.25">
      <c r="B106" s="204"/>
      <c r="C106" s="11" t="s">
        <v>119</v>
      </c>
      <c r="D106" s="9" t="s">
        <v>228</v>
      </c>
    </row>
    <row r="107" spans="2:4" ht="42.75" customHeight="1" x14ac:dyDescent="0.25">
      <c r="B107" s="204"/>
      <c r="C107" s="44" t="s">
        <v>108</v>
      </c>
      <c r="D107" s="78" t="s">
        <v>229</v>
      </c>
    </row>
    <row r="108" spans="2:4" ht="42.75" customHeight="1" x14ac:dyDescent="0.25">
      <c r="B108" s="204"/>
      <c r="C108" s="160" t="s">
        <v>120</v>
      </c>
      <c r="D108" s="171" t="s">
        <v>235</v>
      </c>
    </row>
    <row r="109" spans="2:4" ht="42.75" customHeight="1" x14ac:dyDescent="0.25">
      <c r="B109" s="204"/>
      <c r="C109" s="160" t="s">
        <v>121</v>
      </c>
      <c r="D109" s="171" t="s">
        <v>130</v>
      </c>
    </row>
    <row r="110" spans="2:4" ht="54.75" customHeight="1" x14ac:dyDescent="0.25">
      <c r="B110" s="204"/>
      <c r="C110" s="41" t="s">
        <v>166</v>
      </c>
      <c r="D110" s="9" t="s">
        <v>260</v>
      </c>
    </row>
    <row r="111" spans="2:4" ht="54.75" customHeight="1" x14ac:dyDescent="0.25">
      <c r="B111" s="204"/>
      <c r="C111" s="11" t="s">
        <v>109</v>
      </c>
      <c r="D111" s="9" t="s">
        <v>138</v>
      </c>
    </row>
    <row r="112" spans="2:4" ht="54.75" customHeight="1" x14ac:dyDescent="0.25">
      <c r="B112" s="204"/>
      <c r="C112" s="11" t="s">
        <v>122</v>
      </c>
      <c r="D112" s="9" t="s">
        <v>131</v>
      </c>
    </row>
    <row r="113" spans="2:4" ht="54.75" customHeight="1" x14ac:dyDescent="0.25">
      <c r="B113" s="204"/>
      <c r="C113" s="11" t="s">
        <v>123</v>
      </c>
      <c r="D113" s="9" t="s">
        <v>135</v>
      </c>
    </row>
    <row r="114" spans="2:4" ht="54.75" customHeight="1" x14ac:dyDescent="0.25">
      <c r="B114" s="204"/>
      <c r="C114" s="11" t="s">
        <v>124</v>
      </c>
      <c r="D114" s="9" t="s">
        <v>132</v>
      </c>
    </row>
    <row r="115" spans="2:4" ht="54.75" customHeight="1" x14ac:dyDescent="0.25">
      <c r="B115" s="204"/>
      <c r="C115" s="11" t="s">
        <v>125</v>
      </c>
      <c r="D115" s="9" t="s">
        <v>136</v>
      </c>
    </row>
    <row r="116" spans="2:4" ht="54.75" customHeight="1" x14ac:dyDescent="0.25">
      <c r="B116" s="204"/>
      <c r="C116" s="11" t="s">
        <v>126</v>
      </c>
      <c r="D116" s="9" t="s">
        <v>134</v>
      </c>
    </row>
    <row r="117" spans="2:4" ht="54.75" customHeight="1" x14ac:dyDescent="0.25">
      <c r="B117" s="204"/>
      <c r="C117" s="11" t="s">
        <v>127</v>
      </c>
      <c r="D117" s="9" t="s">
        <v>133</v>
      </c>
    </row>
    <row r="118" spans="2:4" ht="54.75" customHeight="1" x14ac:dyDescent="0.25">
      <c r="B118" s="204"/>
      <c r="C118" s="11" t="s">
        <v>128</v>
      </c>
      <c r="D118" s="79" t="s">
        <v>137</v>
      </c>
    </row>
    <row r="119" spans="2:4" ht="54.75" customHeight="1" x14ac:dyDescent="0.25">
      <c r="B119" s="204"/>
      <c r="C119" s="11" t="s">
        <v>129</v>
      </c>
      <c r="D119" s="9" t="s">
        <v>139</v>
      </c>
    </row>
    <row r="120" spans="2:4" ht="54.75" customHeight="1" x14ac:dyDescent="0.25">
      <c r="B120" s="204"/>
      <c r="C120" s="11" t="s">
        <v>110</v>
      </c>
      <c r="D120" s="9" t="s">
        <v>158</v>
      </c>
    </row>
    <row r="121" spans="2:4" ht="54.75" customHeight="1" x14ac:dyDescent="0.25">
      <c r="B121" s="204"/>
      <c r="C121" s="11" t="s">
        <v>299</v>
      </c>
      <c r="D121" s="9" t="s">
        <v>331</v>
      </c>
    </row>
    <row r="122" spans="2:4" ht="42.75" customHeight="1" x14ac:dyDescent="0.25">
      <c r="B122" s="204"/>
      <c r="C122" s="160" t="s">
        <v>298</v>
      </c>
      <c r="D122" s="171" t="s">
        <v>332</v>
      </c>
    </row>
    <row r="123" spans="2:4" ht="42.75" customHeight="1" x14ac:dyDescent="0.25">
      <c r="B123" s="205"/>
      <c r="C123" s="169" t="s">
        <v>343</v>
      </c>
      <c r="D123" s="171" t="s">
        <v>140</v>
      </c>
    </row>
    <row r="124" spans="2:4" s="83" customFormat="1" ht="20.25" customHeight="1" x14ac:dyDescent="0.25">
      <c r="B124" s="81"/>
      <c r="C124" s="54"/>
      <c r="D124" s="82"/>
    </row>
    <row r="125" spans="2:4" s="83" customFormat="1" ht="42.75" customHeight="1" x14ac:dyDescent="0.25">
      <c r="B125" s="214" t="s">
        <v>263</v>
      </c>
      <c r="C125" s="11" t="s">
        <v>155</v>
      </c>
      <c r="D125" s="9" t="s">
        <v>46</v>
      </c>
    </row>
    <row r="126" spans="2:4" s="83" customFormat="1" ht="42.75" customHeight="1" x14ac:dyDescent="0.25">
      <c r="B126" s="214"/>
      <c r="C126" s="11" t="s">
        <v>211</v>
      </c>
      <c r="D126" s="9" t="s">
        <v>84</v>
      </c>
    </row>
    <row r="127" spans="2:4" s="83" customFormat="1" ht="42.75" customHeight="1" x14ac:dyDescent="0.25">
      <c r="B127" s="214"/>
      <c r="C127" s="11" t="s">
        <v>212</v>
      </c>
      <c r="D127" s="9" t="s">
        <v>85</v>
      </c>
    </row>
    <row r="128" spans="2:4" ht="42.75" customHeight="1" x14ac:dyDescent="0.25">
      <c r="B128" s="214"/>
      <c r="C128" s="11" t="s">
        <v>107</v>
      </c>
      <c r="D128" s="9" t="s">
        <v>219</v>
      </c>
    </row>
    <row r="129" spans="2:4" ht="42.75" customHeight="1" x14ac:dyDescent="0.25">
      <c r="B129" s="214"/>
      <c r="C129" s="43" t="s">
        <v>111</v>
      </c>
      <c r="D129" s="80" t="s">
        <v>220</v>
      </c>
    </row>
    <row r="130" spans="2:4" ht="42.75" customHeight="1" x14ac:dyDescent="0.25">
      <c r="B130" s="214"/>
      <c r="C130" s="11" t="s">
        <v>213</v>
      </c>
      <c r="D130" s="9" t="s">
        <v>221</v>
      </c>
    </row>
    <row r="131" spans="2:4" ht="42.75" customHeight="1" x14ac:dyDescent="0.25">
      <c r="B131" s="214"/>
      <c r="C131" s="11" t="s">
        <v>215</v>
      </c>
      <c r="D131" s="9" t="s">
        <v>222</v>
      </c>
    </row>
    <row r="132" spans="2:4" ht="42.75" customHeight="1" x14ac:dyDescent="0.25">
      <c r="B132" s="214"/>
      <c r="C132" s="11" t="s">
        <v>214</v>
      </c>
      <c r="D132" s="9" t="s">
        <v>223</v>
      </c>
    </row>
    <row r="133" spans="2:4" ht="42.75" customHeight="1" x14ac:dyDescent="0.25">
      <c r="B133" s="214"/>
      <c r="C133" s="11" t="s">
        <v>216</v>
      </c>
      <c r="D133" s="9" t="s">
        <v>224</v>
      </c>
    </row>
    <row r="134" spans="2:4" ht="42.75" customHeight="1" x14ac:dyDescent="0.25">
      <c r="B134" s="214"/>
      <c r="C134" s="11" t="s">
        <v>217</v>
      </c>
      <c r="D134" s="9" t="s">
        <v>225</v>
      </c>
    </row>
    <row r="135" spans="2:4" ht="42.75" customHeight="1" x14ac:dyDescent="0.25">
      <c r="B135" s="214"/>
      <c r="C135" s="11" t="s">
        <v>218</v>
      </c>
      <c r="D135" s="9" t="s">
        <v>226</v>
      </c>
    </row>
    <row r="136" spans="2:4" ht="42.75" customHeight="1" x14ac:dyDescent="0.25">
      <c r="B136" s="214"/>
      <c r="C136" s="11" t="s">
        <v>118</v>
      </c>
      <c r="D136" s="9" t="s">
        <v>227</v>
      </c>
    </row>
    <row r="137" spans="2:4" ht="42.75" customHeight="1" x14ac:dyDescent="0.25">
      <c r="B137" s="214"/>
      <c r="C137" s="11" t="s">
        <v>119</v>
      </c>
      <c r="D137" s="9" t="s">
        <v>228</v>
      </c>
    </row>
    <row r="138" spans="2:4" ht="42.75" customHeight="1" x14ac:dyDescent="0.25">
      <c r="B138" s="214"/>
      <c r="C138" s="11" t="s">
        <v>108</v>
      </c>
      <c r="D138" s="9" t="s">
        <v>229</v>
      </c>
    </row>
    <row r="139" spans="2:4" ht="42.75" customHeight="1" x14ac:dyDescent="0.25">
      <c r="B139" s="214"/>
      <c r="C139" s="44" t="s">
        <v>153</v>
      </c>
      <c r="D139" s="78" t="s">
        <v>231</v>
      </c>
    </row>
    <row r="140" spans="2:4" ht="42.75" customHeight="1" x14ac:dyDescent="0.25">
      <c r="B140" s="214"/>
      <c r="C140" s="160" t="s">
        <v>120</v>
      </c>
      <c r="D140" s="171" t="s">
        <v>230</v>
      </c>
    </row>
    <row r="141" spans="2:4" ht="42.75" customHeight="1" x14ac:dyDescent="0.25">
      <c r="B141" s="214"/>
      <c r="C141" s="160" t="s">
        <v>121</v>
      </c>
      <c r="D141" s="171" t="s">
        <v>130</v>
      </c>
    </row>
    <row r="142" spans="2:4" ht="42.75" customHeight="1" x14ac:dyDescent="0.25">
      <c r="B142" s="214"/>
      <c r="C142" s="41" t="s">
        <v>166</v>
      </c>
      <c r="D142" s="9" t="s">
        <v>260</v>
      </c>
    </row>
    <row r="143" spans="2:4" ht="42.75" customHeight="1" x14ac:dyDescent="0.25">
      <c r="B143" s="214"/>
      <c r="C143" s="11" t="s">
        <v>109</v>
      </c>
      <c r="D143" s="9" t="s">
        <v>138</v>
      </c>
    </row>
    <row r="144" spans="2:4" ht="42.75" customHeight="1" x14ac:dyDescent="0.25">
      <c r="B144" s="214"/>
      <c r="C144" s="11" t="s">
        <v>122</v>
      </c>
      <c r="D144" s="9" t="s">
        <v>131</v>
      </c>
    </row>
    <row r="145" spans="2:4" ht="42.75" customHeight="1" x14ac:dyDescent="0.25">
      <c r="B145" s="214"/>
      <c r="C145" s="11" t="s">
        <v>123</v>
      </c>
      <c r="D145" s="9" t="s">
        <v>135</v>
      </c>
    </row>
    <row r="146" spans="2:4" ht="42.75" customHeight="1" x14ac:dyDescent="0.25">
      <c r="B146" s="214"/>
      <c r="C146" s="11" t="s">
        <v>124</v>
      </c>
      <c r="D146" s="9" t="s">
        <v>132</v>
      </c>
    </row>
    <row r="147" spans="2:4" ht="42.75" customHeight="1" x14ac:dyDescent="0.25">
      <c r="B147" s="214"/>
      <c r="C147" s="11" t="s">
        <v>125</v>
      </c>
      <c r="D147" s="9" t="s">
        <v>136</v>
      </c>
    </row>
    <row r="148" spans="2:4" ht="42.75" customHeight="1" x14ac:dyDescent="0.25">
      <c r="B148" s="214"/>
      <c r="C148" s="11" t="s">
        <v>126</v>
      </c>
      <c r="D148" s="9" t="s">
        <v>134</v>
      </c>
    </row>
    <row r="149" spans="2:4" ht="42.75" customHeight="1" x14ac:dyDescent="0.25">
      <c r="B149" s="214"/>
      <c r="C149" s="11" t="s">
        <v>127</v>
      </c>
      <c r="D149" s="9" t="s">
        <v>133</v>
      </c>
    </row>
    <row r="150" spans="2:4" ht="42.75" customHeight="1" x14ac:dyDescent="0.25">
      <c r="B150" s="214"/>
      <c r="C150" s="11" t="s">
        <v>128</v>
      </c>
      <c r="D150" s="79" t="s">
        <v>137</v>
      </c>
    </row>
    <row r="151" spans="2:4" ht="42.75" customHeight="1" x14ac:dyDescent="0.25">
      <c r="B151" s="214"/>
      <c r="C151" s="11" t="s">
        <v>129</v>
      </c>
      <c r="D151" s="9" t="s">
        <v>139</v>
      </c>
    </row>
    <row r="152" spans="2:4" ht="42.75" customHeight="1" x14ac:dyDescent="0.25">
      <c r="B152" s="214"/>
      <c r="C152" s="11" t="s">
        <v>110</v>
      </c>
      <c r="D152" s="9" t="s">
        <v>158</v>
      </c>
    </row>
    <row r="153" spans="2:4" ht="42.75" customHeight="1" x14ac:dyDescent="0.25">
      <c r="B153" s="214"/>
      <c r="C153" s="11" t="s">
        <v>299</v>
      </c>
      <c r="D153" s="9" t="s">
        <v>331</v>
      </c>
    </row>
    <row r="154" spans="2:4" ht="42.75" customHeight="1" x14ac:dyDescent="0.25">
      <c r="B154" s="214"/>
      <c r="C154" s="160" t="s">
        <v>298</v>
      </c>
      <c r="D154" s="171" t="s">
        <v>332</v>
      </c>
    </row>
    <row r="155" spans="2:4" ht="42.75" customHeight="1" x14ac:dyDescent="0.25">
      <c r="B155" s="214"/>
      <c r="C155" s="169" t="s">
        <v>343</v>
      </c>
      <c r="D155" s="171" t="s">
        <v>140</v>
      </c>
    </row>
    <row r="156" spans="2:4" s="83" customFormat="1" ht="20.25" customHeight="1" x14ac:dyDescent="0.25">
      <c r="B156" s="81"/>
      <c r="C156" s="54"/>
      <c r="D156" s="82"/>
    </row>
    <row r="157" spans="2:4" ht="42.75" customHeight="1" x14ac:dyDescent="0.25">
      <c r="B157" s="217" t="s">
        <v>264</v>
      </c>
      <c r="C157" s="11" t="s">
        <v>107</v>
      </c>
      <c r="D157" s="9" t="s">
        <v>252</v>
      </c>
    </row>
    <row r="158" spans="2:4" ht="42.75" customHeight="1" x14ac:dyDescent="0.25">
      <c r="B158" s="218"/>
      <c r="C158" s="43" t="s">
        <v>111</v>
      </c>
      <c r="D158" s="80" t="s">
        <v>220</v>
      </c>
    </row>
    <row r="159" spans="2:4" ht="42.75" customHeight="1" x14ac:dyDescent="0.25">
      <c r="B159" s="218"/>
      <c r="C159" s="11" t="s">
        <v>213</v>
      </c>
      <c r="D159" s="9" t="s">
        <v>253</v>
      </c>
    </row>
    <row r="160" spans="2:4" ht="42.75" customHeight="1" x14ac:dyDescent="0.25">
      <c r="B160" s="218"/>
      <c r="C160" s="11" t="s">
        <v>215</v>
      </c>
      <c r="D160" s="9" t="s">
        <v>254</v>
      </c>
    </row>
    <row r="161" spans="2:4" ht="42.75" customHeight="1" x14ac:dyDescent="0.25">
      <c r="B161" s="218"/>
      <c r="C161" s="11" t="s">
        <v>214</v>
      </c>
      <c r="D161" s="9" t="s">
        <v>255</v>
      </c>
    </row>
    <row r="162" spans="2:4" ht="42.75" customHeight="1" x14ac:dyDescent="0.25">
      <c r="B162" s="218"/>
      <c r="C162" s="11" t="s">
        <v>216</v>
      </c>
      <c r="D162" s="9" t="s">
        <v>256</v>
      </c>
    </row>
    <row r="163" spans="2:4" ht="42.75" customHeight="1" x14ac:dyDescent="0.25">
      <c r="B163" s="218"/>
      <c r="C163" s="11" t="s">
        <v>217</v>
      </c>
      <c r="D163" s="9" t="s">
        <v>257</v>
      </c>
    </row>
    <row r="164" spans="2:4" ht="42.75" customHeight="1" x14ac:dyDescent="0.25">
      <c r="B164" s="218"/>
      <c r="C164" s="11" t="s">
        <v>218</v>
      </c>
      <c r="D164" s="9" t="s">
        <v>258</v>
      </c>
    </row>
    <row r="165" spans="2:4" ht="42.75" customHeight="1" x14ac:dyDescent="0.25">
      <c r="B165" s="218"/>
      <c r="C165" s="11" t="s">
        <v>118</v>
      </c>
      <c r="D165" s="9" t="s">
        <v>227</v>
      </c>
    </row>
    <row r="166" spans="2:4" ht="42.75" customHeight="1" x14ac:dyDescent="0.25">
      <c r="B166" s="218"/>
      <c r="C166" s="11" t="s">
        <v>119</v>
      </c>
      <c r="D166" s="9" t="s">
        <v>228</v>
      </c>
    </row>
    <row r="167" spans="2:4" ht="42.75" customHeight="1" x14ac:dyDescent="0.25">
      <c r="B167" s="218"/>
      <c r="C167" s="11" t="s">
        <v>108</v>
      </c>
      <c r="D167" s="9" t="s">
        <v>229</v>
      </c>
    </row>
    <row r="168" spans="2:4" ht="42.75" customHeight="1" x14ac:dyDescent="0.25">
      <c r="B168" s="218"/>
      <c r="C168" s="160" t="s">
        <v>120</v>
      </c>
      <c r="D168" s="171" t="s">
        <v>235</v>
      </c>
    </row>
    <row r="169" spans="2:4" ht="42.75" customHeight="1" x14ac:dyDescent="0.25">
      <c r="B169" s="218"/>
      <c r="C169" s="160" t="s">
        <v>121</v>
      </c>
      <c r="D169" s="171" t="s">
        <v>130</v>
      </c>
    </row>
    <row r="170" spans="2:4" ht="42.75" customHeight="1" x14ac:dyDescent="0.25">
      <c r="B170" s="218"/>
      <c r="C170" s="41" t="s">
        <v>166</v>
      </c>
      <c r="D170" s="9" t="s">
        <v>260</v>
      </c>
    </row>
    <row r="171" spans="2:4" ht="42.75" customHeight="1" x14ac:dyDescent="0.25">
      <c r="B171" s="218"/>
      <c r="C171" s="11" t="s">
        <v>167</v>
      </c>
      <c r="D171" s="9" t="s">
        <v>138</v>
      </c>
    </row>
    <row r="172" spans="2:4" ht="42.75" customHeight="1" x14ac:dyDescent="0.25">
      <c r="B172" s="218"/>
      <c r="C172" s="11" t="s">
        <v>122</v>
      </c>
      <c r="D172" s="9" t="s">
        <v>131</v>
      </c>
    </row>
    <row r="173" spans="2:4" ht="42.75" customHeight="1" x14ac:dyDescent="0.25">
      <c r="B173" s="218"/>
      <c r="C173" s="11" t="s">
        <v>123</v>
      </c>
      <c r="D173" s="9" t="s">
        <v>135</v>
      </c>
    </row>
    <row r="174" spans="2:4" ht="42.75" customHeight="1" x14ac:dyDescent="0.25">
      <c r="B174" s="218"/>
      <c r="C174" s="11" t="s">
        <v>124</v>
      </c>
      <c r="D174" s="9" t="s">
        <v>132</v>
      </c>
    </row>
    <row r="175" spans="2:4" ht="42.75" customHeight="1" x14ac:dyDescent="0.25">
      <c r="B175" s="218"/>
      <c r="C175" s="11" t="s">
        <v>125</v>
      </c>
      <c r="D175" s="9" t="s">
        <v>136</v>
      </c>
    </row>
    <row r="176" spans="2:4" ht="42.75" customHeight="1" x14ac:dyDescent="0.25">
      <c r="B176" s="218"/>
      <c r="C176" s="11" t="s">
        <v>126</v>
      </c>
      <c r="D176" s="9" t="s">
        <v>134</v>
      </c>
    </row>
    <row r="177" spans="2:4" ht="42.75" customHeight="1" x14ac:dyDescent="0.25">
      <c r="B177" s="218"/>
      <c r="C177" s="11" t="s">
        <v>127</v>
      </c>
      <c r="D177" s="9" t="s">
        <v>133</v>
      </c>
    </row>
    <row r="178" spans="2:4" ht="42.75" customHeight="1" x14ac:dyDescent="0.25">
      <c r="B178" s="218"/>
      <c r="C178" s="11" t="s">
        <v>128</v>
      </c>
      <c r="D178" s="79" t="s">
        <v>137</v>
      </c>
    </row>
    <row r="179" spans="2:4" ht="42.75" customHeight="1" x14ac:dyDescent="0.25">
      <c r="B179" s="218"/>
      <c r="C179" s="11" t="s">
        <v>129</v>
      </c>
      <c r="D179" s="9" t="s">
        <v>139</v>
      </c>
    </row>
    <row r="180" spans="2:4" ht="42.75" customHeight="1" x14ac:dyDescent="0.25">
      <c r="B180" s="218"/>
      <c r="C180" s="11" t="s">
        <v>110</v>
      </c>
      <c r="D180" s="9" t="s">
        <v>158</v>
      </c>
    </row>
    <row r="181" spans="2:4" ht="42.75" customHeight="1" x14ac:dyDescent="0.25">
      <c r="B181" s="218"/>
      <c r="C181" s="11" t="s">
        <v>299</v>
      </c>
      <c r="D181" s="9" t="s">
        <v>331</v>
      </c>
    </row>
    <row r="182" spans="2:4" ht="44.25" customHeight="1" x14ac:dyDescent="0.25">
      <c r="B182" s="218"/>
      <c r="C182" s="160" t="s">
        <v>298</v>
      </c>
      <c r="D182" s="171" t="s">
        <v>159</v>
      </c>
    </row>
    <row r="183" spans="2:4" ht="44.25" customHeight="1" x14ac:dyDescent="0.25">
      <c r="B183" s="219"/>
      <c r="C183" s="169" t="s">
        <v>305</v>
      </c>
      <c r="D183" s="171" t="s">
        <v>140</v>
      </c>
    </row>
  </sheetData>
  <mergeCells count="11">
    <mergeCell ref="B125:B155"/>
    <mergeCell ref="B67:B95"/>
    <mergeCell ref="B43:B65"/>
    <mergeCell ref="B157:B183"/>
    <mergeCell ref="B31:B39"/>
    <mergeCell ref="C2:D2"/>
    <mergeCell ref="B97:B123"/>
    <mergeCell ref="B8:B12"/>
    <mergeCell ref="B14:B19"/>
    <mergeCell ref="B21:B23"/>
    <mergeCell ref="B25:B2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02F09-AD85-4B93-A23A-5602348898FD}">
  <dimension ref="B2:G26"/>
  <sheetViews>
    <sheetView showGridLines="0" zoomScale="85" zoomScaleNormal="85" workbookViewId="0">
      <selection activeCell="B2" sqref="B2:G7"/>
    </sheetView>
  </sheetViews>
  <sheetFormatPr baseColWidth="10" defaultRowHeight="15" x14ac:dyDescent="0.25"/>
  <cols>
    <col min="1" max="1" width="3.5703125" customWidth="1"/>
    <col min="2" max="2" width="32" customWidth="1"/>
    <col min="3" max="7" width="32" style="4" customWidth="1"/>
  </cols>
  <sheetData>
    <row r="2" spans="2:7" s="48" customFormat="1" ht="16.5" customHeight="1" x14ac:dyDescent="0.25">
      <c r="B2" s="223" t="s">
        <v>289</v>
      </c>
      <c r="C2" s="224"/>
      <c r="D2" s="224"/>
      <c r="E2" s="224"/>
      <c r="F2" s="224"/>
      <c r="G2" s="225"/>
    </row>
    <row r="3" spans="2:7" s="48" customFormat="1" ht="16.5" customHeight="1" x14ac:dyDescent="0.25">
      <c r="B3" s="123" t="s">
        <v>191</v>
      </c>
      <c r="C3" s="55" t="s">
        <v>192</v>
      </c>
      <c r="D3" s="129" t="s">
        <v>327</v>
      </c>
      <c r="E3" s="55"/>
      <c r="F3" s="55"/>
      <c r="G3" s="122"/>
    </row>
    <row r="4" spans="2:7" s="48" customFormat="1" ht="16.5" customHeight="1" x14ac:dyDescent="0.25">
      <c r="B4" s="123" t="s">
        <v>190</v>
      </c>
      <c r="C4" s="55" t="s">
        <v>288</v>
      </c>
      <c r="D4" s="129" t="s">
        <v>328</v>
      </c>
      <c r="E4" s="55"/>
      <c r="F4" s="55"/>
      <c r="G4" s="122"/>
    </row>
    <row r="5" spans="2:7" s="48" customFormat="1" ht="16.5" customHeight="1" x14ac:dyDescent="0.25">
      <c r="B5" s="131" t="s">
        <v>293</v>
      </c>
      <c r="C5" s="55"/>
      <c r="D5" s="129"/>
      <c r="E5" s="55"/>
      <c r="F5" s="55"/>
      <c r="G5" s="122"/>
    </row>
    <row r="6" spans="2:7" s="48" customFormat="1" ht="16.5" customHeight="1" x14ac:dyDescent="0.25">
      <c r="B6" s="124" t="s">
        <v>206</v>
      </c>
      <c r="C6" s="55"/>
      <c r="D6" s="55"/>
      <c r="E6" s="55"/>
      <c r="F6" s="55"/>
      <c r="G6" s="122"/>
    </row>
    <row r="7" spans="2:7" s="48" customFormat="1" ht="16.5" customHeight="1" x14ac:dyDescent="0.25">
      <c r="B7" s="125" t="s">
        <v>189</v>
      </c>
      <c r="C7" s="126" t="s">
        <v>109</v>
      </c>
      <c r="D7" s="130" t="s">
        <v>290</v>
      </c>
      <c r="E7" s="126"/>
      <c r="F7" s="126"/>
      <c r="G7" s="127"/>
    </row>
    <row r="9" spans="2:7" x14ac:dyDescent="0.25">
      <c r="B9" s="120" t="s">
        <v>329</v>
      </c>
      <c r="C9" s="121" t="s">
        <v>199</v>
      </c>
      <c r="D9" s="121" t="s">
        <v>200</v>
      </c>
      <c r="E9" s="121" t="s">
        <v>198</v>
      </c>
      <c r="F9" s="121" t="s">
        <v>183</v>
      </c>
      <c r="G9" s="121" t="s">
        <v>197</v>
      </c>
    </row>
    <row r="10" spans="2:7" x14ac:dyDescent="0.25">
      <c r="B10" s="118" t="s">
        <v>188</v>
      </c>
      <c r="C10" s="116" t="s">
        <v>190</v>
      </c>
      <c r="D10" s="116" t="s">
        <v>190</v>
      </c>
      <c r="E10" s="116" t="s">
        <v>185</v>
      </c>
      <c r="F10" s="116" t="s">
        <v>185</v>
      </c>
      <c r="G10" s="116" t="s">
        <v>185</v>
      </c>
    </row>
    <row r="11" spans="2:7" x14ac:dyDescent="0.25">
      <c r="B11" s="118" t="s">
        <v>205</v>
      </c>
      <c r="C11" s="116" t="s">
        <v>194</v>
      </c>
      <c r="D11" s="116" t="s">
        <v>194</v>
      </c>
      <c r="E11" s="116" t="s">
        <v>185</v>
      </c>
      <c r="F11" s="116" t="s">
        <v>191</v>
      </c>
      <c r="G11" s="116" t="s">
        <v>185</v>
      </c>
    </row>
    <row r="12" spans="2:7" x14ac:dyDescent="0.25">
      <c r="B12" s="118" t="s">
        <v>201</v>
      </c>
      <c r="C12" s="116" t="s">
        <v>190</v>
      </c>
      <c r="D12" s="116" t="s">
        <v>193</v>
      </c>
      <c r="E12" s="116" t="s">
        <v>189</v>
      </c>
      <c r="F12" s="116" t="s">
        <v>189</v>
      </c>
      <c r="G12" s="116" t="s">
        <v>189</v>
      </c>
    </row>
    <row r="13" spans="2:7" x14ac:dyDescent="0.25">
      <c r="B13" s="118" t="s">
        <v>196</v>
      </c>
      <c r="C13" s="116" t="s">
        <v>194</v>
      </c>
      <c r="D13" s="116" t="s">
        <v>194</v>
      </c>
      <c r="E13" s="116" t="s">
        <v>185</v>
      </c>
      <c r="F13" s="116" t="s">
        <v>185</v>
      </c>
      <c r="G13" s="116" t="s">
        <v>185</v>
      </c>
    </row>
    <row r="14" spans="2:7" x14ac:dyDescent="0.25">
      <c r="B14" s="118" t="s">
        <v>202</v>
      </c>
      <c r="C14" s="116" t="s">
        <v>190</v>
      </c>
      <c r="D14" s="116" t="s">
        <v>204</v>
      </c>
      <c r="E14" s="116" t="s">
        <v>189</v>
      </c>
      <c r="F14" s="116" t="s">
        <v>189</v>
      </c>
      <c r="G14" s="116" t="s">
        <v>189</v>
      </c>
    </row>
    <row r="15" spans="2:7" x14ac:dyDescent="0.25">
      <c r="B15" s="118" t="s">
        <v>203</v>
      </c>
      <c r="C15" s="116" t="s">
        <v>190</v>
      </c>
      <c r="D15" s="116" t="s">
        <v>195</v>
      </c>
      <c r="E15" s="116" t="s">
        <v>189</v>
      </c>
      <c r="F15" s="116" t="s">
        <v>189</v>
      </c>
      <c r="G15" s="116" t="s">
        <v>189</v>
      </c>
    </row>
    <row r="16" spans="2:7" x14ac:dyDescent="0.25">
      <c r="B16" s="118" t="s">
        <v>184</v>
      </c>
      <c r="C16" s="116" t="s">
        <v>191</v>
      </c>
      <c r="D16" s="116" t="s">
        <v>191</v>
      </c>
      <c r="E16" s="116" t="s">
        <v>185</v>
      </c>
      <c r="F16" s="116" t="s">
        <v>191</v>
      </c>
      <c r="G16" s="116" t="s">
        <v>185</v>
      </c>
    </row>
    <row r="17" spans="2:7" x14ac:dyDescent="0.25">
      <c r="B17" s="118" t="s">
        <v>68</v>
      </c>
      <c r="C17" s="116" t="s">
        <v>191</v>
      </c>
      <c r="D17" s="116" t="s">
        <v>191</v>
      </c>
      <c r="E17" s="116" t="s">
        <v>185</v>
      </c>
      <c r="F17" s="116" t="s">
        <v>191</v>
      </c>
      <c r="G17" s="116" t="s">
        <v>185</v>
      </c>
    </row>
    <row r="18" spans="2:7" x14ac:dyDescent="0.25">
      <c r="B18" s="118" t="s">
        <v>186</v>
      </c>
      <c r="C18" s="116" t="s">
        <v>191</v>
      </c>
      <c r="D18" s="116" t="s">
        <v>191</v>
      </c>
      <c r="E18" s="116" t="s">
        <v>185</v>
      </c>
      <c r="F18" s="116" t="s">
        <v>191</v>
      </c>
      <c r="G18" s="116" t="s">
        <v>185</v>
      </c>
    </row>
    <row r="19" spans="2:7" x14ac:dyDescent="0.25">
      <c r="B19" s="119" t="s">
        <v>187</v>
      </c>
      <c r="C19" s="117" t="s">
        <v>185</v>
      </c>
      <c r="D19" s="117" t="s">
        <v>185</v>
      </c>
      <c r="E19" s="117" t="s">
        <v>185</v>
      </c>
      <c r="F19" s="117" t="s">
        <v>185</v>
      </c>
      <c r="G19" s="117" t="s">
        <v>185</v>
      </c>
    </row>
    <row r="21" spans="2:7" s="48" customFormat="1" ht="18" customHeight="1" x14ac:dyDescent="0.25">
      <c r="B21" s="223" t="s">
        <v>207</v>
      </c>
      <c r="C21" s="224"/>
      <c r="D21" s="224"/>
      <c r="E21" s="224"/>
      <c r="F21" s="224"/>
      <c r="G21" s="225"/>
    </row>
    <row r="22" spans="2:7" ht="96.75" customHeight="1" x14ac:dyDescent="0.25">
      <c r="B22" s="226" t="s">
        <v>330</v>
      </c>
      <c r="C22" s="227"/>
      <c r="D22" s="227"/>
      <c r="E22" s="227"/>
      <c r="F22" s="227"/>
      <c r="G22" s="228"/>
    </row>
    <row r="23" spans="2:7" ht="39.75" customHeight="1" x14ac:dyDescent="0.25">
      <c r="B23" s="226" t="s">
        <v>278</v>
      </c>
      <c r="C23" s="227"/>
      <c r="D23" s="227"/>
      <c r="E23" s="227"/>
      <c r="F23" s="227"/>
      <c r="G23" s="228"/>
    </row>
    <row r="24" spans="2:7" ht="55.5" customHeight="1" x14ac:dyDescent="0.25">
      <c r="B24" s="220" t="s">
        <v>291</v>
      </c>
      <c r="C24" s="221"/>
      <c r="D24" s="221"/>
      <c r="E24" s="221"/>
      <c r="F24" s="221"/>
      <c r="G24" s="222"/>
    </row>
    <row r="25" spans="2:7" ht="55.5" customHeight="1" x14ac:dyDescent="0.25">
      <c r="B25" s="220" t="s">
        <v>292</v>
      </c>
      <c r="C25" s="221"/>
      <c r="D25" s="221"/>
      <c r="E25" s="221"/>
      <c r="F25" s="221"/>
      <c r="G25" s="222"/>
    </row>
    <row r="26" spans="2:7" ht="40.5" customHeight="1" x14ac:dyDescent="0.25">
      <c r="B26" s="220" t="s">
        <v>287</v>
      </c>
      <c r="C26" s="221"/>
      <c r="D26" s="221"/>
      <c r="E26" s="221"/>
      <c r="F26" s="221"/>
      <c r="G26" s="222"/>
    </row>
  </sheetData>
  <mergeCells count="7">
    <mergeCell ref="B25:G25"/>
    <mergeCell ref="B26:G26"/>
    <mergeCell ref="B2:G2"/>
    <mergeCell ref="B21:G21"/>
    <mergeCell ref="B22:G22"/>
    <mergeCell ref="B23:G23"/>
    <mergeCell ref="B24:G24"/>
  </mergeCells>
  <hyperlinks>
    <hyperlink ref="B5" r:id="rId1" display="https://www.compta-facile.com/charge-ou-immobilisation/" xr:uid="{FE5C0C68-60D1-48DB-B837-5E426D3B4B12}"/>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SIMULIMO</vt:lpstr>
      <vt:lpstr>TRI</vt:lpstr>
      <vt:lpstr>GLOSSAIRE</vt:lpstr>
      <vt:lpstr>REGLES FISCALES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 CHARDIGNY</dc:creator>
  <cp:lastModifiedBy>Antoine CHARDIGNY</cp:lastModifiedBy>
  <dcterms:created xsi:type="dcterms:W3CDTF">2020-11-10T13:19:38Z</dcterms:created>
  <dcterms:modified xsi:type="dcterms:W3CDTF">2021-03-28T08:10:03Z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bb86df87-dacb-4920-a4ba-af274c2cb78f</vt:lpwstr>
  </property>
</Properties>
</file>