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achardigny\Dropbox\ADMINISTRATIF\IMMOBILIER\INTERFACE\"/>
    </mc:Choice>
  </mc:AlternateContent>
  <xr:revisionPtr revIDLastSave="0" documentId="13_ncr:1_{7E5A320C-D95E-4A24-9501-92E2435B26E7}" xr6:coauthVersionLast="46" xr6:coauthVersionMax="46" xr10:uidLastSave="{00000000-0000-0000-0000-000000000000}"/>
  <bookViews>
    <workbookView xWindow="-120" yWindow="-120" windowWidth="20730" windowHeight="11160" tabRatio="783" xr2:uid="{51883200-22E6-471E-A965-38E8A38F9624}"/>
  </bookViews>
  <sheets>
    <sheet name="SIMULIMO" sheetId="2" r:id="rId1"/>
    <sheet name="LEGENDE" sheetId="3"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9" i="2" l="1"/>
  <c r="AG9" i="2"/>
  <c r="AH9" i="2"/>
  <c r="AI9" i="2"/>
  <c r="AJ9" i="2"/>
  <c r="AF11" i="2"/>
  <c r="AG11" i="2"/>
  <c r="AH11" i="2"/>
  <c r="AI11" i="2"/>
  <c r="AJ11" i="2"/>
  <c r="AF15" i="2"/>
  <c r="AG15" i="2"/>
  <c r="AH15" i="2"/>
  <c r="AI15" i="2"/>
  <c r="AJ15" i="2"/>
  <c r="AF16" i="2"/>
  <c r="AG16" i="2"/>
  <c r="AH16" i="2"/>
  <c r="AI16" i="2"/>
  <c r="AJ16" i="2"/>
  <c r="AF17" i="2"/>
  <c r="AG17" i="2"/>
  <c r="AG20" i="2" s="1"/>
  <c r="AH17" i="2"/>
  <c r="AI17" i="2"/>
  <c r="AJ17" i="2"/>
  <c r="AF18" i="2"/>
  <c r="AF20" i="2" s="1"/>
  <c r="AF21" i="2" s="1"/>
  <c r="AG18" i="2"/>
  <c r="AH18" i="2"/>
  <c r="AI18" i="2"/>
  <c r="AJ18" i="2"/>
  <c r="AJ20" i="2" s="1"/>
  <c r="AJ21" i="2" s="1"/>
  <c r="AF19" i="2"/>
  <c r="AG19" i="2"/>
  <c r="AH19" i="2"/>
  <c r="AI19" i="2"/>
  <c r="AI20" i="2" s="1"/>
  <c r="AI21" i="2" s="1"/>
  <c r="AJ19" i="2"/>
  <c r="AH20" i="2"/>
  <c r="AH21" i="2" s="1"/>
  <c r="AF24" i="2"/>
  <c r="AG24" i="2"/>
  <c r="AH24" i="2"/>
  <c r="AI24" i="2"/>
  <c r="AJ24" i="2"/>
  <c r="AF25" i="2"/>
  <c r="AG25" i="2"/>
  <c r="AH25" i="2"/>
  <c r="AI25" i="2"/>
  <c r="AJ25" i="2"/>
  <c r="AF26" i="2"/>
  <c r="AG26" i="2"/>
  <c r="AH26" i="2"/>
  <c r="AI26" i="2"/>
  <c r="AJ26" i="2"/>
  <c r="AF27" i="2"/>
  <c r="AG27" i="2"/>
  <c r="AH27" i="2"/>
  <c r="AI27" i="2"/>
  <c r="AJ27" i="2"/>
  <c r="AF34" i="2"/>
  <c r="AG34" i="2"/>
  <c r="AG35" i="2" s="1"/>
  <c r="AG36" i="2" s="1"/>
  <c r="AH34" i="2"/>
  <c r="AI34" i="2"/>
  <c r="AJ34" i="2"/>
  <c r="AH35" i="2"/>
  <c r="AI35" i="2"/>
  <c r="AI36" i="2" s="1"/>
  <c r="AI37" i="2" s="1"/>
  <c r="AI42" i="2" s="1"/>
  <c r="AH36" i="2"/>
  <c r="AH37" i="2" s="1"/>
  <c r="AG37" i="2"/>
  <c r="AF38" i="2"/>
  <c r="AG38" i="2"/>
  <c r="AH38" i="2"/>
  <c r="AI38" i="2"/>
  <c r="AJ38" i="2"/>
  <c r="AH39" i="2"/>
  <c r="AI39" i="2"/>
  <c r="AI40" i="2" s="1"/>
  <c r="AI41" i="2" s="1"/>
  <c r="AH40" i="2"/>
  <c r="AH41" i="2" s="1"/>
  <c r="AF65" i="2"/>
  <c r="AG65" i="2"/>
  <c r="AG66" i="2" s="1"/>
  <c r="AH65" i="2"/>
  <c r="AH66" i="2" s="1"/>
  <c r="AI65" i="2"/>
  <c r="AJ65" i="2"/>
  <c r="AF66" i="2"/>
  <c r="AF67" i="2" s="1"/>
  <c r="AF68" i="2" s="1"/>
  <c r="AF69" i="2" s="1"/>
  <c r="AI66" i="2"/>
  <c r="AI70" i="2" s="1"/>
  <c r="AI71" i="2" s="1"/>
  <c r="AI72" i="2" s="1"/>
  <c r="AF74" i="2"/>
  <c r="AI74" i="2"/>
  <c r="AJ74" i="2"/>
  <c r="AF94" i="2"/>
  <c r="AG94" i="2"/>
  <c r="AG95" i="2" s="1"/>
  <c r="AH94" i="2"/>
  <c r="AI94" i="2"/>
  <c r="AI95" i="2" s="1"/>
  <c r="AJ94" i="2"/>
  <c r="AF95" i="2"/>
  <c r="AF96" i="2" s="1"/>
  <c r="AF97" i="2" s="1"/>
  <c r="AF98" i="2" s="1"/>
  <c r="AH95" i="2"/>
  <c r="AH96" i="2" s="1"/>
  <c r="AH97" i="2" s="1"/>
  <c r="AH98" i="2" s="1"/>
  <c r="AJ95" i="2"/>
  <c r="AJ96" i="2" s="1"/>
  <c r="AJ97" i="2" s="1"/>
  <c r="AJ98" i="2" s="1"/>
  <c r="AF103" i="2"/>
  <c r="AH103" i="2"/>
  <c r="AJ103" i="2"/>
  <c r="AH28" i="2" l="1"/>
  <c r="AI28" i="2"/>
  <c r="AJ28" i="2"/>
  <c r="AF28" i="2"/>
  <c r="AG28" i="2"/>
  <c r="AH99" i="2"/>
  <c r="AH100" i="2" s="1"/>
  <c r="AH101" i="2" s="1"/>
  <c r="AI67" i="2"/>
  <c r="AI68" i="2" s="1"/>
  <c r="AI69" i="2" s="1"/>
  <c r="AJ99" i="2"/>
  <c r="AJ100" i="2" s="1"/>
  <c r="AJ101" i="2" s="1"/>
  <c r="AJ102" i="2" s="1"/>
  <c r="AH102" i="2"/>
  <c r="AH104" i="2" s="1"/>
  <c r="AI73" i="2"/>
  <c r="AI75" i="2" s="1"/>
  <c r="AF99" i="2"/>
  <c r="AF100" i="2" s="1"/>
  <c r="AF101" i="2" s="1"/>
  <c r="AF102" i="2" s="1"/>
  <c r="AI96" i="2"/>
  <c r="AI97" i="2" s="1"/>
  <c r="AI98" i="2" s="1"/>
  <c r="AI99" i="2"/>
  <c r="AI100" i="2" s="1"/>
  <c r="AI101" i="2" s="1"/>
  <c r="AG99" i="2"/>
  <c r="AG100" i="2" s="1"/>
  <c r="AG101" i="2" s="1"/>
  <c r="AG96" i="2"/>
  <c r="AG97" i="2" s="1"/>
  <c r="AG98" i="2" s="1"/>
  <c r="AJ35" i="2"/>
  <c r="AJ36" i="2" s="1"/>
  <c r="AJ37" i="2" s="1"/>
  <c r="AJ42" i="2" s="1"/>
  <c r="AJ39" i="2"/>
  <c r="AJ40" i="2" s="1"/>
  <c r="AJ41" i="2" s="1"/>
  <c r="AI103" i="2"/>
  <c r="AH42" i="2"/>
  <c r="AG74" i="2"/>
  <c r="AF70" i="2"/>
  <c r="AF71" i="2" s="1"/>
  <c r="AF72" i="2" s="1"/>
  <c r="AF73" i="2" s="1"/>
  <c r="AJ66" i="2"/>
  <c r="AG70" i="2"/>
  <c r="AG71" i="2" s="1"/>
  <c r="AG72" i="2" s="1"/>
  <c r="AG67" i="2"/>
  <c r="AG68" i="2" s="1"/>
  <c r="AG69" i="2" s="1"/>
  <c r="AF35" i="2"/>
  <c r="AF36" i="2" s="1"/>
  <c r="AF37" i="2" s="1"/>
  <c r="AF39" i="2"/>
  <c r="AF40" i="2" s="1"/>
  <c r="AF41" i="2" s="1"/>
  <c r="AG103" i="2"/>
  <c r="AH70" i="2"/>
  <c r="AH71" i="2" s="1"/>
  <c r="AH72" i="2" s="1"/>
  <c r="AH67" i="2"/>
  <c r="AH68" i="2" s="1"/>
  <c r="AH69" i="2" s="1"/>
  <c r="AG21" i="2"/>
  <c r="AH74" i="2"/>
  <c r="AG39" i="2"/>
  <c r="AG40" i="2" s="1"/>
  <c r="AG41" i="2" s="1"/>
  <c r="AG42" i="2" s="1"/>
  <c r="Q15" i="2"/>
  <c r="R15" i="2"/>
  <c r="S15" i="2"/>
  <c r="T15" i="2"/>
  <c r="U15" i="2"/>
  <c r="V15" i="2"/>
  <c r="W15" i="2"/>
  <c r="X15" i="2"/>
  <c r="Y15" i="2"/>
  <c r="Z15" i="2"/>
  <c r="AA15" i="2"/>
  <c r="AB15" i="2"/>
  <c r="AC15" i="2"/>
  <c r="AD15" i="2"/>
  <c r="AE15" i="2"/>
  <c r="Q16" i="2"/>
  <c r="R16" i="2"/>
  <c r="S16" i="2"/>
  <c r="T16" i="2"/>
  <c r="U16" i="2"/>
  <c r="V16" i="2"/>
  <c r="W16" i="2"/>
  <c r="X16" i="2"/>
  <c r="Y16" i="2"/>
  <c r="Z16" i="2"/>
  <c r="AA16" i="2"/>
  <c r="AB16" i="2"/>
  <c r="AC16" i="2"/>
  <c r="AD16" i="2"/>
  <c r="AE16" i="2"/>
  <c r="Q17" i="2"/>
  <c r="R17" i="2"/>
  <c r="S17" i="2"/>
  <c r="T17" i="2"/>
  <c r="U17" i="2"/>
  <c r="V17" i="2"/>
  <c r="W17" i="2"/>
  <c r="X17" i="2"/>
  <c r="Y17" i="2"/>
  <c r="Z17" i="2"/>
  <c r="AA17" i="2"/>
  <c r="AB17" i="2"/>
  <c r="AC17" i="2"/>
  <c r="AD17" i="2"/>
  <c r="AE17" i="2"/>
  <c r="Q18" i="2"/>
  <c r="R18" i="2"/>
  <c r="S18" i="2"/>
  <c r="T18" i="2"/>
  <c r="U18" i="2"/>
  <c r="V18" i="2"/>
  <c r="W18" i="2"/>
  <c r="X18" i="2"/>
  <c r="Y18" i="2"/>
  <c r="Z18" i="2"/>
  <c r="AA18" i="2"/>
  <c r="AB18" i="2"/>
  <c r="AC18" i="2"/>
  <c r="AD18" i="2"/>
  <c r="AE18" i="2"/>
  <c r="Q19" i="2"/>
  <c r="R19" i="2"/>
  <c r="S19" i="2"/>
  <c r="T19" i="2"/>
  <c r="U19" i="2"/>
  <c r="V19" i="2"/>
  <c r="W19" i="2"/>
  <c r="X19" i="2"/>
  <c r="Y19" i="2"/>
  <c r="Z19" i="2"/>
  <c r="AA19" i="2"/>
  <c r="AB19" i="2"/>
  <c r="AC19" i="2"/>
  <c r="AD19" i="2"/>
  <c r="AE19" i="2"/>
  <c r="U20" i="2"/>
  <c r="Q24" i="2"/>
  <c r="R24" i="2"/>
  <c r="S24" i="2"/>
  <c r="T24" i="2"/>
  <c r="U24" i="2"/>
  <c r="V24" i="2"/>
  <c r="W24" i="2"/>
  <c r="X24" i="2"/>
  <c r="Y24" i="2"/>
  <c r="Z24" i="2"/>
  <c r="AA24" i="2"/>
  <c r="AB24" i="2"/>
  <c r="AC24" i="2"/>
  <c r="AD24" i="2"/>
  <c r="AE24" i="2"/>
  <c r="Q25" i="2"/>
  <c r="R25" i="2"/>
  <c r="S25" i="2"/>
  <c r="T25" i="2"/>
  <c r="U25" i="2"/>
  <c r="V25" i="2"/>
  <c r="W25" i="2"/>
  <c r="X25" i="2"/>
  <c r="Y25" i="2"/>
  <c r="Z25" i="2"/>
  <c r="AA25" i="2"/>
  <c r="AB25" i="2"/>
  <c r="AC25" i="2"/>
  <c r="AD25" i="2"/>
  <c r="AE25" i="2"/>
  <c r="Q26" i="2"/>
  <c r="R26" i="2"/>
  <c r="S26" i="2"/>
  <c r="T26" i="2"/>
  <c r="U26" i="2"/>
  <c r="V26" i="2"/>
  <c r="W26" i="2"/>
  <c r="X26" i="2"/>
  <c r="Y26" i="2"/>
  <c r="Z26" i="2"/>
  <c r="AA26" i="2"/>
  <c r="AB26" i="2"/>
  <c r="AC26" i="2"/>
  <c r="AD26" i="2"/>
  <c r="AE26" i="2"/>
  <c r="Q27" i="2"/>
  <c r="R27" i="2"/>
  <c r="S27" i="2"/>
  <c r="T27" i="2"/>
  <c r="U27" i="2"/>
  <c r="V27" i="2"/>
  <c r="W27" i="2"/>
  <c r="X27" i="2"/>
  <c r="Y27" i="2"/>
  <c r="Z27" i="2"/>
  <c r="AA27" i="2"/>
  <c r="AB27" i="2"/>
  <c r="AC27" i="2"/>
  <c r="AD27" i="2"/>
  <c r="AE27" i="2"/>
  <c r="Q34" i="2"/>
  <c r="Q35" i="2" s="1"/>
  <c r="Q36" i="2" s="1"/>
  <c r="Q37" i="2" s="1"/>
  <c r="R34" i="2"/>
  <c r="S34" i="2"/>
  <c r="S35" i="2" s="1"/>
  <c r="S36" i="2" s="1"/>
  <c r="S37" i="2" s="1"/>
  <c r="T34" i="2"/>
  <c r="U34" i="2"/>
  <c r="U35" i="2" s="1"/>
  <c r="U36" i="2" s="1"/>
  <c r="U37" i="2" s="1"/>
  <c r="V34" i="2"/>
  <c r="W34" i="2"/>
  <c r="W35" i="2" s="1"/>
  <c r="W36" i="2" s="1"/>
  <c r="W37" i="2" s="1"/>
  <c r="X34" i="2"/>
  <c r="X35" i="2" s="1"/>
  <c r="X36" i="2" s="1"/>
  <c r="X37" i="2" s="1"/>
  <c r="Y34" i="2"/>
  <c r="Y35" i="2" s="1"/>
  <c r="Y36" i="2" s="1"/>
  <c r="Y37" i="2" s="1"/>
  <c r="Z34" i="2"/>
  <c r="AA34" i="2"/>
  <c r="AA39" i="2" s="1"/>
  <c r="AA40" i="2" s="1"/>
  <c r="AA41" i="2" s="1"/>
  <c r="AB34" i="2"/>
  <c r="AC34" i="2"/>
  <c r="AC35" i="2" s="1"/>
  <c r="AC36" i="2" s="1"/>
  <c r="AC37" i="2" s="1"/>
  <c r="AD34" i="2"/>
  <c r="AE34" i="2"/>
  <c r="AE39" i="2" s="1"/>
  <c r="AE40" i="2" s="1"/>
  <c r="AE41" i="2" s="1"/>
  <c r="T35" i="2"/>
  <c r="T36" i="2" s="1"/>
  <c r="T37" i="2" s="1"/>
  <c r="Q38" i="2"/>
  <c r="R38" i="2"/>
  <c r="S38" i="2"/>
  <c r="T38" i="2"/>
  <c r="U38" i="2"/>
  <c r="V38" i="2"/>
  <c r="W38" i="2"/>
  <c r="X38" i="2"/>
  <c r="Y38" i="2"/>
  <c r="Z38" i="2"/>
  <c r="AA38" i="2"/>
  <c r="AB38" i="2"/>
  <c r="AC38" i="2"/>
  <c r="AD38" i="2"/>
  <c r="AE38" i="2"/>
  <c r="S39" i="2"/>
  <c r="S40" i="2" s="1"/>
  <c r="S41" i="2" s="1"/>
  <c r="U39" i="2"/>
  <c r="AC39" i="2"/>
  <c r="AC40" i="2" s="1"/>
  <c r="AC41" i="2" s="1"/>
  <c r="AC42" i="2" s="1"/>
  <c r="U40" i="2"/>
  <c r="U41" i="2" s="1"/>
  <c r="U1" i="2"/>
  <c r="V1" i="2" s="1"/>
  <c r="W1" i="2" s="1"/>
  <c r="X1" i="2" s="1"/>
  <c r="Y1" i="2" s="1"/>
  <c r="Z1" i="2" s="1"/>
  <c r="AA1" i="2" s="1"/>
  <c r="AB1" i="2" s="1"/>
  <c r="AC1" i="2" s="1"/>
  <c r="AD1" i="2" s="1"/>
  <c r="AE1" i="2" s="1"/>
  <c r="AF1" i="2" s="1"/>
  <c r="AG1" i="2" s="1"/>
  <c r="AH1" i="2" s="1"/>
  <c r="AI1" i="2" s="1"/>
  <c r="AJ1" i="2" s="1"/>
  <c r="Q2" i="2"/>
  <c r="R2" i="2" s="1"/>
  <c r="S2" i="2" s="1"/>
  <c r="T2" i="2" s="1"/>
  <c r="U2" i="2" s="1"/>
  <c r="V2" i="2" s="1"/>
  <c r="W2" i="2" s="1"/>
  <c r="X2" i="2" s="1"/>
  <c r="Y2" i="2" s="1"/>
  <c r="Z2" i="2" s="1"/>
  <c r="AA2" i="2" s="1"/>
  <c r="AB2" i="2" s="1"/>
  <c r="AC2" i="2" s="1"/>
  <c r="AD2" i="2" s="1"/>
  <c r="AE2" i="2" s="1"/>
  <c r="AF2" i="2" s="1"/>
  <c r="AG2" i="2" s="1"/>
  <c r="AH2" i="2" s="1"/>
  <c r="AI2" i="2" s="1"/>
  <c r="AJ2" i="2" s="1"/>
  <c r="R9" i="2"/>
  <c r="R65" i="2" s="1"/>
  <c r="S9" i="2"/>
  <c r="S94" i="2" s="1"/>
  <c r="T9" i="2"/>
  <c r="T65" i="2" s="1"/>
  <c r="T74" i="2" s="1"/>
  <c r="U9" i="2"/>
  <c r="V9" i="2"/>
  <c r="V65" i="2" s="1"/>
  <c r="W9" i="2"/>
  <c r="W94" i="2" s="1"/>
  <c r="X9" i="2"/>
  <c r="X94" i="2" s="1"/>
  <c r="Y9" i="2"/>
  <c r="Z9" i="2"/>
  <c r="Z65" i="2" s="1"/>
  <c r="AA9" i="2"/>
  <c r="AA94" i="2" s="1"/>
  <c r="AB9" i="2"/>
  <c r="AB94" i="2" s="1"/>
  <c r="AB103" i="2" s="1"/>
  <c r="AC9" i="2"/>
  <c r="AD9" i="2"/>
  <c r="AD65" i="2" s="1"/>
  <c r="AE9" i="2"/>
  <c r="AE94" i="2" s="1"/>
  <c r="Q9" i="2"/>
  <c r="Z28" i="2" l="1"/>
  <c r="AF42" i="2"/>
  <c r="AF104" i="2" s="1"/>
  <c r="AJ104" i="2"/>
  <c r="AJ67" i="2"/>
  <c r="AJ68" i="2" s="1"/>
  <c r="AJ69" i="2" s="1"/>
  <c r="AJ70" i="2"/>
  <c r="AJ71" i="2" s="1"/>
  <c r="AJ72" i="2" s="1"/>
  <c r="AF75" i="2"/>
  <c r="AG73" i="2"/>
  <c r="AG75" i="2" s="1"/>
  <c r="AG102" i="2"/>
  <c r="AG104" i="2" s="1"/>
  <c r="X39" i="2"/>
  <c r="X40" i="2" s="1"/>
  <c r="X41" i="2" s="1"/>
  <c r="X42" i="2" s="1"/>
  <c r="AH73" i="2"/>
  <c r="AH75" i="2" s="1"/>
  <c r="AI102" i="2"/>
  <c r="AI104" i="2" s="1"/>
  <c r="Y39" i="2"/>
  <c r="Y40" i="2" s="1"/>
  <c r="Y41" i="2" s="1"/>
  <c r="Y42" i="2" s="1"/>
  <c r="Q39" i="2"/>
  <c r="Q40" i="2" s="1"/>
  <c r="Q41" i="2" s="1"/>
  <c r="Q42" i="2" s="1"/>
  <c r="AE35" i="2"/>
  <c r="AE36" i="2" s="1"/>
  <c r="AE37" i="2" s="1"/>
  <c r="U42" i="2"/>
  <c r="R28" i="2"/>
  <c r="Y20" i="2"/>
  <c r="R20" i="2"/>
  <c r="AC20" i="2"/>
  <c r="AC21" i="2" s="1"/>
  <c r="Q20" i="2"/>
  <c r="AA35" i="2"/>
  <c r="AA36" i="2" s="1"/>
  <c r="AA37" i="2" s="1"/>
  <c r="W39" i="2"/>
  <c r="W40" i="2" s="1"/>
  <c r="W41" i="2" s="1"/>
  <c r="U28" i="2"/>
  <c r="X103" i="2"/>
  <c r="X95" i="2"/>
  <c r="X96" i="2" s="1"/>
  <c r="X97" i="2" s="1"/>
  <c r="X98" i="2" s="1"/>
  <c r="AD94" i="2"/>
  <c r="V94" i="2"/>
  <c r="V95" i="2" s="1"/>
  <c r="V99" i="2" s="1"/>
  <c r="V100" i="2" s="1"/>
  <c r="V101" i="2" s="1"/>
  <c r="AB65" i="2"/>
  <c r="AB66" i="2" s="1"/>
  <c r="AB67" i="2" s="1"/>
  <c r="AB68" i="2" s="1"/>
  <c r="AB69" i="2" s="1"/>
  <c r="T94" i="2"/>
  <c r="T103" i="2" s="1"/>
  <c r="X65" i="2"/>
  <c r="X74" i="2" s="1"/>
  <c r="T66" i="2"/>
  <c r="T70" i="2" s="1"/>
  <c r="T71" i="2" s="1"/>
  <c r="T72" i="2" s="1"/>
  <c r="Z94" i="2"/>
  <c r="Z95" i="2" s="1"/>
  <c r="R94" i="2"/>
  <c r="R95" i="2" s="1"/>
  <c r="AE95" i="2"/>
  <c r="AE103" i="2"/>
  <c r="AA95" i="2"/>
  <c r="AA96" i="2" s="1"/>
  <c r="AA97" i="2" s="1"/>
  <c r="AA98" i="2" s="1"/>
  <c r="AA103" i="2"/>
  <c r="W95" i="2"/>
  <c r="W103" i="2"/>
  <c r="S95" i="2"/>
  <c r="S96" i="2" s="1"/>
  <c r="S97" i="2" s="1"/>
  <c r="S98" i="2" s="1"/>
  <c r="S103" i="2"/>
  <c r="T20" i="2"/>
  <c r="AD95" i="2"/>
  <c r="AD96" i="2" s="1"/>
  <c r="AD97" i="2" s="1"/>
  <c r="AD98" i="2" s="1"/>
  <c r="AD103" i="2"/>
  <c r="AB95" i="2"/>
  <c r="AB39" i="2"/>
  <c r="AB40" i="2" s="1"/>
  <c r="AB41" i="2" s="1"/>
  <c r="AB42" i="2" s="1"/>
  <c r="V74" i="2"/>
  <c r="V66" i="2"/>
  <c r="V67" i="2" s="1"/>
  <c r="V68" i="2" s="1"/>
  <c r="V69" i="2" s="1"/>
  <c r="AB35" i="2"/>
  <c r="AB36" i="2" s="1"/>
  <c r="AB37" i="2" s="1"/>
  <c r="AB74" i="2"/>
  <c r="T39" i="2"/>
  <c r="T40" i="2" s="1"/>
  <c r="T41" i="2" s="1"/>
  <c r="T95" i="2"/>
  <c r="Q28" i="2"/>
  <c r="AC65" i="2"/>
  <c r="AC94" i="2"/>
  <c r="Y65" i="2"/>
  <c r="Y94" i="2"/>
  <c r="U65" i="2"/>
  <c r="U94" i="2"/>
  <c r="AC28" i="2"/>
  <c r="Y28" i="2"/>
  <c r="Q94" i="2"/>
  <c r="AE65" i="2"/>
  <c r="AA65" i="2"/>
  <c r="W65" i="2"/>
  <c r="S65" i="2"/>
  <c r="Q21" i="2"/>
  <c r="AE20" i="2"/>
  <c r="AE21" i="2" s="1"/>
  <c r="AA20" i="2"/>
  <c r="AA21" i="2" s="1"/>
  <c r="W20" i="2"/>
  <c r="S20" i="2"/>
  <c r="S21" i="2" s="1"/>
  <c r="AE28" i="2"/>
  <c r="AA28" i="2"/>
  <c r="W28" i="2"/>
  <c r="S28" i="2"/>
  <c r="Y21" i="2"/>
  <c r="Q65" i="2"/>
  <c r="U21" i="2"/>
  <c r="R21" i="2"/>
  <c r="AB20" i="2"/>
  <c r="Z20" i="2"/>
  <c r="X20" i="2"/>
  <c r="AD20" i="2"/>
  <c r="V20" i="2"/>
  <c r="AD66" i="2"/>
  <c r="AD74" i="2"/>
  <c r="Z66" i="2"/>
  <c r="Z74" i="2"/>
  <c r="R66" i="2"/>
  <c r="R74" i="2"/>
  <c r="AD35" i="2"/>
  <c r="AD36" i="2" s="1"/>
  <c r="AD37" i="2" s="1"/>
  <c r="AD39" i="2"/>
  <c r="AD40" i="2" s="1"/>
  <c r="AD41" i="2" s="1"/>
  <c r="Z35" i="2"/>
  <c r="Z36" i="2" s="1"/>
  <c r="Z37" i="2" s="1"/>
  <c r="Z39" i="2"/>
  <c r="Z40" i="2" s="1"/>
  <c r="Z41" i="2" s="1"/>
  <c r="V35" i="2"/>
  <c r="V36" i="2" s="1"/>
  <c r="V37" i="2" s="1"/>
  <c r="V39" i="2"/>
  <c r="V40" i="2" s="1"/>
  <c r="V41" i="2" s="1"/>
  <c r="R35" i="2"/>
  <c r="R36" i="2" s="1"/>
  <c r="R37" i="2" s="1"/>
  <c r="R39" i="2"/>
  <c r="R40" i="2" s="1"/>
  <c r="R41" i="2" s="1"/>
  <c r="AB28" i="2"/>
  <c r="X28" i="2"/>
  <c r="T28" i="2"/>
  <c r="AD28" i="2"/>
  <c r="V28" i="2"/>
  <c r="AE42" i="2"/>
  <c r="W42" i="2"/>
  <c r="W21" i="2"/>
  <c r="T42" i="2"/>
  <c r="AA42" i="2"/>
  <c r="S42" i="2"/>
  <c r="H16" i="2"/>
  <c r="I16" i="2"/>
  <c r="J16" i="2"/>
  <c r="K16" i="2"/>
  <c r="L16" i="2"/>
  <c r="M16" i="2"/>
  <c r="N16" i="2"/>
  <c r="O16" i="2"/>
  <c r="P16" i="2"/>
  <c r="G16" i="2"/>
  <c r="G17" i="2"/>
  <c r="H27" i="2"/>
  <c r="I27" i="2"/>
  <c r="J27" i="2"/>
  <c r="K27" i="2"/>
  <c r="L27" i="2"/>
  <c r="M27" i="2"/>
  <c r="N27" i="2"/>
  <c r="O27" i="2"/>
  <c r="P27" i="2"/>
  <c r="G27" i="2"/>
  <c r="C35" i="2"/>
  <c r="AD99" i="2" l="1"/>
  <c r="AD100" i="2" s="1"/>
  <c r="AD101" i="2" s="1"/>
  <c r="S99" i="2"/>
  <c r="S100" i="2" s="1"/>
  <c r="S101" i="2" s="1"/>
  <c r="S102" i="2" s="1"/>
  <c r="AA99" i="2"/>
  <c r="AA100" i="2" s="1"/>
  <c r="AA101" i="2" s="1"/>
  <c r="AA102" i="2" s="1"/>
  <c r="AA104" i="2" s="1"/>
  <c r="AG10" i="2"/>
  <c r="AI12" i="2"/>
  <c r="AH13" i="2"/>
  <c r="AH10" i="2"/>
  <c r="AF12" i="2"/>
  <c r="AJ12" i="2"/>
  <c r="AI13" i="2"/>
  <c r="AI10" i="2"/>
  <c r="AG12" i="2"/>
  <c r="AF13" i="2"/>
  <c r="AJ13" i="2"/>
  <c r="AJ10" i="2"/>
  <c r="AG13" i="2"/>
  <c r="AH12" i="2"/>
  <c r="AF10" i="2"/>
  <c r="AJ73" i="2"/>
  <c r="AJ75" i="2" s="1"/>
  <c r="AB70" i="2"/>
  <c r="AB71" i="2" s="1"/>
  <c r="AB72" i="2" s="1"/>
  <c r="R42" i="2"/>
  <c r="Z42" i="2"/>
  <c r="X99" i="2"/>
  <c r="X100" i="2" s="1"/>
  <c r="X101" i="2" s="1"/>
  <c r="X102" i="2" s="1"/>
  <c r="X104" i="2" s="1"/>
  <c r="R96" i="2"/>
  <c r="R97" i="2" s="1"/>
  <c r="R98" i="2" s="1"/>
  <c r="R99" i="2"/>
  <c r="R100" i="2" s="1"/>
  <c r="R101" i="2" s="1"/>
  <c r="R103" i="2"/>
  <c r="X66" i="2"/>
  <c r="X70" i="2" s="1"/>
  <c r="X71" i="2" s="1"/>
  <c r="X72" i="2" s="1"/>
  <c r="V103" i="2"/>
  <c r="Z103" i="2"/>
  <c r="Z96" i="2"/>
  <c r="Z97" i="2" s="1"/>
  <c r="Z98" i="2" s="1"/>
  <c r="Z99" i="2"/>
  <c r="Z100" i="2" s="1"/>
  <c r="Z101" i="2" s="1"/>
  <c r="V70" i="2"/>
  <c r="V71" i="2" s="1"/>
  <c r="V72" i="2" s="1"/>
  <c r="V73" i="2" s="1"/>
  <c r="T67" i="2"/>
  <c r="T68" i="2" s="1"/>
  <c r="T69" i="2" s="1"/>
  <c r="T73" i="2" s="1"/>
  <c r="S74" i="2"/>
  <c r="S66" i="2"/>
  <c r="Q95" i="2"/>
  <c r="Q103" i="2"/>
  <c r="Y95" i="2"/>
  <c r="Y103" i="2"/>
  <c r="AC66" i="2"/>
  <c r="AC74" i="2"/>
  <c r="S104" i="2"/>
  <c r="W66" i="2"/>
  <c r="W74" i="2"/>
  <c r="U103" i="2"/>
  <c r="U95" i="2"/>
  <c r="T96" i="2"/>
  <c r="T97" i="2" s="1"/>
  <c r="T98" i="2" s="1"/>
  <c r="T99" i="2"/>
  <c r="T100" i="2" s="1"/>
  <c r="T101" i="2" s="1"/>
  <c r="W96" i="2"/>
  <c r="W97" i="2" s="1"/>
  <c r="W98" i="2" s="1"/>
  <c r="W99" i="2"/>
  <c r="W100" i="2" s="1"/>
  <c r="W101" i="2" s="1"/>
  <c r="AE99" i="2"/>
  <c r="AE100" i="2" s="1"/>
  <c r="AE101" i="2" s="1"/>
  <c r="AE96" i="2"/>
  <c r="AE97" i="2" s="1"/>
  <c r="AE98" i="2" s="1"/>
  <c r="Q66" i="2"/>
  <c r="Q74" i="2"/>
  <c r="V96" i="2"/>
  <c r="V97" i="2" s="1"/>
  <c r="V98" i="2" s="1"/>
  <c r="V102" i="2" s="1"/>
  <c r="AA74" i="2"/>
  <c r="AA66" i="2"/>
  <c r="Y66" i="2"/>
  <c r="Y74" i="2"/>
  <c r="T21" i="2"/>
  <c r="T75" i="2"/>
  <c r="AE66" i="2"/>
  <c r="AE74" i="2"/>
  <c r="U66" i="2"/>
  <c r="U74" i="2"/>
  <c r="AC103" i="2"/>
  <c r="AC95" i="2"/>
  <c r="AB96" i="2"/>
  <c r="AB97" i="2" s="1"/>
  <c r="AB98" i="2" s="1"/>
  <c r="AB99" i="2"/>
  <c r="AB100" i="2" s="1"/>
  <c r="AB101" i="2" s="1"/>
  <c r="V42" i="2"/>
  <c r="AD42" i="2"/>
  <c r="Z67" i="2"/>
  <c r="Z68" i="2" s="1"/>
  <c r="Z69" i="2" s="1"/>
  <c r="Z70" i="2"/>
  <c r="Z71" i="2" s="1"/>
  <c r="Z72" i="2" s="1"/>
  <c r="V21" i="2"/>
  <c r="AB73" i="2"/>
  <c r="AB75" i="2" s="1"/>
  <c r="Z21" i="2"/>
  <c r="AD21" i="2"/>
  <c r="R67" i="2"/>
  <c r="R68" i="2" s="1"/>
  <c r="R69" i="2" s="1"/>
  <c r="R70" i="2"/>
  <c r="R71" i="2" s="1"/>
  <c r="R72" i="2" s="1"/>
  <c r="AD70" i="2"/>
  <c r="AD71" i="2" s="1"/>
  <c r="AD72" i="2" s="1"/>
  <c r="AD67" i="2"/>
  <c r="AD68" i="2" s="1"/>
  <c r="AD69" i="2" s="1"/>
  <c r="X21" i="2"/>
  <c r="AD102" i="2"/>
  <c r="AD104" i="2" s="1"/>
  <c r="AB21" i="2"/>
  <c r="C36" i="2"/>
  <c r="H9" i="2"/>
  <c r="H94" i="2" s="1"/>
  <c r="H103" i="2" s="1"/>
  <c r="I9" i="2"/>
  <c r="J9" i="2"/>
  <c r="K9" i="2"/>
  <c r="L9" i="2"/>
  <c r="L65" i="2" s="1"/>
  <c r="L74" i="2" s="1"/>
  <c r="M9" i="2"/>
  <c r="M65" i="2" s="1"/>
  <c r="N9" i="2"/>
  <c r="O9" i="2"/>
  <c r="P9" i="2"/>
  <c r="P65" i="2" s="1"/>
  <c r="H15" i="2"/>
  <c r="I15" i="2"/>
  <c r="J15" i="2"/>
  <c r="K15" i="2"/>
  <c r="L15" i="2"/>
  <c r="M15" i="2"/>
  <c r="N15" i="2"/>
  <c r="O15" i="2"/>
  <c r="P15" i="2"/>
  <c r="H17" i="2"/>
  <c r="I17" i="2"/>
  <c r="J17" i="2"/>
  <c r="K17" i="2"/>
  <c r="L17" i="2"/>
  <c r="M17" i="2"/>
  <c r="N17" i="2"/>
  <c r="O17" i="2"/>
  <c r="P17" i="2"/>
  <c r="H18" i="2"/>
  <c r="I18" i="2"/>
  <c r="J18" i="2"/>
  <c r="K18" i="2"/>
  <c r="L18" i="2"/>
  <c r="M18" i="2"/>
  <c r="N18" i="2"/>
  <c r="O18" i="2"/>
  <c r="P18" i="2"/>
  <c r="H19" i="2"/>
  <c r="I19" i="2"/>
  <c r="J19" i="2"/>
  <c r="K19" i="2"/>
  <c r="L19" i="2"/>
  <c r="M19" i="2"/>
  <c r="N19" i="2"/>
  <c r="O19" i="2"/>
  <c r="P19" i="2"/>
  <c r="H24" i="2"/>
  <c r="I24" i="2"/>
  <c r="J24" i="2"/>
  <c r="K24" i="2"/>
  <c r="L24" i="2"/>
  <c r="M24" i="2"/>
  <c r="N24" i="2"/>
  <c r="O24" i="2"/>
  <c r="P24" i="2"/>
  <c r="H25" i="2"/>
  <c r="I25" i="2"/>
  <c r="J25" i="2"/>
  <c r="K25" i="2"/>
  <c r="L25" i="2"/>
  <c r="M25" i="2"/>
  <c r="N25" i="2"/>
  <c r="O25" i="2"/>
  <c r="P25" i="2"/>
  <c r="H26" i="2"/>
  <c r="I26" i="2"/>
  <c r="J26" i="2"/>
  <c r="K26" i="2"/>
  <c r="L26" i="2"/>
  <c r="M26" i="2"/>
  <c r="N26" i="2"/>
  <c r="O26" i="2"/>
  <c r="P26" i="2"/>
  <c r="H34" i="2"/>
  <c r="H35" i="2" s="1"/>
  <c r="H36" i="2" s="1"/>
  <c r="H37" i="2" s="1"/>
  <c r="I34" i="2"/>
  <c r="I39" i="2" s="1"/>
  <c r="I40" i="2" s="1"/>
  <c r="I41" i="2" s="1"/>
  <c r="J34" i="2"/>
  <c r="K34" i="2"/>
  <c r="K35" i="2" s="1"/>
  <c r="K36" i="2" s="1"/>
  <c r="K37" i="2" s="1"/>
  <c r="L34" i="2"/>
  <c r="L39" i="2" s="1"/>
  <c r="L40" i="2" s="1"/>
  <c r="L41" i="2" s="1"/>
  <c r="M34" i="2"/>
  <c r="M35" i="2" s="1"/>
  <c r="M36" i="2" s="1"/>
  <c r="M37" i="2" s="1"/>
  <c r="N34" i="2"/>
  <c r="O34" i="2"/>
  <c r="O39" i="2" s="1"/>
  <c r="O40" i="2" s="1"/>
  <c r="O41" i="2" s="1"/>
  <c r="P34" i="2"/>
  <c r="P39" i="2" s="1"/>
  <c r="P40" i="2" s="1"/>
  <c r="P41" i="2" s="1"/>
  <c r="I35" i="2"/>
  <c r="I36" i="2" s="1"/>
  <c r="I37" i="2" s="1"/>
  <c r="H38" i="2"/>
  <c r="I38" i="2"/>
  <c r="J38" i="2"/>
  <c r="K38" i="2"/>
  <c r="L38" i="2"/>
  <c r="M38" i="2"/>
  <c r="N38" i="2"/>
  <c r="O38" i="2"/>
  <c r="P38" i="2"/>
  <c r="K39" i="2"/>
  <c r="K40" i="2" s="1"/>
  <c r="K41" i="2" s="1"/>
  <c r="H65" i="2"/>
  <c r="I94" i="2"/>
  <c r="G24" i="2"/>
  <c r="AF14" i="2" l="1"/>
  <c r="AF29" i="2" s="1"/>
  <c r="X67" i="2"/>
  <c r="X68" i="2" s="1"/>
  <c r="X69" i="2" s="1"/>
  <c r="AH14" i="2"/>
  <c r="AH29" i="2" s="1"/>
  <c r="AJ14" i="2"/>
  <c r="AG14" i="2"/>
  <c r="AF31" i="2"/>
  <c r="AF90" i="2" s="1"/>
  <c r="AF76" i="2"/>
  <c r="AF78" i="2" s="1"/>
  <c r="AF105" i="2"/>
  <c r="AF107" i="2" s="1"/>
  <c r="AI14" i="2"/>
  <c r="R102" i="2"/>
  <c r="R104" i="2" s="1"/>
  <c r="R73" i="2"/>
  <c r="R75" i="2" s="1"/>
  <c r="V104" i="2"/>
  <c r="T102" i="2"/>
  <c r="T104" i="2" s="1"/>
  <c r="P94" i="2"/>
  <c r="P95" i="2" s="1"/>
  <c r="P96" i="2" s="1"/>
  <c r="P97" i="2" s="1"/>
  <c r="P98" i="2" s="1"/>
  <c r="AB102" i="2"/>
  <c r="AB104" i="2" s="1"/>
  <c r="AE102" i="2"/>
  <c r="AE104" i="2" s="1"/>
  <c r="L94" i="2"/>
  <c r="L95" i="2" s="1"/>
  <c r="H95" i="2"/>
  <c r="H96" i="2" s="1"/>
  <c r="H97" i="2" s="1"/>
  <c r="H98" i="2" s="1"/>
  <c r="Z102" i="2"/>
  <c r="Z104" i="2" s="1"/>
  <c r="H10" i="2"/>
  <c r="L10" i="2"/>
  <c r="P10" i="2"/>
  <c r="T10" i="2"/>
  <c r="X10" i="2"/>
  <c r="AB10" i="2"/>
  <c r="J12" i="2"/>
  <c r="N12" i="2"/>
  <c r="R12" i="2"/>
  <c r="V12" i="2"/>
  <c r="Z12" i="2"/>
  <c r="AD12" i="2"/>
  <c r="I13" i="2"/>
  <c r="M13" i="2"/>
  <c r="Q13" i="2"/>
  <c r="U13" i="2"/>
  <c r="Y13" i="2"/>
  <c r="AC13" i="2"/>
  <c r="G13" i="2"/>
  <c r="I10" i="2"/>
  <c r="M10" i="2"/>
  <c r="Q10" i="2"/>
  <c r="U10" i="2"/>
  <c r="Y10" i="2"/>
  <c r="AC10" i="2"/>
  <c r="K12" i="2"/>
  <c r="O12" i="2"/>
  <c r="S12" i="2"/>
  <c r="W12" i="2"/>
  <c r="AA12" i="2"/>
  <c r="AE12" i="2"/>
  <c r="J13" i="2"/>
  <c r="N13" i="2"/>
  <c r="R13" i="2"/>
  <c r="V13" i="2"/>
  <c r="Z13" i="2"/>
  <c r="AD13" i="2"/>
  <c r="G12" i="2"/>
  <c r="J10" i="2"/>
  <c r="N10" i="2"/>
  <c r="R10" i="2"/>
  <c r="V10" i="2"/>
  <c r="Z10" i="2"/>
  <c r="AD10" i="2"/>
  <c r="H12" i="2"/>
  <c r="L12" i="2"/>
  <c r="P12" i="2"/>
  <c r="T12" i="2"/>
  <c r="X12" i="2"/>
  <c r="AB12" i="2"/>
  <c r="K13" i="2"/>
  <c r="O13" i="2"/>
  <c r="S13" i="2"/>
  <c r="W13" i="2"/>
  <c r="AA13" i="2"/>
  <c r="AE13" i="2"/>
  <c r="G10" i="2"/>
  <c r="K10" i="2"/>
  <c r="O10" i="2"/>
  <c r="S10" i="2"/>
  <c r="W10" i="2"/>
  <c r="AA10" i="2"/>
  <c r="AE10" i="2"/>
  <c r="I12" i="2"/>
  <c r="M12" i="2"/>
  <c r="Q12" i="2"/>
  <c r="U12" i="2"/>
  <c r="Y12" i="2"/>
  <c r="AC12" i="2"/>
  <c r="H13" i="2"/>
  <c r="L13" i="2"/>
  <c r="P13" i="2"/>
  <c r="T13" i="2"/>
  <c r="X13" i="2"/>
  <c r="AB13" i="2"/>
  <c r="C37" i="2"/>
  <c r="G11" i="2"/>
  <c r="U96" i="2"/>
  <c r="U97" i="2" s="1"/>
  <c r="U98" i="2" s="1"/>
  <c r="U99" i="2"/>
  <c r="U100" i="2" s="1"/>
  <c r="U101" i="2" s="1"/>
  <c r="S67" i="2"/>
  <c r="S68" i="2" s="1"/>
  <c r="S69" i="2" s="1"/>
  <c r="S70" i="2"/>
  <c r="S71" i="2" s="1"/>
  <c r="S72" i="2" s="1"/>
  <c r="AA67" i="2"/>
  <c r="AA68" i="2" s="1"/>
  <c r="AA69" i="2" s="1"/>
  <c r="AA70" i="2"/>
  <c r="AA71" i="2" s="1"/>
  <c r="AA72" i="2" s="1"/>
  <c r="Q70" i="2"/>
  <c r="Q71" i="2" s="1"/>
  <c r="Q72" i="2" s="1"/>
  <c r="Q67" i="2"/>
  <c r="Q68" i="2" s="1"/>
  <c r="Q69" i="2" s="1"/>
  <c r="W102" i="2"/>
  <c r="W104" i="2" s="1"/>
  <c r="X73" i="2"/>
  <c r="X75" i="2" s="1"/>
  <c r="Y96" i="2"/>
  <c r="Y97" i="2" s="1"/>
  <c r="Y98" i="2" s="1"/>
  <c r="Y99" i="2"/>
  <c r="Y100" i="2" s="1"/>
  <c r="Y101" i="2" s="1"/>
  <c r="U70" i="2"/>
  <c r="U71" i="2" s="1"/>
  <c r="U72" i="2" s="1"/>
  <c r="U67" i="2"/>
  <c r="U68" i="2" s="1"/>
  <c r="U69" i="2" s="1"/>
  <c r="AE67" i="2"/>
  <c r="AE68" i="2" s="1"/>
  <c r="AE69" i="2" s="1"/>
  <c r="AE70" i="2"/>
  <c r="AE71" i="2" s="1"/>
  <c r="AE72" i="2" s="1"/>
  <c r="Y70" i="2"/>
  <c r="Y71" i="2" s="1"/>
  <c r="Y72" i="2" s="1"/>
  <c r="Y67" i="2"/>
  <c r="Y68" i="2" s="1"/>
  <c r="Y69" i="2" s="1"/>
  <c r="V75" i="2"/>
  <c r="Z73" i="2"/>
  <c r="Z75" i="2" s="1"/>
  <c r="AC96" i="2"/>
  <c r="AC97" i="2" s="1"/>
  <c r="AC98" i="2" s="1"/>
  <c r="AC99" i="2"/>
  <c r="AC100" i="2" s="1"/>
  <c r="AC101" i="2" s="1"/>
  <c r="W67" i="2"/>
  <c r="W68" i="2" s="1"/>
  <c r="W69" i="2" s="1"/>
  <c r="W70" i="2"/>
  <c r="W71" i="2" s="1"/>
  <c r="W72" i="2" s="1"/>
  <c r="AC70" i="2"/>
  <c r="AC71" i="2" s="1"/>
  <c r="AC72" i="2" s="1"/>
  <c r="AC67" i="2"/>
  <c r="AC68" i="2" s="1"/>
  <c r="AC69" i="2" s="1"/>
  <c r="Q96" i="2"/>
  <c r="Q97" i="2" s="1"/>
  <c r="Q98" i="2" s="1"/>
  <c r="Q99" i="2"/>
  <c r="Q100" i="2" s="1"/>
  <c r="Q101" i="2" s="1"/>
  <c r="AD73" i="2"/>
  <c r="AD75" i="2" s="1"/>
  <c r="H20" i="2"/>
  <c r="H21" i="2" s="1"/>
  <c r="P66" i="2"/>
  <c r="P70" i="2" s="1"/>
  <c r="P71" i="2" s="1"/>
  <c r="P72" i="2" s="1"/>
  <c r="P35" i="2"/>
  <c r="P36" i="2" s="1"/>
  <c r="P37" i="2" s="1"/>
  <c r="P42" i="2" s="1"/>
  <c r="L103" i="2"/>
  <c r="M39" i="2"/>
  <c r="M40" i="2" s="1"/>
  <c r="M41" i="2" s="1"/>
  <c r="M42" i="2" s="1"/>
  <c r="O35" i="2"/>
  <c r="O36" i="2" s="1"/>
  <c r="O37" i="2" s="1"/>
  <c r="O42" i="2" s="1"/>
  <c r="P20" i="2"/>
  <c r="P21" i="2" s="1"/>
  <c r="L20" i="2"/>
  <c r="L21" i="2" s="1"/>
  <c r="H28" i="2"/>
  <c r="K20" i="2"/>
  <c r="K21" i="2" s="1"/>
  <c r="L66" i="2"/>
  <c r="L67" i="2" s="1"/>
  <c r="L68" i="2" s="1"/>
  <c r="L69" i="2" s="1"/>
  <c r="N28" i="2"/>
  <c r="L28" i="2"/>
  <c r="J28" i="2"/>
  <c r="O28" i="2"/>
  <c r="P28" i="2"/>
  <c r="P103" i="2"/>
  <c r="M94" i="2"/>
  <c r="M103" i="2" s="1"/>
  <c r="P74" i="2"/>
  <c r="I65" i="2"/>
  <c r="H39" i="2"/>
  <c r="H40" i="2" s="1"/>
  <c r="H41" i="2" s="1"/>
  <c r="H42" i="2" s="1"/>
  <c r="O65" i="2"/>
  <c r="O94" i="2"/>
  <c r="O20" i="2"/>
  <c r="O21" i="2" s="1"/>
  <c r="I42" i="2"/>
  <c r="K42" i="2"/>
  <c r="M74" i="2"/>
  <c r="M66" i="2"/>
  <c r="K65" i="2"/>
  <c r="K94" i="2"/>
  <c r="H74" i="2"/>
  <c r="H66" i="2"/>
  <c r="J94" i="2"/>
  <c r="K28" i="2"/>
  <c r="J20" i="2"/>
  <c r="N94" i="2"/>
  <c r="N20" i="2"/>
  <c r="J65" i="2"/>
  <c r="I95" i="2"/>
  <c r="I103" i="2"/>
  <c r="N65" i="2"/>
  <c r="L35" i="2"/>
  <c r="L36" i="2" s="1"/>
  <c r="L37" i="2" s="1"/>
  <c r="L42" i="2" s="1"/>
  <c r="M20" i="2"/>
  <c r="I20" i="2"/>
  <c r="N35" i="2"/>
  <c r="N36" i="2" s="1"/>
  <c r="N37" i="2" s="1"/>
  <c r="N39" i="2"/>
  <c r="N40" i="2" s="1"/>
  <c r="N41" i="2" s="1"/>
  <c r="J35" i="2"/>
  <c r="J36" i="2" s="1"/>
  <c r="J37" i="2" s="1"/>
  <c r="J39" i="2"/>
  <c r="J40" i="2" s="1"/>
  <c r="J41" i="2" s="1"/>
  <c r="M28" i="2"/>
  <c r="I28" i="2"/>
  <c r="G33" i="2"/>
  <c r="G9" i="2"/>
  <c r="G34" i="2"/>
  <c r="G38" i="2"/>
  <c r="G26" i="2"/>
  <c r="AF22" i="2" l="1"/>
  <c r="AF32" i="2"/>
  <c r="AF23" i="2"/>
  <c r="AH23" i="2"/>
  <c r="AH31" i="2"/>
  <c r="AH90" i="2" s="1"/>
  <c r="AH76" i="2"/>
  <c r="AH77" i="2" s="1"/>
  <c r="AH105" i="2"/>
  <c r="AH106" i="2" s="1"/>
  <c r="AH22" i="2"/>
  <c r="AH32" i="2"/>
  <c r="AH78" i="2"/>
  <c r="AH107" i="2"/>
  <c r="AI32" i="2"/>
  <c r="AI29" i="2"/>
  <c r="AI22" i="2"/>
  <c r="AI31" i="2"/>
  <c r="AI90" i="2" s="1"/>
  <c r="AI76" i="2"/>
  <c r="AI105" i="2"/>
  <c r="AI23" i="2"/>
  <c r="AG31" i="2"/>
  <c r="AG90" i="2" s="1"/>
  <c r="AG32" i="2"/>
  <c r="AG29" i="2"/>
  <c r="AG105" i="2"/>
  <c r="AG22" i="2"/>
  <c r="AG76" i="2"/>
  <c r="AG23" i="2"/>
  <c r="AJ31" i="2"/>
  <c r="AJ90" i="2" s="1"/>
  <c r="AJ32" i="2"/>
  <c r="AJ76" i="2"/>
  <c r="AJ29" i="2"/>
  <c r="AJ105" i="2"/>
  <c r="AJ22" i="2"/>
  <c r="AJ23" i="2"/>
  <c r="H11" i="2"/>
  <c r="I11" i="2" s="1"/>
  <c r="J11" i="2" s="1"/>
  <c r="K11" i="2" s="1"/>
  <c r="L11" i="2" s="1"/>
  <c r="M11" i="2" s="1"/>
  <c r="N11" i="2" s="1"/>
  <c r="O11" i="2" s="1"/>
  <c r="P11" i="2" s="1"/>
  <c r="Q11" i="2" s="1"/>
  <c r="R11" i="2" s="1"/>
  <c r="S11" i="2" s="1"/>
  <c r="T11" i="2" s="1"/>
  <c r="U11" i="2" s="1"/>
  <c r="V11" i="2" s="1"/>
  <c r="W11" i="2" s="1"/>
  <c r="X11" i="2" s="1"/>
  <c r="Y11" i="2" s="1"/>
  <c r="Z11" i="2" s="1"/>
  <c r="AA11" i="2" s="1"/>
  <c r="AB11" i="2" s="1"/>
  <c r="AC11" i="2" s="1"/>
  <c r="AD11" i="2" s="1"/>
  <c r="AE11" i="2" s="1"/>
  <c r="AF106" i="2" s="1"/>
  <c r="Q102" i="2"/>
  <c r="Q104" i="2" s="1"/>
  <c r="W73" i="2"/>
  <c r="W75" i="2" s="1"/>
  <c r="AC102" i="2"/>
  <c r="AC104" i="2" s="1"/>
  <c r="AE73" i="2"/>
  <c r="AE75" i="2" s="1"/>
  <c r="X14" i="2"/>
  <c r="X31" i="2" s="1"/>
  <c r="X90" i="2" s="1"/>
  <c r="AB14" i="2"/>
  <c r="AB29" i="2" s="1"/>
  <c r="L96" i="2"/>
  <c r="L97" i="2" s="1"/>
  <c r="L98" i="2" s="1"/>
  <c r="L99" i="2"/>
  <c r="L100" i="2" s="1"/>
  <c r="L101" i="2" s="1"/>
  <c r="S73" i="2"/>
  <c r="S75" i="2" s="1"/>
  <c r="Y102" i="2"/>
  <c r="Y104" i="2" s="1"/>
  <c r="L70" i="2"/>
  <c r="L71" i="2" s="1"/>
  <c r="L72" i="2" s="1"/>
  <c r="L73" i="2" s="1"/>
  <c r="L75" i="2" s="1"/>
  <c r="H99" i="2"/>
  <c r="H100" i="2" s="1"/>
  <c r="H101" i="2" s="1"/>
  <c r="H102" i="2" s="1"/>
  <c r="H104" i="2" s="1"/>
  <c r="M95" i="2"/>
  <c r="M99" i="2" s="1"/>
  <c r="M100" i="2" s="1"/>
  <c r="M101" i="2" s="1"/>
  <c r="P99" i="2"/>
  <c r="P100" i="2" s="1"/>
  <c r="P101" i="2" s="1"/>
  <c r="P102" i="2" s="1"/>
  <c r="P104" i="2" s="1"/>
  <c r="U73" i="2"/>
  <c r="U75" i="2" s="1"/>
  <c r="AA14" i="2"/>
  <c r="AA105" i="2" s="1"/>
  <c r="AD14" i="2"/>
  <c r="AD29" i="2" s="1"/>
  <c r="U14" i="2"/>
  <c r="U29" i="2" s="1"/>
  <c r="Y14" i="2"/>
  <c r="Y29" i="2" s="1"/>
  <c r="AE14" i="2"/>
  <c r="AE105" i="2" s="1"/>
  <c r="Q14" i="2"/>
  <c r="R14" i="2"/>
  <c r="R76" i="2" s="1"/>
  <c r="V14" i="2"/>
  <c r="V22" i="2" s="1"/>
  <c r="AB32" i="2"/>
  <c r="X32" i="2"/>
  <c r="X22" i="2"/>
  <c r="AC73" i="2"/>
  <c r="AC75" i="2" s="1"/>
  <c r="Q73" i="2"/>
  <c r="Q75" i="2" s="1"/>
  <c r="S14" i="2"/>
  <c r="S23" i="2" s="1"/>
  <c r="AC14" i="2"/>
  <c r="AC23" i="2" s="1"/>
  <c r="T14" i="2"/>
  <c r="Y73" i="2"/>
  <c r="Y75" i="2" s="1"/>
  <c r="AA73" i="2"/>
  <c r="AA75" i="2" s="1"/>
  <c r="U102" i="2"/>
  <c r="U104" i="2" s="1"/>
  <c r="Z14" i="2"/>
  <c r="P67" i="2"/>
  <c r="P68" i="2" s="1"/>
  <c r="P69" i="2" s="1"/>
  <c r="P73" i="2" s="1"/>
  <c r="P75" i="2" s="1"/>
  <c r="W14" i="2"/>
  <c r="N42" i="2"/>
  <c r="I66" i="2"/>
  <c r="I74" i="2"/>
  <c r="H67" i="2"/>
  <c r="H68" i="2" s="1"/>
  <c r="H69" i="2" s="1"/>
  <c r="H70" i="2"/>
  <c r="H71" i="2" s="1"/>
  <c r="H72" i="2" s="1"/>
  <c r="M67" i="2"/>
  <c r="M68" i="2" s="1"/>
  <c r="M69" i="2" s="1"/>
  <c r="M70" i="2"/>
  <c r="M71" i="2" s="1"/>
  <c r="M72" i="2" s="1"/>
  <c r="I21" i="2"/>
  <c r="J21" i="2"/>
  <c r="O74" i="2"/>
  <c r="O66" i="2"/>
  <c r="I99" i="2"/>
  <c r="I100" i="2" s="1"/>
  <c r="I101" i="2" s="1"/>
  <c r="I96" i="2"/>
  <c r="I97" i="2" s="1"/>
  <c r="I98" i="2" s="1"/>
  <c r="J66" i="2"/>
  <c r="J74" i="2"/>
  <c r="J103" i="2"/>
  <c r="J95" i="2"/>
  <c r="K66" i="2"/>
  <c r="K74" i="2"/>
  <c r="J42" i="2"/>
  <c r="M21" i="2"/>
  <c r="N21" i="2"/>
  <c r="K95" i="2"/>
  <c r="K103" i="2"/>
  <c r="O103" i="2"/>
  <c r="O95" i="2"/>
  <c r="N66" i="2"/>
  <c r="N74" i="2"/>
  <c r="N103" i="2"/>
  <c r="N95" i="2"/>
  <c r="G30" i="2"/>
  <c r="G15" i="2"/>
  <c r="G18" i="2"/>
  <c r="G19" i="2"/>
  <c r="G25" i="2"/>
  <c r="G39" i="2"/>
  <c r="G40" i="2" s="1"/>
  <c r="AD32" i="2" l="1"/>
  <c r="X105" i="2"/>
  <c r="X76" i="2"/>
  <c r="AB105" i="2"/>
  <c r="AB76" i="2"/>
  <c r="U32" i="2"/>
  <c r="X29" i="2"/>
  <c r="AB31" i="2"/>
  <c r="AB90" i="2" s="1"/>
  <c r="AB22" i="2"/>
  <c r="AA22" i="2"/>
  <c r="AA23" i="2"/>
  <c r="AB23" i="2"/>
  <c r="M96" i="2"/>
  <c r="M97" i="2" s="1"/>
  <c r="M98" i="2" s="1"/>
  <c r="L102" i="2"/>
  <c r="L104" i="2" s="1"/>
  <c r="AF77" i="2"/>
  <c r="AJ77" i="2"/>
  <c r="AJ78" i="2"/>
  <c r="AI106" i="2"/>
  <c r="AI107" i="2"/>
  <c r="AJ106" i="2"/>
  <c r="AJ107" i="2"/>
  <c r="AG77" i="2"/>
  <c r="AG78" i="2"/>
  <c r="AG106" i="2"/>
  <c r="AG107" i="2"/>
  <c r="AI77" i="2"/>
  <c r="AI78" i="2"/>
  <c r="AA76" i="2"/>
  <c r="AA77" i="2" s="1"/>
  <c r="X23" i="2"/>
  <c r="Q105" i="2"/>
  <c r="Q107" i="2" s="1"/>
  <c r="X77" i="2"/>
  <c r="AE106" i="2"/>
  <c r="AA106" i="2"/>
  <c r="AA32" i="2"/>
  <c r="R77" i="2"/>
  <c r="AB106" i="2"/>
  <c r="AB77" i="2"/>
  <c r="AA31" i="2"/>
  <c r="AA90" i="2" s="1"/>
  <c r="X106" i="2"/>
  <c r="AA29" i="2"/>
  <c r="AA107" i="2"/>
  <c r="Q23" i="2"/>
  <c r="AE22" i="2"/>
  <c r="AD31" i="2"/>
  <c r="AD90" i="2" s="1"/>
  <c r="AB107" i="2"/>
  <c r="AD23" i="2"/>
  <c r="Y76" i="2"/>
  <c r="Y77" i="2" s="1"/>
  <c r="AD22" i="2"/>
  <c r="AD76" i="2"/>
  <c r="AD77" i="2" s="1"/>
  <c r="AE107" i="2"/>
  <c r="AD105" i="2"/>
  <c r="AD106" i="2" s="1"/>
  <c r="R78" i="2"/>
  <c r="AE32" i="2"/>
  <c r="U31" i="2"/>
  <c r="U90" i="2" s="1"/>
  <c r="U23" i="2"/>
  <c r="AE76" i="2"/>
  <c r="AE77" i="2" s="1"/>
  <c r="AE31" i="2"/>
  <c r="AE90" i="2" s="1"/>
  <c r="Q22" i="2"/>
  <c r="U22" i="2"/>
  <c r="U105" i="2"/>
  <c r="U106" i="2" s="1"/>
  <c r="U76" i="2"/>
  <c r="U77" i="2" s="1"/>
  <c r="AE29" i="2"/>
  <c r="Q29" i="2"/>
  <c r="Q32" i="2"/>
  <c r="Q31" i="2"/>
  <c r="Q90" i="2" s="1"/>
  <c r="Q76" i="2"/>
  <c r="Q77" i="2" s="1"/>
  <c r="AE23" i="2"/>
  <c r="Y105" i="2"/>
  <c r="Y106" i="2" s="1"/>
  <c r="V23" i="2"/>
  <c r="Y31" i="2"/>
  <c r="Y90" i="2" s="1"/>
  <c r="R29" i="2"/>
  <c r="R22" i="2"/>
  <c r="R31" i="2"/>
  <c r="R90" i="2" s="1"/>
  <c r="R23" i="2"/>
  <c r="V32" i="2"/>
  <c r="V76" i="2"/>
  <c r="V77" i="2" s="1"/>
  <c r="Y23" i="2"/>
  <c r="Y32" i="2"/>
  <c r="V31" i="2"/>
  <c r="V90" i="2" s="1"/>
  <c r="R32" i="2"/>
  <c r="R105" i="2"/>
  <c r="R106" i="2" s="1"/>
  <c r="Y22" i="2"/>
  <c r="V29" i="2"/>
  <c r="V105" i="2"/>
  <c r="V106" i="2" s="1"/>
  <c r="X107" i="2"/>
  <c r="W22" i="2"/>
  <c r="W29" i="2"/>
  <c r="W32" i="2"/>
  <c r="W31" i="2"/>
  <c r="W90" i="2" s="1"/>
  <c r="AB78" i="2"/>
  <c r="W105" i="2"/>
  <c r="W106" i="2" s="1"/>
  <c r="T32" i="2"/>
  <c r="T22" i="2"/>
  <c r="T31" i="2"/>
  <c r="T90" i="2" s="1"/>
  <c r="T29" i="2"/>
  <c r="T105" i="2"/>
  <c r="T106" i="2" s="1"/>
  <c r="T76" i="2"/>
  <c r="T77" i="2" s="1"/>
  <c r="T23" i="2"/>
  <c r="W23" i="2"/>
  <c r="AC31" i="2"/>
  <c r="AC90" i="2" s="1"/>
  <c r="AC32" i="2"/>
  <c r="AC22" i="2"/>
  <c r="AC29" i="2"/>
  <c r="AC105" i="2"/>
  <c r="AC106" i="2" s="1"/>
  <c r="S22" i="2"/>
  <c r="S29" i="2"/>
  <c r="S32" i="2"/>
  <c r="S31" i="2"/>
  <c r="S90" i="2" s="1"/>
  <c r="S105" i="2"/>
  <c r="S106" i="2" s="1"/>
  <c r="AC76" i="2"/>
  <c r="AC77" i="2" s="1"/>
  <c r="W76" i="2"/>
  <c r="W77" i="2" s="1"/>
  <c r="Z31" i="2"/>
  <c r="Z90" i="2" s="1"/>
  <c r="Z32" i="2"/>
  <c r="Z22" i="2"/>
  <c r="Z29" i="2"/>
  <c r="Z76" i="2"/>
  <c r="Z77" i="2" s="1"/>
  <c r="Z105" i="2"/>
  <c r="Z106" i="2" s="1"/>
  <c r="Z23" i="2"/>
  <c r="S76" i="2"/>
  <c r="S77" i="2" s="1"/>
  <c r="X78" i="2"/>
  <c r="M102" i="2"/>
  <c r="M104" i="2" s="1"/>
  <c r="I102" i="2"/>
  <c r="I104" i="2" s="1"/>
  <c r="I70" i="2"/>
  <c r="I71" i="2" s="1"/>
  <c r="I72" i="2" s="1"/>
  <c r="I67" i="2"/>
  <c r="I68" i="2" s="1"/>
  <c r="I69" i="2" s="1"/>
  <c r="K70" i="2"/>
  <c r="K71" i="2" s="1"/>
  <c r="K72" i="2" s="1"/>
  <c r="K67" i="2"/>
  <c r="K68" i="2" s="1"/>
  <c r="K69" i="2" s="1"/>
  <c r="J70" i="2"/>
  <c r="J71" i="2" s="1"/>
  <c r="J72" i="2" s="1"/>
  <c r="J67" i="2"/>
  <c r="J68" i="2" s="1"/>
  <c r="J69" i="2" s="1"/>
  <c r="M73" i="2"/>
  <c r="M75" i="2" s="1"/>
  <c r="N99" i="2"/>
  <c r="N100" i="2" s="1"/>
  <c r="N101" i="2" s="1"/>
  <c r="N96" i="2"/>
  <c r="N97" i="2" s="1"/>
  <c r="N98" i="2" s="1"/>
  <c r="O96" i="2"/>
  <c r="O97" i="2" s="1"/>
  <c r="O98" i="2" s="1"/>
  <c r="O99" i="2"/>
  <c r="O100" i="2" s="1"/>
  <c r="O101" i="2" s="1"/>
  <c r="N70" i="2"/>
  <c r="N71" i="2" s="1"/>
  <c r="N72" i="2" s="1"/>
  <c r="N67" i="2"/>
  <c r="N68" i="2" s="1"/>
  <c r="N69" i="2" s="1"/>
  <c r="J99" i="2"/>
  <c r="J100" i="2" s="1"/>
  <c r="J101" i="2" s="1"/>
  <c r="J96" i="2"/>
  <c r="J97" i="2" s="1"/>
  <c r="J98" i="2" s="1"/>
  <c r="K96" i="2"/>
  <c r="K97" i="2" s="1"/>
  <c r="K98" i="2" s="1"/>
  <c r="K99" i="2"/>
  <c r="K100" i="2" s="1"/>
  <c r="K101" i="2" s="1"/>
  <c r="O70" i="2"/>
  <c r="O71" i="2" s="1"/>
  <c r="O72" i="2" s="1"/>
  <c r="O67" i="2"/>
  <c r="O68" i="2" s="1"/>
  <c r="O69" i="2" s="1"/>
  <c r="H73" i="2"/>
  <c r="H75" i="2" s="1"/>
  <c r="G41" i="2"/>
  <c r="G35" i="2"/>
  <c r="G36" i="2" s="1"/>
  <c r="G28" i="2"/>
  <c r="Q106" i="2" l="1"/>
  <c r="AA78" i="2"/>
  <c r="J73" i="2"/>
  <c r="J75" i="2" s="1"/>
  <c r="I73" i="2"/>
  <c r="I75" i="2" s="1"/>
  <c r="Q78" i="2"/>
  <c r="R107" i="2"/>
  <c r="U78" i="2"/>
  <c r="AD107" i="2"/>
  <c r="V107" i="2"/>
  <c r="V78" i="2"/>
  <c r="Y107" i="2"/>
  <c r="U107" i="2"/>
  <c r="AE78" i="2"/>
  <c r="AD78" i="2"/>
  <c r="Y78" i="2"/>
  <c r="Z107" i="2"/>
  <c r="W107" i="2"/>
  <c r="Z78" i="2"/>
  <c r="W78" i="2"/>
  <c r="S107" i="2"/>
  <c r="AC78" i="2"/>
  <c r="T78" i="2"/>
  <c r="AC107" i="2"/>
  <c r="S78" i="2"/>
  <c r="T107" i="2"/>
  <c r="N73" i="2"/>
  <c r="N75" i="2" s="1"/>
  <c r="K102" i="2"/>
  <c r="K104" i="2" s="1"/>
  <c r="I14" i="2"/>
  <c r="I31" i="2" s="1"/>
  <c r="I90" i="2" s="1"/>
  <c r="K14" i="2"/>
  <c r="N102" i="2"/>
  <c r="N104" i="2" s="1"/>
  <c r="L14" i="2"/>
  <c r="P14" i="2"/>
  <c r="N14" i="2"/>
  <c r="N23" i="2" s="1"/>
  <c r="J102" i="2"/>
  <c r="J104" i="2" s="1"/>
  <c r="K73" i="2"/>
  <c r="K75" i="2" s="1"/>
  <c r="M14" i="2"/>
  <c r="H14" i="2"/>
  <c r="O14" i="2"/>
  <c r="O23" i="2" s="1"/>
  <c r="J14" i="2"/>
  <c r="O73" i="2"/>
  <c r="O75" i="2" s="1"/>
  <c r="O102" i="2"/>
  <c r="O104" i="2" s="1"/>
  <c r="G37" i="2"/>
  <c r="G42" i="2" s="1"/>
  <c r="K105" i="2" l="1"/>
  <c r="K106" i="2" s="1"/>
  <c r="K32" i="2"/>
  <c r="O105" i="2"/>
  <c r="O106" i="2" s="1"/>
  <c r="K31" i="2"/>
  <c r="K90" i="2" s="1"/>
  <c r="K76" i="2"/>
  <c r="K77" i="2" s="1"/>
  <c r="K29" i="2"/>
  <c r="K23" i="2"/>
  <c r="I29" i="2"/>
  <c r="K22" i="2"/>
  <c r="I32" i="2"/>
  <c r="I76" i="2"/>
  <c r="I77" i="2" s="1"/>
  <c r="I22" i="2"/>
  <c r="I105" i="2"/>
  <c r="I106" i="2" s="1"/>
  <c r="O76" i="2"/>
  <c r="O77" i="2" s="1"/>
  <c r="I23" i="2"/>
  <c r="J105" i="2"/>
  <c r="J106" i="2" s="1"/>
  <c r="H31" i="2"/>
  <c r="H90" i="2" s="1"/>
  <c r="H29" i="2"/>
  <c r="H32" i="2"/>
  <c r="H22" i="2"/>
  <c r="H105" i="2"/>
  <c r="H106" i="2" s="1"/>
  <c r="P22" i="2"/>
  <c r="P31" i="2"/>
  <c r="P90" i="2" s="1"/>
  <c r="P32" i="2"/>
  <c r="P29" i="2"/>
  <c r="P76" i="2"/>
  <c r="P77" i="2" s="1"/>
  <c r="P105" i="2"/>
  <c r="P106" i="2" s="1"/>
  <c r="J31" i="2"/>
  <c r="J90" i="2" s="1"/>
  <c r="J29" i="2"/>
  <c r="J22" i="2"/>
  <c r="J32" i="2"/>
  <c r="M22" i="2"/>
  <c r="M29" i="2"/>
  <c r="M32" i="2"/>
  <c r="M31" i="2"/>
  <c r="M90" i="2" s="1"/>
  <c r="M105" i="2"/>
  <c r="M106" i="2" s="1"/>
  <c r="P23" i="2"/>
  <c r="N31" i="2"/>
  <c r="N90" i="2" s="1"/>
  <c r="N22" i="2"/>
  <c r="N29" i="2"/>
  <c r="N32" i="2"/>
  <c r="L32" i="2"/>
  <c r="L29" i="2"/>
  <c r="L22" i="2"/>
  <c r="L31" i="2"/>
  <c r="L90" i="2" s="1"/>
  <c r="L76" i="2"/>
  <c r="L77" i="2" s="1"/>
  <c r="L105" i="2"/>
  <c r="L106" i="2" s="1"/>
  <c r="M76" i="2"/>
  <c r="M77" i="2" s="1"/>
  <c r="H23" i="2"/>
  <c r="J23" i="2"/>
  <c r="M23" i="2"/>
  <c r="H76" i="2"/>
  <c r="H77" i="2" s="1"/>
  <c r="O31" i="2"/>
  <c r="O90" i="2" s="1"/>
  <c r="O22" i="2"/>
  <c r="O29" i="2"/>
  <c r="O32" i="2"/>
  <c r="N76" i="2"/>
  <c r="N77" i="2" s="1"/>
  <c r="L23" i="2"/>
  <c r="N105" i="2"/>
  <c r="N106" i="2" s="1"/>
  <c r="J76" i="2"/>
  <c r="J77" i="2" s="1"/>
  <c r="G94" i="2"/>
  <c r="G103" i="2" s="1"/>
  <c r="G65" i="2"/>
  <c r="G74" i="2" s="1"/>
  <c r="G20" i="2"/>
  <c r="K107" i="2" l="1"/>
  <c r="N78" i="2"/>
  <c r="L107" i="2"/>
  <c r="P107" i="2"/>
  <c r="I78" i="2"/>
  <c r="O107" i="2"/>
  <c r="N107" i="2"/>
  <c r="L78" i="2"/>
  <c r="P78" i="2"/>
  <c r="O78" i="2"/>
  <c r="H107" i="2"/>
  <c r="I107" i="2"/>
  <c r="K78" i="2"/>
  <c r="J78" i="2"/>
  <c r="H78" i="2"/>
  <c r="M78" i="2"/>
  <c r="M107" i="2"/>
  <c r="J107" i="2"/>
  <c r="G21" i="2"/>
  <c r="G95" i="2"/>
  <c r="G66" i="2"/>
  <c r="G70" i="2" s="1"/>
  <c r="G14" i="2"/>
  <c r="G23" i="2" s="1"/>
  <c r="G31" i="2" l="1"/>
  <c r="G32" i="2" s="1"/>
  <c r="H33" i="2" s="1"/>
  <c r="G29" i="2"/>
  <c r="G22" i="2"/>
  <c r="G71" i="2"/>
  <c r="G72" i="2" s="1"/>
  <c r="G96" i="2"/>
  <c r="G99" i="2"/>
  <c r="G67" i="2"/>
  <c r="H30" i="2" l="1"/>
  <c r="H43" i="2" s="1"/>
  <c r="H44" i="2" s="1"/>
  <c r="H45" i="2" s="1"/>
  <c r="G51" i="2"/>
  <c r="I33" i="2"/>
  <c r="H79" i="2"/>
  <c r="G43" i="2"/>
  <c r="G79" i="2"/>
  <c r="G80" i="2" s="1"/>
  <c r="G97" i="2"/>
  <c r="G98" i="2" s="1"/>
  <c r="G68" i="2"/>
  <c r="G69" i="2" s="1"/>
  <c r="G73" i="2" s="1"/>
  <c r="G75" i="2" s="1"/>
  <c r="G76" i="2" s="1"/>
  <c r="G77" i="2" s="1"/>
  <c r="G100" i="2"/>
  <c r="G101" i="2" s="1"/>
  <c r="H48" i="2" l="1"/>
  <c r="H47" i="2"/>
  <c r="I30" i="2"/>
  <c r="J30" i="2" s="1"/>
  <c r="H51" i="2"/>
  <c r="H52" i="2" s="1"/>
  <c r="J33" i="2"/>
  <c r="I79" i="2"/>
  <c r="H88" i="2"/>
  <c r="H80" i="2"/>
  <c r="H46" i="2"/>
  <c r="G88" i="2"/>
  <c r="G84" i="2"/>
  <c r="G85" i="2" s="1"/>
  <c r="G60" i="2"/>
  <c r="G52" i="2"/>
  <c r="G56" i="2" s="1"/>
  <c r="G44" i="2"/>
  <c r="G45" i="2" s="1"/>
  <c r="G47" i="2" s="1"/>
  <c r="G78" i="2"/>
  <c r="G102" i="2"/>
  <c r="G104" i="2" s="1"/>
  <c r="G105" i="2" s="1"/>
  <c r="G106" i="2" s="1"/>
  <c r="G81" i="2"/>
  <c r="I51" i="2" l="1"/>
  <c r="I60" i="2" s="1"/>
  <c r="H60" i="2"/>
  <c r="H50" i="2"/>
  <c r="H49" i="2"/>
  <c r="I43" i="2"/>
  <c r="I44" i="2" s="1"/>
  <c r="I45" i="2" s="1"/>
  <c r="I46" i="2" s="1"/>
  <c r="G107" i="2"/>
  <c r="K30" i="2"/>
  <c r="J51" i="2"/>
  <c r="J43" i="2"/>
  <c r="J44" i="2" s="1"/>
  <c r="J45" i="2" s="1"/>
  <c r="H56" i="2"/>
  <c r="H57" i="2" s="1"/>
  <c r="H58" i="2" s="1"/>
  <c r="H53" i="2"/>
  <c r="I80" i="2"/>
  <c r="I88" i="2"/>
  <c r="H84" i="2"/>
  <c r="H85" i="2" s="1"/>
  <c r="H86" i="2" s="1"/>
  <c r="H81" i="2"/>
  <c r="H82" i="2" s="1"/>
  <c r="H83" i="2" s="1"/>
  <c r="J79" i="2"/>
  <c r="K33" i="2"/>
  <c r="G53" i="2"/>
  <c r="G48" i="2"/>
  <c r="G46" i="2"/>
  <c r="G82" i="2"/>
  <c r="G83" i="2" s="1"/>
  <c r="G86" i="2"/>
  <c r="G57" i="2"/>
  <c r="I52" i="2" l="1"/>
  <c r="I48" i="2"/>
  <c r="I47" i="2"/>
  <c r="I50" i="2"/>
  <c r="I49" i="2"/>
  <c r="J47" i="2"/>
  <c r="J48" i="2"/>
  <c r="G49" i="2"/>
  <c r="G50" i="2"/>
  <c r="H54" i="2"/>
  <c r="H55" i="2" s="1"/>
  <c r="H59" i="2" s="1"/>
  <c r="H61" i="2" s="1"/>
  <c r="H62" i="2" s="1"/>
  <c r="H63" i="2" s="1"/>
  <c r="G54" i="2"/>
  <c r="G55" i="2" s="1"/>
  <c r="H87" i="2"/>
  <c r="H89" i="2" s="1"/>
  <c r="H91" i="2" s="1"/>
  <c r="H92" i="2" s="1"/>
  <c r="J88" i="2"/>
  <c r="J80" i="2"/>
  <c r="I81" i="2"/>
  <c r="I82" i="2" s="1"/>
  <c r="I83" i="2" s="1"/>
  <c r="I84" i="2"/>
  <c r="I85" i="2" s="1"/>
  <c r="I86" i="2" s="1"/>
  <c r="I56" i="2"/>
  <c r="I57" i="2" s="1"/>
  <c r="I58" i="2" s="1"/>
  <c r="I53" i="2"/>
  <c r="J52" i="2"/>
  <c r="J60" i="2"/>
  <c r="J46" i="2"/>
  <c r="L33" i="2"/>
  <c r="K79" i="2"/>
  <c r="L30" i="2"/>
  <c r="K51" i="2"/>
  <c r="K43" i="2"/>
  <c r="K44" i="2" s="1"/>
  <c r="K45" i="2" s="1"/>
  <c r="G87" i="2"/>
  <c r="G90" i="2" s="1"/>
  <c r="G58" i="2"/>
  <c r="J49" i="2" l="1"/>
  <c r="J50" i="2"/>
  <c r="K47" i="2"/>
  <c r="K48" i="2"/>
  <c r="I54" i="2"/>
  <c r="I55" i="2" s="1"/>
  <c r="I59" i="2" s="1"/>
  <c r="I61" i="2" s="1"/>
  <c r="I62" i="2" s="1"/>
  <c r="I63" i="2" s="1"/>
  <c r="G59" i="2"/>
  <c r="G61" i="2" s="1"/>
  <c r="G62" i="2" s="1"/>
  <c r="G63" i="2" s="1"/>
  <c r="H93" i="2"/>
  <c r="H64" i="2"/>
  <c r="K60" i="2"/>
  <c r="K52" i="2"/>
  <c r="M30" i="2"/>
  <c r="L51" i="2"/>
  <c r="L43" i="2"/>
  <c r="L44" i="2" s="1"/>
  <c r="L45" i="2" s="1"/>
  <c r="K88" i="2"/>
  <c r="K80" i="2"/>
  <c r="J84" i="2"/>
  <c r="J85" i="2" s="1"/>
  <c r="J86" i="2" s="1"/>
  <c r="J81" i="2"/>
  <c r="J82" i="2" s="1"/>
  <c r="J83" i="2" s="1"/>
  <c r="I87" i="2"/>
  <c r="I89" i="2" s="1"/>
  <c r="I91" i="2" s="1"/>
  <c r="I92" i="2" s="1"/>
  <c r="K46" i="2"/>
  <c r="L79" i="2"/>
  <c r="M33" i="2"/>
  <c r="J56" i="2"/>
  <c r="J57" i="2" s="1"/>
  <c r="J58" i="2" s="1"/>
  <c r="J53" i="2"/>
  <c r="G89" i="2"/>
  <c r="G91" i="2" s="1"/>
  <c r="G92" i="2" s="1"/>
  <c r="K49" i="2" l="1"/>
  <c r="K50" i="2"/>
  <c r="L47" i="2"/>
  <c r="L48" i="2"/>
  <c r="J54" i="2"/>
  <c r="J55" i="2" s="1"/>
  <c r="J59" i="2" s="1"/>
  <c r="J61" i="2" s="1"/>
  <c r="J62" i="2" s="1"/>
  <c r="J63" i="2" s="1"/>
  <c r="I64" i="2"/>
  <c r="J87" i="2"/>
  <c r="J89" i="2" s="1"/>
  <c r="J91" i="2" s="1"/>
  <c r="J92" i="2" s="1"/>
  <c r="L52" i="2"/>
  <c r="L60" i="2"/>
  <c r="M79" i="2"/>
  <c r="N33" i="2"/>
  <c r="K81" i="2"/>
  <c r="K82" i="2" s="1"/>
  <c r="K83" i="2" s="1"/>
  <c r="K84" i="2"/>
  <c r="K85" i="2" s="1"/>
  <c r="K86" i="2" s="1"/>
  <c r="K56" i="2"/>
  <c r="K57" i="2" s="1"/>
  <c r="K58" i="2" s="1"/>
  <c r="K53" i="2"/>
  <c r="N30" i="2"/>
  <c r="M43" i="2"/>
  <c r="M44" i="2" s="1"/>
  <c r="M45" i="2" s="1"/>
  <c r="M51" i="2"/>
  <c r="L80" i="2"/>
  <c r="L88" i="2"/>
  <c r="I93" i="2"/>
  <c r="L46" i="2"/>
  <c r="G93" i="2"/>
  <c r="G64" i="2"/>
  <c r="M47" i="2" l="1"/>
  <c r="M48" i="2"/>
  <c r="L50" i="2"/>
  <c r="L49" i="2"/>
  <c r="K54" i="2"/>
  <c r="K55" i="2" s="1"/>
  <c r="K59" i="2" s="1"/>
  <c r="K61" i="2" s="1"/>
  <c r="K62" i="2" s="1"/>
  <c r="K63" i="2" s="1"/>
  <c r="J64" i="2"/>
  <c r="J93" i="2"/>
  <c r="M60" i="2"/>
  <c r="M52" i="2"/>
  <c r="O33" i="2"/>
  <c r="N79" i="2"/>
  <c r="M46" i="2"/>
  <c r="M80" i="2"/>
  <c r="M88" i="2"/>
  <c r="O30" i="2"/>
  <c r="N51" i="2"/>
  <c r="N43" i="2"/>
  <c r="N44" i="2" s="1"/>
  <c r="N45" i="2" s="1"/>
  <c r="L53" i="2"/>
  <c r="L56" i="2"/>
  <c r="L57" i="2" s="1"/>
  <c r="L58" i="2" s="1"/>
  <c r="L81" i="2"/>
  <c r="L82" i="2" s="1"/>
  <c r="L83" i="2" s="1"/>
  <c r="L84" i="2"/>
  <c r="L85" i="2" s="1"/>
  <c r="L86" i="2" s="1"/>
  <c r="K87" i="2"/>
  <c r="K89" i="2" s="1"/>
  <c r="K91" i="2" s="1"/>
  <c r="K92" i="2" s="1"/>
  <c r="M50" i="2" l="1"/>
  <c r="M49" i="2"/>
  <c r="N47" i="2"/>
  <c r="N48" i="2"/>
  <c r="L54" i="2"/>
  <c r="L55" i="2" s="1"/>
  <c r="L59" i="2" s="1"/>
  <c r="L61" i="2" s="1"/>
  <c r="L62" i="2" s="1"/>
  <c r="L63" i="2" s="1"/>
  <c r="K64" i="2"/>
  <c r="P30" i="2"/>
  <c r="Q30" i="2" s="1"/>
  <c r="O51" i="2"/>
  <c r="O43" i="2"/>
  <c r="O44" i="2" s="1"/>
  <c r="O45" i="2" s="1"/>
  <c r="M84" i="2"/>
  <c r="M85" i="2" s="1"/>
  <c r="M86" i="2" s="1"/>
  <c r="M81" i="2"/>
  <c r="M82" i="2" s="1"/>
  <c r="M83" i="2" s="1"/>
  <c r="L87" i="2"/>
  <c r="L89" i="2" s="1"/>
  <c r="L91" i="2" s="1"/>
  <c r="L92" i="2" s="1"/>
  <c r="N46" i="2"/>
  <c r="M56" i="2"/>
  <c r="M57" i="2" s="1"/>
  <c r="M58" i="2" s="1"/>
  <c r="M53" i="2"/>
  <c r="K93" i="2"/>
  <c r="N88" i="2"/>
  <c r="N80" i="2"/>
  <c r="O79" i="2"/>
  <c r="P33" i="2"/>
  <c r="Q33" i="2" s="1"/>
  <c r="N52" i="2"/>
  <c r="N60" i="2"/>
  <c r="N49" i="2" l="1"/>
  <c r="N50" i="2"/>
  <c r="O47" i="2"/>
  <c r="O48" i="2"/>
  <c r="M54" i="2"/>
  <c r="M55" i="2" s="1"/>
  <c r="M59" i="2" s="1"/>
  <c r="M61" i="2" s="1"/>
  <c r="M62" i="2" s="1"/>
  <c r="M63" i="2" s="1"/>
  <c r="R33" i="2"/>
  <c r="Q79" i="2"/>
  <c r="R30" i="2"/>
  <c r="Q43" i="2"/>
  <c r="Q44" i="2" s="1"/>
  <c r="Q45" i="2" s="1"/>
  <c r="Q51" i="2"/>
  <c r="L64" i="2"/>
  <c r="M87" i="2"/>
  <c r="M89" i="2" s="1"/>
  <c r="M91" i="2" s="1"/>
  <c r="M92" i="2" s="1"/>
  <c r="L93" i="2"/>
  <c r="O88" i="2"/>
  <c r="O80" i="2"/>
  <c r="O52" i="2"/>
  <c r="O60" i="2"/>
  <c r="N81" i="2"/>
  <c r="N82" i="2" s="1"/>
  <c r="N83" i="2" s="1"/>
  <c r="N84" i="2"/>
  <c r="N85" i="2" s="1"/>
  <c r="N86" i="2" s="1"/>
  <c r="P51" i="2"/>
  <c r="P43" i="2"/>
  <c r="P44" i="2" s="1"/>
  <c r="P45" i="2" s="1"/>
  <c r="N56" i="2"/>
  <c r="N57" i="2" s="1"/>
  <c r="N58" i="2" s="1"/>
  <c r="N53" i="2"/>
  <c r="P79" i="2"/>
  <c r="O46" i="2"/>
  <c r="P48" i="2" l="1"/>
  <c r="P47" i="2"/>
  <c r="O49" i="2"/>
  <c r="O50" i="2"/>
  <c r="Q47" i="2"/>
  <c r="Q48" i="2"/>
  <c r="N54" i="2"/>
  <c r="N55" i="2" s="1"/>
  <c r="N59" i="2" s="1"/>
  <c r="N61" i="2" s="1"/>
  <c r="N62" i="2" s="1"/>
  <c r="N63" i="2" s="1"/>
  <c r="Q46" i="2"/>
  <c r="S30" i="2"/>
  <c r="R51" i="2"/>
  <c r="R43" i="2"/>
  <c r="R44" i="2" s="1"/>
  <c r="R45" i="2" s="1"/>
  <c r="Q80" i="2"/>
  <c r="Q88" i="2"/>
  <c r="Q52" i="2"/>
  <c r="Q60" i="2"/>
  <c r="S33" i="2"/>
  <c r="R79" i="2"/>
  <c r="M93" i="2"/>
  <c r="M64" i="2"/>
  <c r="P80" i="2"/>
  <c r="P88" i="2"/>
  <c r="P60" i="2"/>
  <c r="P52" i="2"/>
  <c r="O56" i="2"/>
  <c r="O57" i="2" s="1"/>
  <c r="O58" i="2" s="1"/>
  <c r="O53" i="2"/>
  <c r="O81" i="2"/>
  <c r="O82" i="2" s="1"/>
  <c r="O83" i="2" s="1"/>
  <c r="O84" i="2"/>
  <c r="O85" i="2" s="1"/>
  <c r="O86" i="2" s="1"/>
  <c r="P46" i="2"/>
  <c r="N87" i="2"/>
  <c r="N89" i="2" s="1"/>
  <c r="N91" i="2" s="1"/>
  <c r="N92" i="2" s="1"/>
  <c r="P50" i="2" l="1"/>
  <c r="P49" i="2"/>
  <c r="Q50" i="2"/>
  <c r="Q49" i="2"/>
  <c r="R47" i="2"/>
  <c r="R48" i="2"/>
  <c r="O54" i="2"/>
  <c r="O55" i="2" s="1"/>
  <c r="O59" i="2" s="1"/>
  <c r="O61" i="2" s="1"/>
  <c r="O62" i="2" s="1"/>
  <c r="O63" i="2" s="1"/>
  <c r="Q56" i="2"/>
  <c r="Q57" i="2" s="1"/>
  <c r="Q58" i="2" s="1"/>
  <c r="Q53" i="2"/>
  <c r="T30" i="2"/>
  <c r="S51" i="2"/>
  <c r="S43" i="2"/>
  <c r="S44" i="2" s="1"/>
  <c r="S45" i="2" s="1"/>
  <c r="R80" i="2"/>
  <c r="R88" i="2"/>
  <c r="T33" i="2"/>
  <c r="S79" i="2"/>
  <c r="Q84" i="2"/>
  <c r="Q85" i="2" s="1"/>
  <c r="Q86" i="2" s="1"/>
  <c r="Q81" i="2"/>
  <c r="Q82" i="2" s="1"/>
  <c r="Q83" i="2" s="1"/>
  <c r="R46" i="2"/>
  <c r="R60" i="2"/>
  <c r="R52" i="2"/>
  <c r="N64" i="2"/>
  <c r="N93" i="2"/>
  <c r="P84" i="2"/>
  <c r="P85" i="2" s="1"/>
  <c r="P86" i="2" s="1"/>
  <c r="P81" i="2"/>
  <c r="P82" i="2" s="1"/>
  <c r="P83" i="2" s="1"/>
  <c r="O87" i="2"/>
  <c r="O89" i="2" s="1"/>
  <c r="O91" i="2" s="1"/>
  <c r="O92" i="2" s="1"/>
  <c r="P56" i="2"/>
  <c r="P57" i="2" s="1"/>
  <c r="P58" i="2" s="1"/>
  <c r="P53" i="2"/>
  <c r="S47" i="2" l="1"/>
  <c r="S48" i="2"/>
  <c r="R49" i="2"/>
  <c r="R50" i="2"/>
  <c r="Q54" i="2"/>
  <c r="Q55" i="2" s="1"/>
  <c r="Q59" i="2" s="1"/>
  <c r="Q61" i="2" s="1"/>
  <c r="Q62" i="2" s="1"/>
  <c r="Q63" i="2" s="1"/>
  <c r="P54" i="2"/>
  <c r="P55" i="2" s="1"/>
  <c r="P59" i="2" s="1"/>
  <c r="P61" i="2" s="1"/>
  <c r="P62" i="2" s="1"/>
  <c r="P63" i="2" s="1"/>
  <c r="Q87" i="2"/>
  <c r="Q89" i="2" s="1"/>
  <c r="Q91" i="2" s="1"/>
  <c r="Q92" i="2" s="1"/>
  <c r="S80" i="2"/>
  <c r="S88" i="2"/>
  <c r="S52" i="2"/>
  <c r="S60" i="2"/>
  <c r="R53" i="2"/>
  <c r="R56" i="2"/>
  <c r="R57" i="2" s="1"/>
  <c r="R58" i="2" s="1"/>
  <c r="U33" i="2"/>
  <c r="T79" i="2"/>
  <c r="U30" i="2"/>
  <c r="T43" i="2"/>
  <c r="T44" i="2" s="1"/>
  <c r="T45" i="2" s="1"/>
  <c r="T51" i="2"/>
  <c r="R81" i="2"/>
  <c r="R82" i="2" s="1"/>
  <c r="R83" i="2" s="1"/>
  <c r="R84" i="2"/>
  <c r="R85" i="2" s="1"/>
  <c r="R86" i="2" s="1"/>
  <c r="S46" i="2"/>
  <c r="O64" i="2"/>
  <c r="P87" i="2"/>
  <c r="P89" i="2" s="1"/>
  <c r="P91" i="2" s="1"/>
  <c r="P92" i="2" s="1"/>
  <c r="O93" i="2"/>
  <c r="S49" i="2" l="1"/>
  <c r="S50" i="2"/>
  <c r="T47" i="2"/>
  <c r="T48" i="2"/>
  <c r="Q93" i="2"/>
  <c r="R54" i="2"/>
  <c r="R55" i="2" s="1"/>
  <c r="R59" i="2" s="1"/>
  <c r="R61" i="2" s="1"/>
  <c r="R62" i="2" s="1"/>
  <c r="R63" i="2" s="1"/>
  <c r="Q64" i="2"/>
  <c r="T60" i="2"/>
  <c r="T52" i="2"/>
  <c r="T46" i="2"/>
  <c r="V30" i="2"/>
  <c r="U51" i="2"/>
  <c r="U43" i="2"/>
  <c r="U44" i="2" s="1"/>
  <c r="U45" i="2" s="1"/>
  <c r="S53" i="2"/>
  <c r="S56" i="2"/>
  <c r="S57" i="2" s="1"/>
  <c r="S58" i="2" s="1"/>
  <c r="V33" i="2"/>
  <c r="U79" i="2"/>
  <c r="R87" i="2"/>
  <c r="R89" i="2" s="1"/>
  <c r="R91" i="2" s="1"/>
  <c r="R92" i="2" s="1"/>
  <c r="T80" i="2"/>
  <c r="T88" i="2"/>
  <c r="S84" i="2"/>
  <c r="S85" i="2" s="1"/>
  <c r="S86" i="2" s="1"/>
  <c r="S81" i="2"/>
  <c r="S82" i="2" s="1"/>
  <c r="S83" i="2" s="1"/>
  <c r="P93" i="2"/>
  <c r="P64" i="2"/>
  <c r="T50" i="2" l="1"/>
  <c r="T49" i="2"/>
  <c r="U47" i="2"/>
  <c r="U48" i="2"/>
  <c r="R64" i="2"/>
  <c r="S54" i="2"/>
  <c r="S55" i="2" s="1"/>
  <c r="S59" i="2" s="1"/>
  <c r="S61" i="2" s="1"/>
  <c r="S62" i="2" s="1"/>
  <c r="S63" i="2" s="1"/>
  <c r="S87" i="2"/>
  <c r="S89" i="2" s="1"/>
  <c r="S91" i="2" s="1"/>
  <c r="S92" i="2" s="1"/>
  <c r="U88" i="2"/>
  <c r="U80" i="2"/>
  <c r="U46" i="2"/>
  <c r="W33" i="2"/>
  <c r="V79" i="2"/>
  <c r="U52" i="2"/>
  <c r="U60" i="2"/>
  <c r="T53" i="2"/>
  <c r="T56" i="2"/>
  <c r="T57" i="2" s="1"/>
  <c r="T58" i="2" s="1"/>
  <c r="R93" i="2"/>
  <c r="T84" i="2"/>
  <c r="T85" i="2" s="1"/>
  <c r="T86" i="2" s="1"/>
  <c r="T81" i="2"/>
  <c r="T82" i="2" s="1"/>
  <c r="T83" i="2" s="1"/>
  <c r="W30" i="2"/>
  <c r="V43" i="2"/>
  <c r="V44" i="2" s="1"/>
  <c r="V45" i="2" s="1"/>
  <c r="V51" i="2"/>
  <c r="U50" i="2" l="1"/>
  <c r="U49" i="2"/>
  <c r="V47" i="2"/>
  <c r="V48" i="2"/>
  <c r="T54" i="2"/>
  <c r="T55" i="2" s="1"/>
  <c r="T59" i="2" s="1"/>
  <c r="T61" i="2" s="1"/>
  <c r="T62" i="2" s="1"/>
  <c r="T63" i="2" s="1"/>
  <c r="S93" i="2"/>
  <c r="T87" i="2"/>
  <c r="T89" i="2" s="1"/>
  <c r="T91" i="2" s="1"/>
  <c r="T92" i="2" s="1"/>
  <c r="S64" i="2"/>
  <c r="X33" i="2"/>
  <c r="W79" i="2"/>
  <c r="V52" i="2"/>
  <c r="V60" i="2"/>
  <c r="V46" i="2"/>
  <c r="U53" i="2"/>
  <c r="U56" i="2"/>
  <c r="U57" i="2" s="1"/>
  <c r="U58" i="2" s="1"/>
  <c r="U84" i="2"/>
  <c r="U85" i="2" s="1"/>
  <c r="U86" i="2" s="1"/>
  <c r="U81" i="2"/>
  <c r="U82" i="2" s="1"/>
  <c r="U83" i="2" s="1"/>
  <c r="X30" i="2"/>
  <c r="W43" i="2"/>
  <c r="W44" i="2" s="1"/>
  <c r="W45" i="2" s="1"/>
  <c r="W51" i="2"/>
  <c r="V80" i="2"/>
  <c r="V88" i="2"/>
  <c r="W47" i="2" l="1"/>
  <c r="W48" i="2"/>
  <c r="V49" i="2"/>
  <c r="V50" i="2"/>
  <c r="U54" i="2"/>
  <c r="U55" i="2" s="1"/>
  <c r="U59" i="2" s="1"/>
  <c r="U61" i="2" s="1"/>
  <c r="U62" i="2" s="1"/>
  <c r="U63" i="2" s="1"/>
  <c r="T93" i="2"/>
  <c r="U87" i="2"/>
  <c r="U89" i="2" s="1"/>
  <c r="U91" i="2" s="1"/>
  <c r="U92" i="2" s="1"/>
  <c r="T64" i="2"/>
  <c r="V81" i="2"/>
  <c r="V82" i="2" s="1"/>
  <c r="V83" i="2" s="1"/>
  <c r="V84" i="2"/>
  <c r="V85" i="2" s="1"/>
  <c r="V86" i="2" s="1"/>
  <c r="X79" i="2"/>
  <c r="Y33" i="2"/>
  <c r="W80" i="2"/>
  <c r="W88" i="2"/>
  <c r="Y30" i="2"/>
  <c r="X43" i="2"/>
  <c r="X44" i="2" s="1"/>
  <c r="X45" i="2" s="1"/>
  <c r="X51" i="2"/>
  <c r="W60" i="2"/>
  <c r="W52" i="2"/>
  <c r="W46" i="2"/>
  <c r="V56" i="2"/>
  <c r="V57" i="2" s="1"/>
  <c r="V58" i="2" s="1"/>
  <c r="V53" i="2"/>
  <c r="W49" i="2" l="1"/>
  <c r="W50" i="2"/>
  <c r="X47" i="2"/>
  <c r="X48" i="2"/>
  <c r="V54" i="2"/>
  <c r="V55" i="2" s="1"/>
  <c r="V59" i="2" s="1"/>
  <c r="V61" i="2" s="1"/>
  <c r="V62" i="2" s="1"/>
  <c r="V63" i="2" s="1"/>
  <c r="U93" i="2"/>
  <c r="Z30" i="2"/>
  <c r="Y51" i="2"/>
  <c r="Y43" i="2"/>
  <c r="Y44" i="2" s="1"/>
  <c r="Y45" i="2" s="1"/>
  <c r="Y79" i="2"/>
  <c r="Z33" i="2"/>
  <c r="V87" i="2"/>
  <c r="V89" i="2" s="1"/>
  <c r="V91" i="2" s="1"/>
  <c r="V92" i="2" s="1"/>
  <c r="X80" i="2"/>
  <c r="X88" i="2"/>
  <c r="W53" i="2"/>
  <c r="W56" i="2"/>
  <c r="W57" i="2" s="1"/>
  <c r="W58" i="2" s="1"/>
  <c r="X60" i="2"/>
  <c r="X52" i="2"/>
  <c r="U64" i="2"/>
  <c r="X46" i="2"/>
  <c r="W84" i="2"/>
  <c r="W85" i="2" s="1"/>
  <c r="W86" i="2" s="1"/>
  <c r="W81" i="2"/>
  <c r="W82" i="2" s="1"/>
  <c r="W83" i="2" s="1"/>
  <c r="X50" i="2" l="1"/>
  <c r="X49" i="2"/>
  <c r="Y47" i="2"/>
  <c r="Y48" i="2"/>
  <c r="V64" i="2"/>
  <c r="W54" i="2"/>
  <c r="W55" i="2" s="1"/>
  <c r="W59" i="2" s="1"/>
  <c r="W61" i="2" s="1"/>
  <c r="W62" i="2" s="1"/>
  <c r="W63" i="2" s="1"/>
  <c r="W87" i="2"/>
  <c r="W89" i="2" s="1"/>
  <c r="W91" i="2" s="1"/>
  <c r="Y80" i="2"/>
  <c r="Y88" i="2"/>
  <c r="X56" i="2"/>
  <c r="X57" i="2" s="1"/>
  <c r="X58" i="2" s="1"/>
  <c r="X53" i="2"/>
  <c r="Y46" i="2"/>
  <c r="V93" i="2"/>
  <c r="Y52" i="2"/>
  <c r="Y60" i="2"/>
  <c r="X84" i="2"/>
  <c r="X85" i="2" s="1"/>
  <c r="X86" i="2" s="1"/>
  <c r="X81" i="2"/>
  <c r="X82" i="2" s="1"/>
  <c r="X83" i="2" s="1"/>
  <c r="AA33" i="2"/>
  <c r="Z79" i="2"/>
  <c r="AA30" i="2"/>
  <c r="Z43" i="2"/>
  <c r="Z44" i="2" s="1"/>
  <c r="Z45" i="2" s="1"/>
  <c r="Z51" i="2"/>
  <c r="Y50" i="2" l="1"/>
  <c r="Y49" i="2"/>
  <c r="W93" i="2"/>
  <c r="W92" i="2"/>
  <c r="Z47" i="2"/>
  <c r="Z48" i="2"/>
  <c r="W64" i="2"/>
  <c r="X54" i="2"/>
  <c r="X55" i="2" s="1"/>
  <c r="X59" i="2" s="1"/>
  <c r="X61" i="2" s="1"/>
  <c r="X62" i="2" s="1"/>
  <c r="X63" i="2" s="1"/>
  <c r="X87" i="2"/>
  <c r="X89" i="2" s="1"/>
  <c r="X91" i="2" s="1"/>
  <c r="Z80" i="2"/>
  <c r="Z88" i="2"/>
  <c r="Z52" i="2"/>
  <c r="Z60" i="2"/>
  <c r="AB33" i="2"/>
  <c r="AA79" i="2"/>
  <c r="Y84" i="2"/>
  <c r="Y85" i="2" s="1"/>
  <c r="Y86" i="2" s="1"/>
  <c r="Y81" i="2"/>
  <c r="Y82" i="2" s="1"/>
  <c r="Y83" i="2" s="1"/>
  <c r="Z46" i="2"/>
  <c r="AB30" i="2"/>
  <c r="AA43" i="2"/>
  <c r="AA44" i="2" s="1"/>
  <c r="AA45" i="2" s="1"/>
  <c r="AA51" i="2"/>
  <c r="Y56" i="2"/>
  <c r="Y57" i="2" s="1"/>
  <c r="Y58" i="2" s="1"/>
  <c r="Y53" i="2"/>
  <c r="AA47" i="2" l="1"/>
  <c r="AA48" i="2"/>
  <c r="Z49" i="2"/>
  <c r="Z50" i="2"/>
  <c r="X93" i="2"/>
  <c r="X92" i="2"/>
  <c r="Y54" i="2"/>
  <c r="Y55" i="2" s="1"/>
  <c r="Y59" i="2" s="1"/>
  <c r="Y61" i="2" s="1"/>
  <c r="Y62" i="2" s="1"/>
  <c r="Y63" i="2" s="1"/>
  <c r="X64" i="2"/>
  <c r="Y87" i="2"/>
  <c r="Y89" i="2" s="1"/>
  <c r="Y91" i="2" s="1"/>
  <c r="Y92" i="2" s="1"/>
  <c r="Z56" i="2"/>
  <c r="Z57" i="2" s="1"/>
  <c r="Z58" i="2" s="1"/>
  <c r="Z53" i="2"/>
  <c r="AC30" i="2"/>
  <c r="AB51" i="2"/>
  <c r="AB43" i="2"/>
  <c r="AB44" i="2" s="1"/>
  <c r="AB45" i="2" s="1"/>
  <c r="AA52" i="2"/>
  <c r="AA60" i="2"/>
  <c r="AA80" i="2"/>
  <c r="AA88" i="2"/>
  <c r="AA46" i="2"/>
  <c r="AB79" i="2"/>
  <c r="AC33" i="2"/>
  <c r="Z81" i="2"/>
  <c r="Z82" i="2" s="1"/>
  <c r="Z83" i="2" s="1"/>
  <c r="Z84" i="2"/>
  <c r="Z85" i="2" s="1"/>
  <c r="Z86" i="2" s="1"/>
  <c r="AB47" i="2" l="1"/>
  <c r="AB48" i="2"/>
  <c r="AA49" i="2"/>
  <c r="AA50" i="2"/>
  <c r="Z54" i="2"/>
  <c r="Z55" i="2" s="1"/>
  <c r="Z59" i="2" s="1"/>
  <c r="Z61" i="2" s="1"/>
  <c r="Z62" i="2" s="1"/>
  <c r="Z63" i="2" s="1"/>
  <c r="Y64" i="2"/>
  <c r="Z87" i="2"/>
  <c r="Z89" i="2" s="1"/>
  <c r="Z91" i="2" s="1"/>
  <c r="Z92" i="2" s="1"/>
  <c r="AC79" i="2"/>
  <c r="AD33" i="2"/>
  <c r="AB60" i="2"/>
  <c r="AB52" i="2"/>
  <c r="AB80" i="2"/>
  <c r="AB88" i="2"/>
  <c r="AD30" i="2"/>
  <c r="AC51" i="2"/>
  <c r="AC43" i="2"/>
  <c r="AC44" i="2" s="1"/>
  <c r="AC45" i="2" s="1"/>
  <c r="Y93" i="2"/>
  <c r="AA81" i="2"/>
  <c r="AA82" i="2" s="1"/>
  <c r="AA83" i="2" s="1"/>
  <c r="AA84" i="2"/>
  <c r="AA85" i="2" s="1"/>
  <c r="AA86" i="2" s="1"/>
  <c r="AA56" i="2"/>
  <c r="AA57" i="2" s="1"/>
  <c r="AA58" i="2" s="1"/>
  <c r="AA53" i="2"/>
  <c r="AB46" i="2"/>
  <c r="AC47" i="2" l="1"/>
  <c r="AC48" i="2"/>
  <c r="AB49" i="2"/>
  <c r="AB50" i="2"/>
  <c r="AA54" i="2"/>
  <c r="AA55" i="2" s="1"/>
  <c r="AA59" i="2" s="1"/>
  <c r="AA61" i="2" s="1"/>
  <c r="AA62" i="2" s="1"/>
  <c r="AA63" i="2" s="1"/>
  <c r="Z93" i="2"/>
  <c r="Z64" i="2"/>
  <c r="AE30" i="2"/>
  <c r="AF30" i="2" s="1"/>
  <c r="AD43" i="2"/>
  <c r="AD44" i="2" s="1"/>
  <c r="AD45" i="2" s="1"/>
  <c r="AD51" i="2"/>
  <c r="AC52" i="2"/>
  <c r="AC60" i="2"/>
  <c r="AA87" i="2"/>
  <c r="AA89" i="2" s="1"/>
  <c r="AA91" i="2" s="1"/>
  <c r="AA92" i="2" s="1"/>
  <c r="AB56" i="2"/>
  <c r="AB57" i="2" s="1"/>
  <c r="AB58" i="2" s="1"/>
  <c r="AB53" i="2"/>
  <c r="AD79" i="2"/>
  <c r="AE33" i="2"/>
  <c r="AF33" i="2" s="1"/>
  <c r="AC46" i="2"/>
  <c r="AB84" i="2"/>
  <c r="AB85" i="2" s="1"/>
  <c r="AB86" i="2" s="1"/>
  <c r="AB81" i="2"/>
  <c r="AB82" i="2" s="1"/>
  <c r="AB83" i="2" s="1"/>
  <c r="AC80" i="2"/>
  <c r="AC88" i="2"/>
  <c r="AG33" i="2" l="1"/>
  <c r="AF79" i="2"/>
  <c r="AG30" i="2"/>
  <c r="AF43" i="2"/>
  <c r="AF44" i="2" s="1"/>
  <c r="AF45" i="2" s="1"/>
  <c r="AF51" i="2"/>
  <c r="AC50" i="2"/>
  <c r="AC49" i="2"/>
  <c r="AD47" i="2"/>
  <c r="AD48" i="2"/>
  <c r="AB54" i="2"/>
  <c r="AB55" i="2" s="1"/>
  <c r="AB59" i="2" s="1"/>
  <c r="AB61" i="2" s="1"/>
  <c r="AB62" i="2" s="1"/>
  <c r="AB63" i="2" s="1"/>
  <c r="AB87" i="2"/>
  <c r="AB89" i="2" s="1"/>
  <c r="AB91" i="2" s="1"/>
  <c r="AB92" i="2" s="1"/>
  <c r="AE79" i="2"/>
  <c r="AA93" i="2"/>
  <c r="AC84" i="2"/>
  <c r="AC85" i="2" s="1"/>
  <c r="AC86" i="2" s="1"/>
  <c r="AC81" i="2"/>
  <c r="AC82" i="2" s="1"/>
  <c r="AC83" i="2" s="1"/>
  <c r="AD88" i="2"/>
  <c r="AD80" i="2"/>
  <c r="AD60" i="2"/>
  <c r="AD52" i="2"/>
  <c r="AC56" i="2"/>
  <c r="AC57" i="2" s="1"/>
  <c r="AC58" i="2" s="1"/>
  <c r="AC53" i="2"/>
  <c r="AD46" i="2"/>
  <c r="AA64" i="2"/>
  <c r="AE51" i="2"/>
  <c r="AE43" i="2"/>
  <c r="AE44" i="2" s="1"/>
  <c r="AE45" i="2" s="1"/>
  <c r="AF46" i="2" l="1"/>
  <c r="AF48" i="2"/>
  <c r="AF47" i="2"/>
  <c r="AH30" i="2"/>
  <c r="AG51" i="2"/>
  <c r="AG43" i="2"/>
  <c r="AG44" i="2" s="1"/>
  <c r="AG45" i="2" s="1"/>
  <c r="AF80" i="2"/>
  <c r="AF88" i="2"/>
  <c r="AF52" i="2"/>
  <c r="AF60" i="2"/>
  <c r="AH33" i="2"/>
  <c r="AG79" i="2"/>
  <c r="AE47" i="2"/>
  <c r="AE48" i="2"/>
  <c r="AD49" i="2"/>
  <c r="AD50" i="2"/>
  <c r="AC54" i="2"/>
  <c r="AC55" i="2" s="1"/>
  <c r="AC59" i="2" s="1"/>
  <c r="AC61" i="2" s="1"/>
  <c r="AC62" i="2" s="1"/>
  <c r="AC63" i="2" s="1"/>
  <c r="AB64" i="2"/>
  <c r="AB93" i="2"/>
  <c r="AD56" i="2"/>
  <c r="AD57" i="2" s="1"/>
  <c r="AD58" i="2" s="1"/>
  <c r="AD53" i="2"/>
  <c r="AE46" i="2"/>
  <c r="AD84" i="2"/>
  <c r="AD85" i="2" s="1"/>
  <c r="AD86" i="2" s="1"/>
  <c r="AD81" i="2"/>
  <c r="AD82" i="2" s="1"/>
  <c r="AD83" i="2" s="1"/>
  <c r="AC87" i="2"/>
  <c r="AC89" i="2" s="1"/>
  <c r="AC91" i="2" s="1"/>
  <c r="AC92" i="2" s="1"/>
  <c r="AE88" i="2"/>
  <c r="AE80" i="2"/>
  <c r="AE60" i="2"/>
  <c r="AE52" i="2"/>
  <c r="AI33" i="2" l="1"/>
  <c r="AH79" i="2"/>
  <c r="AF84" i="2"/>
  <c r="AF85" i="2" s="1"/>
  <c r="AF86" i="2" s="1"/>
  <c r="AF81" i="2"/>
  <c r="AF82" i="2" s="1"/>
  <c r="AF83" i="2" s="1"/>
  <c r="AG80" i="2"/>
  <c r="AG88" i="2"/>
  <c r="AI30" i="2"/>
  <c r="AH51" i="2"/>
  <c r="AH43" i="2"/>
  <c r="AH44" i="2" s="1"/>
  <c r="AH45" i="2" s="1"/>
  <c r="AG46" i="2"/>
  <c r="AG47" i="2"/>
  <c r="AG48" i="2"/>
  <c r="AF56" i="2"/>
  <c r="AF57" i="2" s="1"/>
  <c r="AF58" i="2" s="1"/>
  <c r="AF53" i="2"/>
  <c r="AF54" i="2" s="1"/>
  <c r="AF55" i="2" s="1"/>
  <c r="AG52" i="2"/>
  <c r="AG60" i="2"/>
  <c r="AF49" i="2"/>
  <c r="AF50" i="2"/>
  <c r="AE49" i="2"/>
  <c r="AE50" i="2"/>
  <c r="AD54" i="2"/>
  <c r="AD55" i="2" s="1"/>
  <c r="AD59" i="2" s="1"/>
  <c r="AD61" i="2" s="1"/>
  <c r="AD62" i="2" s="1"/>
  <c r="AD63" i="2" s="1"/>
  <c r="AC64" i="2"/>
  <c r="AE81" i="2"/>
  <c r="AE82" i="2" s="1"/>
  <c r="AE83" i="2" s="1"/>
  <c r="AE84" i="2"/>
  <c r="AE85" i="2" s="1"/>
  <c r="AE86" i="2" s="1"/>
  <c r="AC93" i="2"/>
  <c r="AE53" i="2"/>
  <c r="AE56" i="2"/>
  <c r="AE57" i="2" s="1"/>
  <c r="AE58" i="2" s="1"/>
  <c r="AD87" i="2"/>
  <c r="AD89" i="2" s="1"/>
  <c r="AD91" i="2" s="1"/>
  <c r="AD92" i="2" s="1"/>
  <c r="AF87" i="2" l="1"/>
  <c r="AF89" i="2" s="1"/>
  <c r="AF91" i="2" s="1"/>
  <c r="AF92" i="2" s="1"/>
  <c r="AF59" i="2"/>
  <c r="AF61" i="2" s="1"/>
  <c r="AF62" i="2" s="1"/>
  <c r="AH60" i="2"/>
  <c r="AH52" i="2"/>
  <c r="AG56" i="2"/>
  <c r="AG57" i="2" s="1"/>
  <c r="AG58" i="2" s="1"/>
  <c r="AG53" i="2"/>
  <c r="AG54" i="2" s="1"/>
  <c r="AG55" i="2" s="1"/>
  <c r="AJ30" i="2"/>
  <c r="AI51" i="2"/>
  <c r="AI43" i="2"/>
  <c r="AI44" i="2" s="1"/>
  <c r="AI45" i="2" s="1"/>
  <c r="AF64" i="2"/>
  <c r="AF63" i="2"/>
  <c r="AG49" i="2"/>
  <c r="AG50" i="2"/>
  <c r="AH80" i="2"/>
  <c r="AH88" i="2"/>
  <c r="AH46" i="2"/>
  <c r="AH47" i="2"/>
  <c r="AH48" i="2"/>
  <c r="AG84" i="2"/>
  <c r="AG85" i="2" s="1"/>
  <c r="AG86" i="2" s="1"/>
  <c r="AG81" i="2"/>
  <c r="AG82" i="2" s="1"/>
  <c r="AG83" i="2" s="1"/>
  <c r="AJ33" i="2"/>
  <c r="AJ79" i="2" s="1"/>
  <c r="AI79" i="2"/>
  <c r="AE54" i="2"/>
  <c r="AE55" i="2" s="1"/>
  <c r="AE59" i="2" s="1"/>
  <c r="AE61" i="2" s="1"/>
  <c r="AE62" i="2" s="1"/>
  <c r="AE63" i="2" s="1"/>
  <c r="AE87" i="2"/>
  <c r="AE89" i="2" s="1"/>
  <c r="AE91" i="2" s="1"/>
  <c r="AD93" i="2"/>
  <c r="AD64" i="2"/>
  <c r="AG59" i="2" l="1"/>
  <c r="AG61" i="2" s="1"/>
  <c r="AG62" i="2" s="1"/>
  <c r="AG64" i="2" s="1"/>
  <c r="AF93" i="2"/>
  <c r="AG87" i="2"/>
  <c r="AG89" i="2" s="1"/>
  <c r="AG91" i="2" s="1"/>
  <c r="AG92" i="2" s="1"/>
  <c r="AJ43" i="2"/>
  <c r="AJ44" i="2" s="1"/>
  <c r="AJ45" i="2" s="1"/>
  <c r="AJ51" i="2"/>
  <c r="AH50" i="2"/>
  <c r="AH49" i="2"/>
  <c r="AI52" i="2"/>
  <c r="AI60" i="2"/>
  <c r="AI88" i="2"/>
  <c r="AI80" i="2"/>
  <c r="AH81" i="2"/>
  <c r="AH82" i="2" s="1"/>
  <c r="AH83" i="2" s="1"/>
  <c r="AH84" i="2"/>
  <c r="AH85" i="2" s="1"/>
  <c r="AH86" i="2" s="1"/>
  <c r="AG63" i="2"/>
  <c r="AH53" i="2"/>
  <c r="AH54" i="2" s="1"/>
  <c r="AH55" i="2" s="1"/>
  <c r="AH56" i="2"/>
  <c r="AH57" i="2" s="1"/>
  <c r="AH58" i="2" s="1"/>
  <c r="AJ80" i="2"/>
  <c r="AJ88" i="2"/>
  <c r="AI46" i="2"/>
  <c r="AI47" i="2"/>
  <c r="AI48" i="2"/>
  <c r="AE93" i="2"/>
  <c r="AE92" i="2"/>
  <c r="AE64" i="2"/>
  <c r="AG93" i="2" l="1"/>
  <c r="AI49" i="2"/>
  <c r="AI50" i="2"/>
  <c r="AH87" i="2"/>
  <c r="AH89" i="2" s="1"/>
  <c r="AH91" i="2" s="1"/>
  <c r="AI56" i="2"/>
  <c r="AI57" i="2" s="1"/>
  <c r="AI58" i="2" s="1"/>
  <c r="AI53" i="2"/>
  <c r="AI54" i="2" s="1"/>
  <c r="AI55" i="2" s="1"/>
  <c r="AI81" i="2"/>
  <c r="AI82" i="2" s="1"/>
  <c r="AI83" i="2" s="1"/>
  <c r="AI84" i="2"/>
  <c r="AI85" i="2" s="1"/>
  <c r="AI86" i="2" s="1"/>
  <c r="AJ52" i="2"/>
  <c r="AJ60" i="2"/>
  <c r="AH59" i="2"/>
  <c r="AH61" i="2" s="1"/>
  <c r="AH62" i="2" s="1"/>
  <c r="AJ84" i="2"/>
  <c r="AJ85" i="2" s="1"/>
  <c r="AJ86" i="2" s="1"/>
  <c r="AJ81" i="2"/>
  <c r="AJ82" i="2" s="1"/>
  <c r="AJ83" i="2" s="1"/>
  <c r="AJ46" i="2"/>
  <c r="AJ47" i="2"/>
  <c r="AJ48" i="2"/>
  <c r="AJ87" i="2" l="1"/>
  <c r="AJ89" i="2" s="1"/>
  <c r="AJ91" i="2" s="1"/>
  <c r="AJ92" i="2" s="1"/>
  <c r="AJ56" i="2"/>
  <c r="AJ57" i="2" s="1"/>
  <c r="AJ58" i="2" s="1"/>
  <c r="AJ53" i="2"/>
  <c r="AJ54" i="2" s="1"/>
  <c r="AJ55" i="2" s="1"/>
  <c r="AH92" i="2"/>
  <c r="AH93" i="2"/>
  <c r="AI87" i="2"/>
  <c r="AI89" i="2" s="1"/>
  <c r="AI91" i="2" s="1"/>
  <c r="AH63" i="2"/>
  <c r="AH64" i="2"/>
  <c r="AJ50" i="2"/>
  <c r="AJ49" i="2"/>
  <c r="AI59" i="2"/>
  <c r="AI61" i="2" s="1"/>
  <c r="AI62" i="2" s="1"/>
  <c r="AJ93" i="2" l="1"/>
  <c r="AJ59" i="2"/>
  <c r="AJ61" i="2" s="1"/>
  <c r="AJ62" i="2" s="1"/>
  <c r="AJ63" i="2" s="1"/>
  <c r="AI63" i="2"/>
  <c r="AI64" i="2"/>
  <c r="AI92" i="2"/>
  <c r="AI93" i="2"/>
  <c r="AJ64" i="2" l="1"/>
</calcChain>
</file>

<file path=xl/sharedStrings.xml><?xml version="1.0" encoding="utf-8"?>
<sst xmlns="http://schemas.openxmlformats.org/spreadsheetml/2006/main" count="361" uniqueCount="241">
  <si>
    <t>loyer</t>
  </si>
  <si>
    <t>charges</t>
  </si>
  <si>
    <t>netVendeur</t>
  </si>
  <si>
    <t>travaux</t>
  </si>
  <si>
    <t>ammeublement</t>
  </si>
  <si>
    <t>notaire</t>
  </si>
  <si>
    <t>agence</t>
  </si>
  <si>
    <t>duree</t>
  </si>
  <si>
    <t>apport</t>
  </si>
  <si>
    <t>interet</t>
  </si>
  <si>
    <t>assurance</t>
  </si>
  <si>
    <t>fraisBancaires</t>
  </si>
  <si>
    <t>fraisCourtier</t>
  </si>
  <si>
    <t>chargesLoc</t>
  </si>
  <si>
    <t>occupation</t>
  </si>
  <si>
    <t>fonciere</t>
  </si>
  <si>
    <t>gestion</t>
  </si>
  <si>
    <t>pno</t>
  </si>
  <si>
    <t>revInvest1</t>
  </si>
  <si>
    <t>augInvest1</t>
  </si>
  <si>
    <t>revInvest2</t>
  </si>
  <si>
    <t>augInvest2</t>
  </si>
  <si>
    <t>partFisc</t>
  </si>
  <si>
    <t>irl</t>
  </si>
  <si>
    <t>chargesLocs</t>
  </si>
  <si>
    <t>gestionLoc</t>
  </si>
  <si>
    <t>chargesCour</t>
  </si>
  <si>
    <t>taxeFonc</t>
  </si>
  <si>
    <t>chargesExpl</t>
  </si>
  <si>
    <t>amImmeuble</t>
  </si>
  <si>
    <t>amTravaux</t>
  </si>
  <si>
    <t>amAmmeublement</t>
  </si>
  <si>
    <t>amFraisAcq</t>
  </si>
  <si>
    <t>plafonnement</t>
  </si>
  <si>
    <t>revActImp</t>
  </si>
  <si>
    <t>sciLmnpChargesDeduc</t>
  </si>
  <si>
    <t>sciLmnpDefFoncier</t>
  </si>
  <si>
    <t>amTotal</t>
  </si>
  <si>
    <t>nueChargesDeduc</t>
  </si>
  <si>
    <t>nueDefFoncier</t>
  </si>
  <si>
    <t>capital</t>
  </si>
  <si>
    <t>emprunt</t>
  </si>
  <si>
    <t>coutProjet</t>
  </si>
  <si>
    <t>chargesFi</t>
  </si>
  <si>
    <t>mensualite</t>
  </si>
  <si>
    <t>impotRevAct</t>
  </si>
  <si>
    <t>lmnpReelRevFoncImp</t>
  </si>
  <si>
    <t>lmnpReelRevTotImp</t>
  </si>
  <si>
    <t>lmnpReelC1</t>
  </si>
  <si>
    <t>lmnpReelC2</t>
  </si>
  <si>
    <t>lmnpReelC3</t>
  </si>
  <si>
    <t>lmnpReelD1</t>
  </si>
  <si>
    <t>lmnpReelD2</t>
  </si>
  <si>
    <t>lmnpReelD3</t>
  </si>
  <si>
    <t>lmnpReelImpotRevTot</t>
  </si>
  <si>
    <t>lmnpReelCotSoc</t>
  </si>
  <si>
    <t>lmnpReelImpRevFonc</t>
  </si>
  <si>
    <t>sciIsRevFoncImp</t>
  </si>
  <si>
    <t>reimbursedCapital</t>
  </si>
  <si>
    <t>lmnpMicroRevFoncImp</t>
  </si>
  <si>
    <t>lmnpMicroRevTotImp</t>
  </si>
  <si>
    <t>lmnpMicroC1</t>
  </si>
  <si>
    <t>lmnpMicroC2</t>
  </si>
  <si>
    <t>lmnpMicroC3</t>
  </si>
  <si>
    <t>lmnpMicroD1</t>
  </si>
  <si>
    <t>lmnpMicroD3</t>
  </si>
  <si>
    <t>lmnpMicroImpotRevTot</t>
  </si>
  <si>
    <t>lmnpMicroCotSoc</t>
  </si>
  <si>
    <t>lmnpMicroImpRevFonc</t>
  </si>
  <si>
    <t>nueReelRevFoncImp</t>
  </si>
  <si>
    <t>nueReelRevTotImp</t>
  </si>
  <si>
    <t>nueReelC1</t>
  </si>
  <si>
    <t>nueReelC2</t>
  </si>
  <si>
    <t>nueReelC3</t>
  </si>
  <si>
    <t>nueReelD1</t>
  </si>
  <si>
    <t>nueReelD2</t>
  </si>
  <si>
    <t>nueReelD3</t>
  </si>
  <si>
    <t>nueReelImpotRevTot</t>
  </si>
  <si>
    <t>nueReelCotSoc</t>
  </si>
  <si>
    <t>nueReelImpRevFonc</t>
  </si>
  <si>
    <t>nueMicroRevFoncImp</t>
  </si>
  <si>
    <t>nueMicroRevTotImp</t>
  </si>
  <si>
    <t>nueMicroC1</t>
  </si>
  <si>
    <t>nueMicroC2</t>
  </si>
  <si>
    <t>nueMicroC3</t>
  </si>
  <si>
    <t>nueMicroD1</t>
  </si>
  <si>
    <t>nueMicroD2</t>
  </si>
  <si>
    <t>nueMicroD3</t>
  </si>
  <si>
    <t>nueMicroImpotRevTot</t>
  </si>
  <si>
    <t>nueMicroCotSoc</t>
  </si>
  <si>
    <t>nueMicroImpRevFonc</t>
  </si>
  <si>
    <t>nueReelDeducRevAct</t>
  </si>
  <si>
    <t>sciIsCashFlowBeFlatTax</t>
  </si>
  <si>
    <t>sciIsCashFlowAfFlatTax</t>
  </si>
  <si>
    <t>lmnpReelCashFlowNet</t>
  </si>
  <si>
    <t>lmnpMicroCashFlowNet</t>
  </si>
  <si>
    <t>nueReelCashFlowNet</t>
  </si>
  <si>
    <t>nueMicroCashFlowNet</t>
  </si>
  <si>
    <t>netOpInc</t>
  </si>
  <si>
    <t>profitBeforeTax</t>
  </si>
  <si>
    <t>KPI</t>
  </si>
  <si>
    <t>leveragedNetOpInc</t>
  </si>
  <si>
    <t>sciIsRoEBeforeFlatTax</t>
  </si>
  <si>
    <t>sciIsRoAAfterFlatTax</t>
  </si>
  <si>
    <t>sciIsRoEAfterFlatTax</t>
  </si>
  <si>
    <t>sciIsRoABeforeFlatTax</t>
  </si>
  <si>
    <t>lmnpReelRoE</t>
  </si>
  <si>
    <t>lmnpReelRoA</t>
  </si>
  <si>
    <t>lmnpMicroRoA</t>
  </si>
  <si>
    <t>lmnpMicroRoE</t>
  </si>
  <si>
    <t>lmnpMicroD2</t>
  </si>
  <si>
    <t>nueReelRoE</t>
  </si>
  <si>
    <t>nueReelRoA</t>
  </si>
  <si>
    <t>nueMicroRoE</t>
  </si>
  <si>
    <t>nueMicroRoA</t>
  </si>
  <si>
    <t>nueReelReducImpRevAct</t>
  </si>
  <si>
    <t>valeur</t>
  </si>
  <si>
    <t>Champs</t>
  </si>
  <si>
    <t>Paramètres</t>
  </si>
  <si>
    <t>Valeur</t>
  </si>
  <si>
    <t>A1*</t>
  </si>
  <si>
    <t>A2*</t>
  </si>
  <si>
    <t>A3*</t>
  </si>
  <si>
    <t>B1*</t>
  </si>
  <si>
    <t>B2*</t>
  </si>
  <si>
    <t>B3*</t>
  </si>
  <si>
    <t>Total des charges financières (intêrets + assurance)</t>
  </si>
  <si>
    <t>pno &amp; gli</t>
  </si>
  <si>
    <t>A1</t>
  </si>
  <si>
    <t>A2</t>
  </si>
  <si>
    <t>A3</t>
  </si>
  <si>
    <t>B1</t>
  </si>
  <si>
    <t>B2</t>
  </si>
  <si>
    <t>B3</t>
  </si>
  <si>
    <t>Dotation aux amortissements de l'immeuble</t>
  </si>
  <si>
    <t>Dotation aux amortissements de l'ammeublement</t>
  </si>
  <si>
    <t>Total des dotation aux amortissements</t>
  </si>
  <si>
    <t>Dotation aux amortissements des travaux</t>
  </si>
  <si>
    <t>Dotation aux amortissements des frais d'acquisition</t>
  </si>
  <si>
    <t>Définition</t>
  </si>
  <si>
    <t>Régime SCI à l'IS : revenu foncier imposable</t>
  </si>
  <si>
    <t>sciIsImpRevFonc</t>
  </si>
  <si>
    <t>Régime SCI à l'IS : impôt sur le revenu foncier</t>
  </si>
  <si>
    <t>Régime SCI à l'IS : cash-flow avant flat taxe</t>
  </si>
  <si>
    <t>Régime SCI à l'IS : cash flow après flat taxe</t>
  </si>
  <si>
    <r>
      <t xml:space="preserve">Régime SCI à l'IS : return on asset </t>
    </r>
    <r>
      <rPr>
        <b/>
        <sz val="11"/>
        <color theme="1"/>
        <rFont val="Calibri"/>
        <family val="2"/>
        <scheme val="minor"/>
      </rPr>
      <t>après</t>
    </r>
    <r>
      <rPr>
        <sz val="11"/>
        <color theme="1"/>
        <rFont val="Calibri"/>
        <family val="2"/>
        <scheme val="minor"/>
      </rPr>
      <t xml:space="preserve"> flat tax</t>
    </r>
  </si>
  <si>
    <r>
      <t xml:space="preserve">Régime SCI à l'IS : return on equity </t>
    </r>
    <r>
      <rPr>
        <b/>
        <sz val="11"/>
        <color theme="1"/>
        <rFont val="Calibri"/>
        <family val="2"/>
        <scheme val="minor"/>
      </rPr>
      <t>après</t>
    </r>
    <r>
      <rPr>
        <sz val="11"/>
        <color theme="1"/>
        <rFont val="Calibri"/>
        <family val="2"/>
        <scheme val="minor"/>
      </rPr>
      <t xml:space="preserve"> flat taxe</t>
    </r>
  </si>
  <si>
    <r>
      <t xml:space="preserve">Régime SCI à l'IS : return on asset </t>
    </r>
    <r>
      <rPr>
        <b/>
        <sz val="11"/>
        <color theme="1"/>
        <rFont val="Calibri"/>
        <family val="2"/>
        <scheme val="minor"/>
      </rPr>
      <t>avant</t>
    </r>
    <r>
      <rPr>
        <sz val="11"/>
        <color theme="1"/>
        <rFont val="Calibri"/>
        <family val="2"/>
        <scheme val="minor"/>
      </rPr>
      <t xml:space="preserve"> flat tax</t>
    </r>
  </si>
  <si>
    <r>
      <t xml:space="preserve">Régime SCI à l'IS : return on equity </t>
    </r>
    <r>
      <rPr>
        <b/>
        <sz val="11"/>
        <color theme="1"/>
        <rFont val="Calibri"/>
        <family val="2"/>
        <scheme val="minor"/>
      </rPr>
      <t>avant</t>
    </r>
    <r>
      <rPr>
        <sz val="11"/>
        <color theme="1"/>
        <rFont val="Calibri"/>
        <family val="2"/>
        <scheme val="minor"/>
      </rPr>
      <t xml:space="preserve"> flat taxe</t>
    </r>
  </si>
  <si>
    <t>Régime LMNP au réel : revenu foncier imposable</t>
  </si>
  <si>
    <t>Régime LMNP au réel : revenu total imposable (revenu d'activité + revenu foncier)</t>
  </si>
  <si>
    <r>
      <t>Régime LMNP au réel : calcul quotien familial</t>
    </r>
    <r>
      <rPr>
        <b/>
        <sz val="11"/>
        <color theme="1"/>
        <rFont val="Calibri"/>
        <family val="2"/>
        <scheme val="minor"/>
      </rPr>
      <t>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des parts de quotien familial supplémentaires (parts des enfants)</t>
    </r>
  </si>
  <si>
    <t>Régime LMNP au réel : impôt sur le revenu total (revenu d'activité + revenu foncier)</t>
  </si>
  <si>
    <t>Régime LMNP au réel : cotisation social calculées sur la base du revenu foncier imposable</t>
  </si>
  <si>
    <t>Régime LMNP au réel : cash flow après impôt</t>
  </si>
  <si>
    <t>Régime LMNP au réel : impôt sur le revenu foncier (déduction à partir de l'impôt sur le revenu d'activité, l'impôt sur le revenu total et les cotisation liées à au revenu foncier imposable</t>
  </si>
  <si>
    <t>Régime LMNP micro-foncier : revenu foncier imposable</t>
  </si>
  <si>
    <t>Régime LMNP micro-foncier : revenu total imposable (revenu d'activité + revenu foncier)</t>
  </si>
  <si>
    <t>Régime LMNP micro-foncier : calcul quotien familial sans prendre en compte des parts de quotien familial supplémentaires (parts des enfants)</t>
  </si>
  <si>
    <t>Régime LMNP micro-foncier : impôt sur le revenu total (revenu d'activité + revenu foncier)</t>
  </si>
  <si>
    <t>Régime LMNP micro-foncier : cotisation social calculées sur la base du revenu foncier imposable</t>
  </si>
  <si>
    <t>Régime LMNP micro-foncier : impôt sur le revenu foncier (déduction à partir de l'impôt sur le revenu d'activité, l'impôt sur le revenu total et les cotisation liées à au revenu foncier imposable</t>
  </si>
  <si>
    <t>Régime LMNP micro-foncier : cash flow après impôt</t>
  </si>
  <si>
    <t>Régime location nue au réel : revenu foncier imposable</t>
  </si>
  <si>
    <t>Régime location nue au réel : revenu total imposable (revenu d'activité + revenu foncier)</t>
  </si>
  <si>
    <t>Régime location nue au réel : calcul quotien familial sans prendre en compte des parts de quotien familial supplémentaires (parts des enfants)</t>
  </si>
  <si>
    <t>Régime location nue au réel : impôt sur le revenu total (revenu d'activité + revenu foncier)</t>
  </si>
  <si>
    <t>Régime location nue au réel : cotisation social calculées sur la base du revenu foncier imposable</t>
  </si>
  <si>
    <t>Régime location nue au réel : impôt sur le revenu foncier (déduction à partir de l'impôt sur le revenu d'activité, l'impôt sur le revenu total et les cotisation liées à au revenu foncier imposable</t>
  </si>
  <si>
    <t>Régime location nue au réel : cash flow après impôt</t>
  </si>
  <si>
    <t>Régime location nue au réel : déficit foncier déductible du revenu d'activité imposable</t>
  </si>
  <si>
    <t>Régime location nue au micro-foncier : revenu foncier imposable</t>
  </si>
  <si>
    <t>Régime location nue au micro-foncier : revenu total imposable (revenu d'activité + revenu foncier)</t>
  </si>
  <si>
    <t>Régime location nue au micro-foncier : calcul quotien familial sans prendre en compte des parts de quotien familial supplémentaires (parts des enfants)</t>
  </si>
  <si>
    <t>Régime location nue au micro-foncier : impôt sur le revenu total (revenu d'activité + revenu foncier)</t>
  </si>
  <si>
    <t>Régime location nue au micro-foncier : cotisation social calculées sur la base du revenu foncier imposable</t>
  </si>
  <si>
    <t>Régime location nue au micro-foncier : impôt sur le revenu foncier (déduction à partir de l'impôt sur le revenu d'activité, l'impôt sur le revenu total et les cotisation liées à au revenu foncier imposable</t>
  </si>
  <si>
    <t>Régime location nue au micro-foncier : cash flow après impôt</t>
  </si>
  <si>
    <t>unité</t>
  </si>
  <si>
    <t>année</t>
  </si>
  <si>
    <t>mois</t>
  </si>
  <si>
    <t>%</t>
  </si>
  <si>
    <t>Régime location nue au micro-foncier : return on equity</t>
  </si>
  <si>
    <t>Régime location nue au micro-foncier : return on asset</t>
  </si>
  <si>
    <t>Régime location nue au réel : return on equity</t>
  </si>
  <si>
    <t>Régime location nue au réel : return on asset</t>
  </si>
  <si>
    <t>Régime LMNP micro-foncier : return on equity</t>
  </si>
  <si>
    <t>Régime LMNP micro-foncier : return on asset</t>
  </si>
  <si>
    <t>Régime LMNP au réel : return on equity</t>
  </si>
  <si>
    <t>Régime LMNP au réel : return on asset</t>
  </si>
  <si>
    <t>Assurance propriétaire non-occupant et garantie loyers impayés. Champ est indexé sur l'inflation</t>
  </si>
  <si>
    <t>Total des charges d'exploitation (frais de gestion locative, charges courantes, taxe foncière, pno &amp; gli.</t>
  </si>
  <si>
    <t>Loyers encaissés (loyer mensuel * taux d'occupation). Ce champ est indexé sur l'inflation</t>
  </si>
  <si>
    <t>Capital remboursé</t>
  </si>
  <si>
    <t>Plafonnement de la déduction d'impôt liée aux parts de quotien familial supplémentaires</t>
  </si>
  <si>
    <t>Calcul de l'impôt sur le revenu en prenant en compte le plafonnement de la réduction liée aux parts de quotien familial supplémentaires</t>
  </si>
  <si>
    <t>Coût des intérêts d'emprunt</t>
  </si>
  <si>
    <t>Coût de l'assurance crédit</t>
  </si>
  <si>
    <t>Frais de gestion locative. Champ est indexé sur l'inflation</t>
  </si>
  <si>
    <t>Taxe foncière. Champ est indexé sur l'inflation</t>
  </si>
  <si>
    <t>Excédent brut d'exploitation : revenu - charges d'exploitation</t>
  </si>
  <si>
    <t>Bénéfice avant remboursement de la dette : revenu - charges d'exploitation - charges financières</t>
  </si>
  <si>
    <t>Bénéfice avant impôts : revenu - charges d'exploitation - charges financières - remboursement de la dette</t>
  </si>
  <si>
    <t>Charges déductible pour les régimes SCI à l'IS et LMNP au réel. Les frais bancaires sont déduits la première année</t>
  </si>
  <si>
    <t>Déficit foncier reportable pour les régimes SCI à l'IS et LMNP au réel</t>
  </si>
  <si>
    <t>Déficit foncier déductible du revenu d'activité pour le régime location nue au réel</t>
  </si>
  <si>
    <t>Charges déductible pour le régime location nue au réel. Les travaux sont passés en charges déductible sur ce régime ce qui créé une grosse enveloppe de déficit foncier reportable la première année</t>
  </si>
  <si>
    <t>Déficit foncier reportable déductible du revenu d'activité pour le régime location nue au réel</t>
  </si>
  <si>
    <t>Cumul du capital remboursé à la fin de l'année depuis le début de l'emprunt</t>
  </si>
  <si>
    <t>Charges locataires (non-compris dans les charges d'exploitation, à inclure dans les charges courantes)</t>
  </si>
  <si>
    <t>Charges courantes, inclure les charges locataires. Champ est indexé sur l'inflation</t>
  </si>
  <si>
    <t>Revenu d'activité imposable (si couple, somme des deux revenus d'activités)</t>
  </si>
  <si>
    <r>
      <t>Calcul quotien familial</t>
    </r>
    <r>
      <rPr>
        <b/>
        <sz val="11"/>
        <color theme="1"/>
        <rFont val="Calibri"/>
        <family val="2"/>
        <scheme val="minor"/>
      </rPr>
      <t>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</si>
  <si>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r>
      <t xml:space="preserve">Calcul de l'impôt sur le revenu par part fiscal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</si>
  <si>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r>
      <t xml:space="preserve">Calcul de l'impôt sur le revenu total à payer </t>
    </r>
    <r>
      <rPr>
        <b/>
        <u/>
        <sz val="11"/>
        <color theme="1"/>
        <rFont val="Calibri"/>
        <family val="2"/>
        <scheme val="minor"/>
      </rPr>
      <t>sans prendre</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</si>
  <si>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r>
      <t xml:space="preserve">Calcul de l'impôt sur le revenu par part fiscal </t>
    </r>
    <r>
      <rPr>
        <b/>
        <u/>
        <sz val="11"/>
        <color theme="1"/>
        <rFont val="Calibri"/>
        <family val="2"/>
        <scheme val="minor"/>
      </rPr>
      <t>en prenant</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</si>
  <si>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r>
      <t xml:space="preserve">Calcul de l'impôt sur le revenu total à payer </t>
    </r>
    <r>
      <rPr>
        <b/>
        <u/>
        <sz val="11"/>
        <color theme="1"/>
        <rFont val="Calibri"/>
        <family val="2"/>
        <scheme val="minor"/>
      </rPr>
      <t>en prenant</t>
    </r>
    <r>
      <rPr>
        <u/>
        <sz val="11"/>
        <color theme="1"/>
        <rFont val="Calibri"/>
        <family val="2"/>
        <scheme val="minor"/>
      </rPr>
      <t xml:space="preserve"> </t>
    </r>
    <r>
      <rPr>
        <b/>
        <u/>
        <sz val="11"/>
        <color theme="1"/>
        <rFont val="Calibri"/>
        <family val="2"/>
        <scheme val="minor"/>
      </rPr>
      <t>en</t>
    </r>
    <r>
      <rPr>
        <u/>
        <sz val="11"/>
        <color theme="1"/>
        <rFont val="Calibri"/>
        <family val="2"/>
        <scheme val="minor"/>
      </rPr>
      <t xml:space="preserve"> </t>
    </r>
    <r>
      <rPr>
        <b/>
        <u/>
        <sz val="11"/>
        <color theme="1"/>
        <rFont val="Calibri"/>
        <family val="2"/>
        <scheme val="minor"/>
      </rPr>
      <t>compte</t>
    </r>
    <r>
      <rPr>
        <sz val="11"/>
        <color theme="1"/>
        <rFont val="Calibri"/>
        <family val="2"/>
        <scheme val="minor"/>
      </rPr>
      <t xml:space="preserve"> les parts de quotien familial supplémentaires (parts des enfants)</t>
    </r>
  </si>
  <si>
    <t>Régime LMNP au réel : calcul de l'impôt sur le revenu par part fiscal sans prendre en compte les parts de quotien familial supplémentaires (parts des enfants)</t>
  </si>
  <si>
    <t>Régime LMNP au réel : calcul de l'impôt sur le revenu total à payer sans prendre en compte les parts de quotien familial supplémentaires (parts des enfants)</t>
  </si>
  <si>
    <t>Régime LMNP micro-foncier : calcul de l'impôt sur le revenu par part fiscal sans prendre en compte les parts de quotien familial supplémentaires (parts des enfants)</t>
  </si>
  <si>
    <t>Régime LMNP micro-foncier : calcul de l'impôt sur le revenu total à payer sans prendre en compte les parts de quotien familial supplémentaires (parts des enfants)</t>
  </si>
  <si>
    <t>Régime location nue au réel : calcul de l'impôt sur le revenu par part fiscal sans prendre en compte les parts de quotien familial supplémentaires (parts des enfants)</t>
  </si>
  <si>
    <t>Régime location nue au réel : calcul de l'impôt sur le revenu total à payer sans prendre en compte les parts de quotien familial supplémentaires (parts des enfants)</t>
  </si>
  <si>
    <t>Régime location nue au micro-foncier : calcul de l'impôt sur le revenu par part fiscal sans prendre en compte les parts de quotien familial supplémentaires (parts des enfants)</t>
  </si>
  <si>
    <t>Régime location nue au micro-foncier : calcul de l'impôt sur le revenu total à payer sans prendre en compte les parts de quotien familial supplémentaires (parts des enfants)</t>
  </si>
  <si>
    <t>Calcul quotien familial en prenant en compte les parts de quotien familial supplémentaire (parts des enfants)</t>
  </si>
  <si>
    <t>Régime LMNP au réel : calcul quotien familial en prenant en compte les parts de quotien familial supplémentaire (parts des enfants)</t>
  </si>
  <si>
    <t>Régime LMNP au réel : calcul de l'impôt sur le revenu par part fiscal en prenant en compte les parts de quotien familial supplémentaires (parts des enfants)</t>
  </si>
  <si>
    <t>Régime LMNP au réel : calcul de l'impôt sur le revenu total à payer en prenant en compte les parts de quotien familial supplémentaires (parts des enfants)</t>
  </si>
  <si>
    <t>Régime LMNP micro-foncier : calcul quotien familial en prenant en compte les parts de quotien familial supplémentaire (parts des enfants)</t>
  </si>
  <si>
    <t>Régime LMNP micro-foncier : calcul de l'impôt sur le revenu par part fiscal en prenant en compte les parts de quotien familial supplémentaires (parts des enfants)</t>
  </si>
  <si>
    <t>Régime LMNP micro-foncier : calcul de l'impôt sur le revenu total à payer en prenant en compte les parts de quotien familial supplémentaires (parts des enfants)</t>
  </si>
  <si>
    <t>Régime location nue au réel : calcul quotien familial en prenant en compte les parts de quotien familial supplémentaire (parts des enfants)</t>
  </si>
  <si>
    <t>Régime location nue au réel : calcul de l'impôt sur le revenu par part fiscal en prenant en compte les parts de quotien familial supplémentaires (parts des enfants)</t>
  </si>
  <si>
    <t>Régime location nue au réel : calcul de l'impôt sur le revenu total à payer en prenant en compte les parts de quotien familial supplémentaires (parts des enfants)</t>
  </si>
  <si>
    <t>Régime location nue au micro-foncier : calcul quotien familial en prenant en compte les parts de quotien familial supplémentaire (parts des enfants)</t>
  </si>
  <si>
    <t>Régime location nue au micro-foncier : calcul de l'impôt sur le revenu par part fiscal en prenant en compte les parts de quotien familial supplémentaires (parts des enfants)</t>
  </si>
  <si>
    <t>Régime location nue au micro-foncier : calcul de l'impôt sur le revenu total à payer en prenant en compte les parts de quotien familial supplémentaires (parts des enfants)</t>
  </si>
  <si>
    <t>part</t>
  </si>
  <si>
    <t>euro</t>
  </si>
  <si>
    <r>
      <t>- Ce simulateur est une reproduction des règles de calcul utilisées pour obtenir le cash-flow après impôt sur l'application web simulimo.com
- Il inclut toutes les étapes de calcul intermédiaire pour vous permettre de mieux c</t>
    </r>
    <r>
      <rPr>
        <b/>
        <sz val="12"/>
        <color theme="1"/>
        <rFont val="Calibri"/>
        <family val="2"/>
        <scheme val="minor"/>
      </rPr>
      <t xml:space="preserve">omprendre les paramètres influençant le cash-flow net d'impôt </t>
    </r>
    <r>
      <rPr>
        <sz val="12"/>
        <color theme="1"/>
        <rFont val="Calibri"/>
        <family val="2"/>
        <scheme val="minor"/>
      </rPr>
      <t>de votre projet.
- En remplissant le formulaire avec les paramètres de votre projet, vous constaterez que le cash-flow net d'impôt de chaque régime fiscal sera le même que sur l'application web simulimo.com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</si>
</sst>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sz val="12"/>
      <color theme="1"/>
      <name val="Calibri"/>
      <family val="2"/>
      <scheme val="minor"/>
    </font>
    <font>
      <b/>
      <sz val="12"/>
      <color theme="1"/>
      <name val="Calibri"/>
      <family val="2"/>
      <scheme val="minor"/>
    </font>
    <font>
      <b/>
      <sz val="11"/>
      <color rgb="FF0070C0"/>
      <name val="Calibri"/>
      <family val="2"/>
      <scheme val="minor"/>
    </font>
  </fonts>
  <fills count="3">
    <fill>
      <patternFill patternType="none"/>
    </fill>
    <fill>
      <patternFill patternType="gray125"/>
    </fill>
    <fill>
      <patternFill patternType="solid">
        <fgColor rgb="FF0070C0"/>
        <bgColor indexed="64"/>
      </patternFill>
    </fill>
  </fills>
  <borders count="16">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89">
    <xf numFmtId="0" fontId="0" fillId="0" borderId="0" xfId="0"/>
    <xf numFmtId="0" fontId="0" fillId="0" borderId="0" xfId="0" applyAlignment="1">
      <alignment horizontal="center"/>
    </xf>
    <xf numFmtId="3" fontId="0" fillId="0" borderId="0" xfId="0" applyNumberFormat="1" applyAlignment="1">
      <alignment horizontal="center"/>
    </xf>
    <xf numFmtId="3" fontId="0" fillId="0" borderId="1" xfId="0" applyNumberFormat="1" applyBorder="1" applyAlignment="1">
      <alignment horizontal="center"/>
    </xf>
    <xf numFmtId="3" fontId="3" fillId="0" borderId="2" xfId="0" applyNumberFormat="1" applyFont="1" applyBorder="1" applyAlignment="1">
      <alignment horizontal="center"/>
    </xf>
    <xf numFmtId="0" fontId="0" fillId="0" borderId="0" xfId="0" applyAlignment="1">
      <alignment horizontal="center"/>
    </xf>
    <xf numFmtId="3" fontId="3" fillId="0" borderId="9" xfId="0" applyNumberFormat="1" applyFont="1" applyBorder="1" applyAlignment="1">
      <alignment horizontal="center"/>
    </xf>
    <xf numFmtId="3" fontId="3" fillId="0" borderId="10" xfId="0" applyNumberFormat="1" applyFont="1" applyBorder="1" applyAlignment="1">
      <alignment horizontal="center"/>
    </xf>
    <xf numFmtId="3" fontId="0" fillId="0" borderId="11" xfId="0" applyNumberFormat="1" applyBorder="1" applyAlignment="1">
      <alignment horizontal="center"/>
    </xf>
    <xf numFmtId="3" fontId="0" fillId="0" borderId="0" xfId="0" applyNumberFormat="1" applyBorder="1" applyAlignment="1">
      <alignment horizontal="center"/>
    </xf>
    <xf numFmtId="3" fontId="0" fillId="0" borderId="12" xfId="0" applyNumberFormat="1" applyBorder="1" applyAlignment="1">
      <alignment horizontal="center"/>
    </xf>
    <xf numFmtId="3" fontId="3" fillId="0" borderId="11" xfId="0" applyNumberFormat="1" applyFont="1" applyBorder="1" applyAlignment="1">
      <alignment horizontal="center"/>
    </xf>
    <xf numFmtId="3" fontId="3" fillId="0" borderId="0" xfId="0" applyNumberFormat="1" applyFont="1" applyBorder="1" applyAlignment="1">
      <alignment horizontal="center"/>
    </xf>
    <xf numFmtId="3" fontId="3" fillId="0" borderId="12" xfId="0" applyNumberFormat="1" applyFont="1" applyBorder="1" applyAlignment="1">
      <alignment horizontal="center"/>
    </xf>
    <xf numFmtId="3" fontId="0" fillId="0" borderId="11" xfId="0" applyNumberFormat="1" applyFont="1" applyBorder="1" applyAlignment="1">
      <alignment horizontal="center"/>
    </xf>
    <xf numFmtId="3" fontId="0" fillId="0" borderId="0" xfId="0" applyNumberFormat="1" applyFont="1" applyBorder="1" applyAlignment="1">
      <alignment horizontal="center"/>
    </xf>
    <xf numFmtId="3" fontId="0" fillId="0" borderId="12" xfId="0" applyNumberFormat="1" applyFont="1" applyBorder="1" applyAlignment="1">
      <alignment horizontal="center"/>
    </xf>
    <xf numFmtId="3" fontId="0" fillId="0" borderId="7" xfId="0" applyNumberFormat="1" applyBorder="1" applyAlignment="1">
      <alignment horizontal="center"/>
    </xf>
    <xf numFmtId="3" fontId="0" fillId="0" borderId="8" xfId="0" applyNumberFormat="1" applyBorder="1" applyAlignment="1">
      <alignment horizontal="center"/>
    </xf>
    <xf numFmtId="0" fontId="0" fillId="0" borderId="6" xfId="0" applyFill="1" applyBorder="1" applyAlignment="1">
      <alignment horizontal="left" indent="1"/>
    </xf>
    <xf numFmtId="3" fontId="0" fillId="0" borderId="10" xfId="0" applyNumberFormat="1" applyBorder="1" applyAlignment="1">
      <alignment horizontal="center"/>
    </xf>
    <xf numFmtId="3" fontId="3" fillId="0" borderId="1" xfId="0" applyNumberFormat="1" applyFont="1" applyBorder="1" applyAlignment="1">
      <alignment horizontal="center"/>
    </xf>
    <xf numFmtId="3" fontId="3" fillId="0" borderId="8" xfId="0" applyNumberFormat="1" applyFont="1" applyBorder="1" applyAlignment="1">
      <alignment horizontal="center"/>
    </xf>
    <xf numFmtId="3" fontId="3" fillId="0" borderId="7" xfId="0" applyNumberFormat="1" applyFont="1" applyBorder="1" applyAlignment="1">
      <alignment horizontal="center"/>
    </xf>
    <xf numFmtId="0" fontId="0" fillId="0" borderId="11" xfId="0" applyBorder="1"/>
    <xf numFmtId="0" fontId="0" fillId="0" borderId="12" xfId="0" applyBorder="1" applyAlignment="1">
      <alignment horizontal="center"/>
    </xf>
    <xf numFmtId="9" fontId="0" fillId="0" borderId="12" xfId="1" applyNumberFormat="1" applyFont="1" applyBorder="1" applyAlignment="1">
      <alignment horizontal="center"/>
    </xf>
    <xf numFmtId="0" fontId="0" fillId="0" borderId="9" xfId="0" applyBorder="1"/>
    <xf numFmtId="0" fontId="0" fillId="0" borderId="0" xfId="0" applyFill="1" applyAlignment="1">
      <alignment horizontal="left" indent="1"/>
    </xf>
    <xf numFmtId="0" fontId="0" fillId="0" borderId="4" xfId="0" applyFill="1" applyBorder="1" applyAlignment="1">
      <alignment horizontal="left" indent="1"/>
    </xf>
    <xf numFmtId="0" fontId="3" fillId="0" borderId="5" xfId="0" applyFont="1" applyFill="1" applyBorder="1" applyAlignment="1">
      <alignment horizontal="left" indent="1"/>
    </xf>
    <xf numFmtId="0" fontId="3" fillId="0" borderId="6" xfId="0" applyFont="1" applyFill="1" applyBorder="1" applyAlignment="1">
      <alignment horizontal="left" indent="1"/>
    </xf>
    <xf numFmtId="0" fontId="3" fillId="0" borderId="4" xfId="0" applyFont="1" applyFill="1" applyBorder="1" applyAlignment="1">
      <alignment horizontal="left" indent="1"/>
    </xf>
    <xf numFmtId="0" fontId="0" fillId="0" borderId="4" xfId="0" applyFont="1" applyFill="1" applyBorder="1" applyAlignment="1">
      <alignment horizontal="left" indent="1"/>
    </xf>
    <xf numFmtId="0" fontId="0" fillId="0" borderId="0" xfId="0" applyAlignment="1">
      <alignment horizontal="center"/>
    </xf>
    <xf numFmtId="10" fontId="3" fillId="0" borderId="9" xfId="1" applyNumberFormat="1" applyFont="1" applyBorder="1" applyAlignment="1">
      <alignment horizontal="center"/>
    </xf>
    <xf numFmtId="10" fontId="3" fillId="0" borderId="2" xfId="1" applyNumberFormat="1" applyFont="1" applyBorder="1" applyAlignment="1">
      <alignment horizontal="center"/>
    </xf>
    <xf numFmtId="10" fontId="3" fillId="0" borderId="10" xfId="1" applyNumberFormat="1" applyFont="1" applyBorder="1" applyAlignment="1">
      <alignment horizontal="center"/>
    </xf>
    <xf numFmtId="10" fontId="3" fillId="0" borderId="11" xfId="1" applyNumberFormat="1" applyFont="1" applyBorder="1" applyAlignment="1">
      <alignment horizontal="center"/>
    </xf>
    <xf numFmtId="10" fontId="3" fillId="0" borderId="0" xfId="1" applyNumberFormat="1" applyFont="1" applyBorder="1" applyAlignment="1">
      <alignment horizontal="center"/>
    </xf>
    <xf numFmtId="10" fontId="3" fillId="0" borderId="12" xfId="1" applyNumberFormat="1" applyFont="1" applyBorder="1" applyAlignment="1">
      <alignment horizontal="center"/>
    </xf>
    <xf numFmtId="10" fontId="0" fillId="0" borderId="0" xfId="0" applyNumberFormat="1" applyAlignment="1">
      <alignment horizontal="center"/>
    </xf>
    <xf numFmtId="0" fontId="3" fillId="0" borderId="3" xfId="0" applyFont="1" applyFill="1" applyBorder="1" applyAlignment="1">
      <alignment horizontal="left" indent="1"/>
    </xf>
    <xf numFmtId="0" fontId="0" fillId="0" borderId="0" xfId="0" applyAlignment="1">
      <alignment horizontal="center"/>
    </xf>
    <xf numFmtId="3" fontId="2" fillId="2" borderId="13" xfId="0" applyNumberFormat="1" applyFont="1" applyFill="1" applyBorder="1" applyAlignment="1">
      <alignment horizontal="center"/>
    </xf>
    <xf numFmtId="3" fontId="2" fillId="2" borderId="15" xfId="0" applyNumberFormat="1" applyFont="1" applyFill="1" applyBorder="1" applyAlignment="1">
      <alignment horizontal="center"/>
    </xf>
    <xf numFmtId="3" fontId="2" fillId="2" borderId="14" xfId="0" applyNumberFormat="1" applyFont="1" applyFill="1" applyBorder="1" applyAlignment="1">
      <alignment horizontal="center"/>
    </xf>
    <xf numFmtId="3" fontId="0" fillId="0" borderId="0" xfId="0" applyNumberFormat="1" applyFill="1" applyBorder="1" applyAlignment="1">
      <alignment horizontal="center"/>
    </xf>
    <xf numFmtId="164" fontId="0" fillId="0" borderId="10" xfId="1" applyNumberFormat="1" applyFont="1" applyBorder="1" applyAlignment="1">
      <alignment horizontal="center"/>
    </xf>
    <xf numFmtId="3" fontId="0" fillId="0" borderId="12" xfId="0" applyNumberFormat="1" applyFill="1" applyBorder="1" applyAlignment="1">
      <alignment horizontal="center"/>
    </xf>
    <xf numFmtId="0" fontId="0" fillId="0" borderId="0" xfId="0" applyFill="1"/>
    <xf numFmtId="0" fontId="0" fillId="0" borderId="0" xfId="0" applyFill="1" applyAlignment="1">
      <alignment horizontal="center"/>
    </xf>
    <xf numFmtId="10" fontId="3" fillId="0" borderId="11" xfId="1" applyNumberFormat="1" applyFont="1" applyFill="1" applyBorder="1" applyAlignment="1">
      <alignment horizontal="center"/>
    </xf>
    <xf numFmtId="10" fontId="3" fillId="0" borderId="0" xfId="1" applyNumberFormat="1" applyFont="1" applyFill="1" applyBorder="1" applyAlignment="1">
      <alignment horizontal="center"/>
    </xf>
    <xf numFmtId="10" fontId="3" fillId="0" borderId="12" xfId="1" applyNumberFormat="1" applyFont="1" applyFill="1" applyBorder="1" applyAlignment="1">
      <alignment horizontal="center"/>
    </xf>
    <xf numFmtId="3" fontId="2" fillId="2" borderId="3" xfId="0" applyNumberFormat="1" applyFont="1" applyFill="1" applyBorder="1" applyAlignment="1">
      <alignment horizontal="left" indent="1"/>
    </xf>
    <xf numFmtId="0" fontId="0" fillId="0" borderId="0" xfId="0" applyBorder="1"/>
    <xf numFmtId="0" fontId="0" fillId="0" borderId="0" xfId="0" applyBorder="1" applyAlignment="1">
      <alignment horizontal="center"/>
    </xf>
    <xf numFmtId="3" fontId="0" fillId="0" borderId="11" xfId="0" applyNumberFormat="1"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6" xfId="0" applyBorder="1"/>
    <xf numFmtId="0" fontId="0" fillId="0" borderId="4" xfId="0" applyBorder="1"/>
    <xf numFmtId="0" fontId="0" fillId="0" borderId="5" xfId="0" applyBorder="1"/>
    <xf numFmtId="0" fontId="0" fillId="0" borderId="3" xfId="0" applyBorder="1"/>
    <xf numFmtId="164" fontId="0" fillId="0" borderId="0" xfId="1" applyNumberFormat="1" applyFont="1" applyBorder="1" applyAlignment="1">
      <alignment horizontal="center"/>
    </xf>
    <xf numFmtId="10" fontId="0" fillId="0" borderId="0" xfId="0" applyNumberFormat="1" applyFill="1" applyBorder="1" applyAlignment="1">
      <alignment horizontal="center"/>
    </xf>
    <xf numFmtId="9" fontId="0" fillId="0" borderId="0" xfId="1" applyNumberFormat="1" applyFont="1" applyBorder="1" applyAlignment="1">
      <alignment horizontal="center"/>
    </xf>
    <xf numFmtId="9" fontId="1" fillId="0" borderId="0" xfId="1" applyFont="1" applyBorder="1" applyAlignment="1">
      <alignment horizontal="center"/>
    </xf>
    <xf numFmtId="0" fontId="2" fillId="2" borderId="7" xfId="0" applyFont="1" applyFill="1" applyBorder="1"/>
    <xf numFmtId="0" fontId="2" fillId="2" borderId="1" xfId="0" applyFont="1" applyFill="1" applyBorder="1" applyAlignment="1">
      <alignment horizontal="center"/>
    </xf>
    <xf numFmtId="0" fontId="2" fillId="2" borderId="8" xfId="0" applyFont="1" applyFill="1" applyBorder="1" applyAlignment="1">
      <alignment horizontal="center"/>
    </xf>
    <xf numFmtId="164" fontId="0" fillId="0" borderId="2" xfId="1" applyNumberFormat="1" applyFont="1" applyBorder="1" applyAlignment="1">
      <alignment horizontal="center"/>
    </xf>
    <xf numFmtId="3" fontId="0" fillId="0" borderId="2" xfId="0" applyNumberFormat="1" applyBorder="1" applyAlignment="1">
      <alignment horizontal="center"/>
    </xf>
    <xf numFmtId="0" fontId="0" fillId="0" borderId="0" xfId="0" applyAlignment="1">
      <alignment horizontal="center" vertical="center"/>
    </xf>
    <xf numFmtId="0" fontId="0" fillId="0" borderId="0" xfId="0" applyFill="1" applyBorder="1" applyAlignment="1">
      <alignment horizontal="left" vertical="center"/>
    </xf>
    <xf numFmtId="3" fontId="0" fillId="0" borderId="0" xfId="0" applyNumberFormat="1" applyAlignment="1">
      <alignment horizontal="center" vertical="center"/>
    </xf>
    <xf numFmtId="0" fontId="0" fillId="0" borderId="0" xfId="0" applyBorder="1" applyAlignment="1">
      <alignment vertical="center"/>
    </xf>
    <xf numFmtId="0" fontId="8" fillId="0" borderId="0" xfId="0" applyFont="1" applyAlignment="1">
      <alignment vertical="center"/>
    </xf>
    <xf numFmtId="0" fontId="6" fillId="0" borderId="7" xfId="0" quotePrefix="1" applyFont="1" applyBorder="1" applyAlignment="1">
      <alignment horizontal="left" vertical="top" wrapText="1"/>
    </xf>
    <xf numFmtId="0" fontId="6" fillId="0" borderId="1" xfId="0" applyFont="1" applyBorder="1" applyAlignment="1">
      <alignment horizontal="left" vertical="top" wrapText="1"/>
    </xf>
    <xf numFmtId="0" fontId="6" fillId="0" borderId="8" xfId="0" applyFont="1" applyBorder="1" applyAlignment="1">
      <alignment horizontal="left" vertical="top" wrapText="1"/>
    </xf>
    <xf numFmtId="0" fontId="6" fillId="0" borderId="11" xfId="0" applyFont="1" applyBorder="1" applyAlignment="1">
      <alignment horizontal="left" vertical="top" wrapText="1"/>
    </xf>
    <xf numFmtId="0" fontId="6" fillId="0" borderId="0" xfId="0" applyFont="1" applyBorder="1" applyAlignment="1">
      <alignment horizontal="left" vertical="top" wrapText="1"/>
    </xf>
    <xf numFmtId="0" fontId="6" fillId="0" borderId="12" xfId="0" applyFont="1" applyBorder="1" applyAlignment="1">
      <alignment horizontal="left" vertical="top" wrapText="1"/>
    </xf>
    <xf numFmtId="0" fontId="6" fillId="0" borderId="9" xfId="0" applyFont="1" applyBorder="1" applyAlignment="1">
      <alignment horizontal="left" vertical="top" wrapText="1"/>
    </xf>
    <xf numFmtId="0" fontId="6" fillId="0" borderId="2" xfId="0" applyFont="1" applyBorder="1" applyAlignment="1">
      <alignment horizontal="left" vertical="top" wrapText="1"/>
    </xf>
    <xf numFmtId="0" fontId="6" fillId="0" borderId="10" xfId="0" applyFont="1" applyBorder="1" applyAlignment="1">
      <alignment horizontal="left" vertical="top" wrapText="1"/>
    </xf>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700F-1115-4004-A89E-8350BF132DDA}">
  <dimension ref="B1:AJ108"/>
  <sheetViews>
    <sheetView showGridLines="0" tabSelected="1" topLeftCell="A3" zoomScale="70" zoomScaleNormal="70" zoomScalePageLayoutView="55" workbookViewId="0">
      <pane xSplit="6" ySplit="6" topLeftCell="G9" activePane="bottomRight" state="frozen"/>
      <selection activeCell="A3" sqref="A3"/>
      <selection pane="topRight" activeCell="F3" sqref="F3"/>
      <selection pane="bottomLeft" activeCell="A5" sqref="A5"/>
      <selection pane="bottomRight" activeCell="D9" sqref="D9:D11"/>
    </sheetView>
  </sheetViews>
  <sheetFormatPr baseColWidth="10" defaultRowHeight="15" x14ac:dyDescent="0.25"/>
  <cols>
    <col min="1" max="1" width="3.5703125" customWidth="1"/>
    <col min="2" max="2" width="17.28515625" customWidth="1"/>
    <col min="3" max="3" width="14" style="1" customWidth="1"/>
    <col min="4" max="4" width="14" style="59" customWidth="1"/>
    <col min="5" max="5" width="3.5703125" customWidth="1"/>
    <col min="6" max="6" width="30.28515625" style="28" customWidth="1"/>
    <col min="7" max="7" width="13.42578125" style="2" customWidth="1"/>
    <col min="8" max="16" width="12.140625" style="2" customWidth="1"/>
    <col min="17" max="17" width="12.140625" style="56" customWidth="1"/>
    <col min="18" max="31" width="12.140625" customWidth="1"/>
    <col min="32" max="36" width="12.140625" style="43" customWidth="1"/>
  </cols>
  <sheetData>
    <row r="1" spans="2:36" hidden="1" x14ac:dyDescent="0.25">
      <c r="G1" s="2">
        <v>1</v>
      </c>
      <c r="H1" s="2">
        <v>13</v>
      </c>
      <c r="I1" s="2">
        <v>25</v>
      </c>
      <c r="J1" s="2">
        <v>37</v>
      </c>
      <c r="K1" s="2">
        <v>49</v>
      </c>
      <c r="L1" s="2">
        <v>61</v>
      </c>
      <c r="M1" s="2">
        <v>73</v>
      </c>
      <c r="N1" s="2">
        <v>85</v>
      </c>
      <c r="O1" s="2">
        <v>97</v>
      </c>
      <c r="P1" s="2">
        <v>109</v>
      </c>
      <c r="Q1" s="9">
        <v>121</v>
      </c>
      <c r="R1" s="47">
        <v>133</v>
      </c>
      <c r="S1" s="47">
        <v>145</v>
      </c>
      <c r="T1" s="47">
        <v>157</v>
      </c>
      <c r="U1" s="47">
        <f>T1+12</f>
        <v>169</v>
      </c>
      <c r="V1" s="47">
        <f t="shared" ref="V1:AJ1" si="0">U1+12</f>
        <v>181</v>
      </c>
      <c r="W1" s="47">
        <f t="shared" si="0"/>
        <v>193</v>
      </c>
      <c r="X1" s="47">
        <f t="shared" si="0"/>
        <v>205</v>
      </c>
      <c r="Y1" s="47">
        <f t="shared" si="0"/>
        <v>217</v>
      </c>
      <c r="Z1" s="47">
        <f t="shared" si="0"/>
        <v>229</v>
      </c>
      <c r="AA1" s="47">
        <f t="shared" si="0"/>
        <v>241</v>
      </c>
      <c r="AB1" s="47">
        <f t="shared" si="0"/>
        <v>253</v>
      </c>
      <c r="AC1" s="47">
        <f t="shared" si="0"/>
        <v>265</v>
      </c>
      <c r="AD1" s="47">
        <f t="shared" si="0"/>
        <v>277</v>
      </c>
      <c r="AE1" s="47">
        <f t="shared" si="0"/>
        <v>289</v>
      </c>
      <c r="AF1" s="47">
        <f t="shared" si="0"/>
        <v>301</v>
      </c>
      <c r="AG1" s="47">
        <f t="shared" si="0"/>
        <v>313</v>
      </c>
      <c r="AH1" s="47">
        <f t="shared" si="0"/>
        <v>325</v>
      </c>
      <c r="AI1" s="47">
        <f t="shared" si="0"/>
        <v>337</v>
      </c>
      <c r="AJ1" s="47">
        <f t="shared" si="0"/>
        <v>349</v>
      </c>
    </row>
    <row r="2" spans="2:36" hidden="1" x14ac:dyDescent="0.25">
      <c r="G2" s="2">
        <v>12</v>
      </c>
      <c r="H2" s="2">
        <v>24</v>
      </c>
      <c r="I2" s="2">
        <v>36</v>
      </c>
      <c r="J2" s="2">
        <v>48</v>
      </c>
      <c r="K2" s="2">
        <v>60</v>
      </c>
      <c r="L2" s="2">
        <v>72</v>
      </c>
      <c r="M2" s="2">
        <v>84</v>
      </c>
      <c r="N2" s="2">
        <v>96</v>
      </c>
      <c r="O2" s="2">
        <v>108</v>
      </c>
      <c r="P2" s="2">
        <v>120</v>
      </c>
      <c r="Q2" s="9">
        <f>P2+12</f>
        <v>132</v>
      </c>
      <c r="R2" s="9">
        <f t="shared" ref="R2:T2" si="1">Q2+12</f>
        <v>144</v>
      </c>
      <c r="S2" s="9">
        <f t="shared" si="1"/>
        <v>156</v>
      </c>
      <c r="T2" s="9">
        <f t="shared" si="1"/>
        <v>168</v>
      </c>
      <c r="U2" s="47">
        <f>T2+12</f>
        <v>180</v>
      </c>
      <c r="V2" s="47">
        <f t="shared" ref="V2:AJ2" si="2">U2+12</f>
        <v>192</v>
      </c>
      <c r="W2" s="47">
        <f t="shared" si="2"/>
        <v>204</v>
      </c>
      <c r="X2" s="47">
        <f t="shared" si="2"/>
        <v>216</v>
      </c>
      <c r="Y2" s="47">
        <f t="shared" si="2"/>
        <v>228</v>
      </c>
      <c r="Z2" s="47">
        <f t="shared" si="2"/>
        <v>240</v>
      </c>
      <c r="AA2" s="47">
        <f t="shared" si="2"/>
        <v>252</v>
      </c>
      <c r="AB2" s="47">
        <f t="shared" si="2"/>
        <v>264</v>
      </c>
      <c r="AC2" s="47">
        <f t="shared" si="2"/>
        <v>276</v>
      </c>
      <c r="AD2" s="47">
        <f t="shared" si="2"/>
        <v>288</v>
      </c>
      <c r="AE2" s="47">
        <f t="shared" si="2"/>
        <v>300</v>
      </c>
      <c r="AF2" s="47">
        <f t="shared" si="2"/>
        <v>312</v>
      </c>
      <c r="AG2" s="47">
        <f t="shared" si="2"/>
        <v>324</v>
      </c>
      <c r="AH2" s="47">
        <f t="shared" si="2"/>
        <v>336</v>
      </c>
      <c r="AI2" s="47">
        <f t="shared" si="2"/>
        <v>348</v>
      </c>
      <c r="AJ2" s="47">
        <f t="shared" si="2"/>
        <v>360</v>
      </c>
    </row>
    <row r="3" spans="2:36" x14ac:dyDescent="0.25">
      <c r="C3" s="59"/>
      <c r="Q3" s="9"/>
      <c r="R3" s="9"/>
      <c r="S3" s="9"/>
      <c r="T3" s="9"/>
      <c r="U3" s="47"/>
      <c r="V3" s="47"/>
      <c r="W3" s="47"/>
      <c r="X3" s="47"/>
      <c r="Y3" s="47"/>
      <c r="Z3" s="47"/>
      <c r="AA3" s="47"/>
      <c r="AB3" s="47"/>
      <c r="AC3" s="47"/>
      <c r="AD3" s="47"/>
      <c r="AE3" s="47"/>
      <c r="AF3" s="47"/>
      <c r="AG3" s="47"/>
      <c r="AH3" s="47"/>
      <c r="AI3" s="47"/>
      <c r="AJ3" s="47"/>
    </row>
    <row r="4" spans="2:36" ht="44.25" customHeight="1" x14ac:dyDescent="0.25">
      <c r="B4" s="79" t="s">
        <v>240</v>
      </c>
      <c r="C4" s="80"/>
      <c r="D4" s="80"/>
      <c r="E4" s="80"/>
      <c r="F4" s="81"/>
      <c r="Q4" s="9"/>
      <c r="R4" s="9"/>
      <c r="S4" s="9"/>
      <c r="T4" s="9"/>
      <c r="U4" s="47"/>
      <c r="V4" s="47"/>
      <c r="W4" s="47"/>
      <c r="X4" s="47"/>
      <c r="Y4" s="47"/>
      <c r="Z4" s="47"/>
      <c r="AA4" s="47"/>
      <c r="AB4" s="47"/>
      <c r="AC4" s="47"/>
      <c r="AD4" s="47"/>
      <c r="AE4" s="47"/>
      <c r="AF4" s="47"/>
      <c r="AG4" s="47"/>
      <c r="AH4" s="47"/>
      <c r="AI4" s="47"/>
      <c r="AJ4" s="47"/>
    </row>
    <row r="5" spans="2:36" ht="44.25" customHeight="1" x14ac:dyDescent="0.25">
      <c r="B5" s="82"/>
      <c r="C5" s="83"/>
      <c r="D5" s="83"/>
      <c r="E5" s="83"/>
      <c r="F5" s="84"/>
      <c r="Q5" s="9"/>
      <c r="R5" s="9"/>
      <c r="S5" s="9"/>
      <c r="T5" s="9"/>
      <c r="U5" s="47"/>
      <c r="V5" s="47"/>
      <c r="W5" s="47"/>
      <c r="X5" s="47"/>
      <c r="Y5" s="47"/>
      <c r="Z5" s="47"/>
      <c r="AA5" s="47"/>
      <c r="AB5" s="47"/>
      <c r="AC5" s="47"/>
      <c r="AD5" s="47"/>
      <c r="AE5" s="47"/>
      <c r="AF5" s="47"/>
      <c r="AG5" s="47"/>
      <c r="AH5" s="47"/>
      <c r="AI5" s="47"/>
      <c r="AJ5" s="47"/>
    </row>
    <row r="6" spans="2:36" ht="29.25" customHeight="1" x14ac:dyDescent="0.25">
      <c r="B6" s="85"/>
      <c r="C6" s="86"/>
      <c r="D6" s="86"/>
      <c r="E6" s="86"/>
      <c r="F6" s="87"/>
      <c r="Q6" s="9"/>
      <c r="R6" s="9"/>
      <c r="S6" s="9"/>
      <c r="T6" s="9"/>
      <c r="U6" s="47"/>
      <c r="V6" s="47"/>
      <c r="W6" s="47"/>
      <c r="X6" s="47"/>
      <c r="Y6" s="47"/>
      <c r="Z6" s="47"/>
      <c r="AA6" s="47"/>
      <c r="AB6" s="47"/>
      <c r="AC6" s="47"/>
      <c r="AD6" s="47"/>
      <c r="AE6" s="47"/>
      <c r="AF6" s="47"/>
      <c r="AG6" s="47"/>
      <c r="AH6" s="47"/>
      <c r="AI6" s="47"/>
      <c r="AJ6" s="47"/>
    </row>
    <row r="7" spans="2:36" s="60" customFormat="1" ht="17.25" customHeight="1" x14ac:dyDescent="0.25">
      <c r="B7" s="78"/>
      <c r="C7" s="74"/>
      <c r="D7" s="74"/>
      <c r="F7" s="75"/>
      <c r="G7" s="76"/>
      <c r="H7" s="76"/>
      <c r="I7" s="76"/>
      <c r="J7" s="76"/>
      <c r="K7" s="76"/>
      <c r="L7" s="76"/>
      <c r="M7" s="76"/>
      <c r="N7" s="76"/>
      <c r="O7" s="76"/>
      <c r="P7" s="76"/>
      <c r="Q7" s="77"/>
      <c r="AF7" s="74"/>
      <c r="AG7" s="74"/>
      <c r="AH7" s="74"/>
      <c r="AI7" s="74"/>
      <c r="AJ7" s="74"/>
    </row>
    <row r="8" spans="2:36" x14ac:dyDescent="0.25">
      <c r="B8" s="69" t="s">
        <v>118</v>
      </c>
      <c r="C8" s="70" t="s">
        <v>119</v>
      </c>
      <c r="D8" s="71" t="s">
        <v>178</v>
      </c>
      <c r="F8" s="55" t="s">
        <v>117</v>
      </c>
      <c r="G8" s="44">
        <v>1</v>
      </c>
      <c r="H8" s="45">
        <v>2</v>
      </c>
      <c r="I8" s="45">
        <v>3</v>
      </c>
      <c r="J8" s="45">
        <v>4</v>
      </c>
      <c r="K8" s="45">
        <v>5</v>
      </c>
      <c r="L8" s="45">
        <v>6</v>
      </c>
      <c r="M8" s="45">
        <v>7</v>
      </c>
      <c r="N8" s="45">
        <v>8</v>
      </c>
      <c r="O8" s="45">
        <v>9</v>
      </c>
      <c r="P8" s="45">
        <v>10</v>
      </c>
      <c r="Q8" s="45">
        <v>11</v>
      </c>
      <c r="R8" s="45">
        <v>12</v>
      </c>
      <c r="S8" s="45">
        <v>13</v>
      </c>
      <c r="T8" s="45">
        <v>14</v>
      </c>
      <c r="U8" s="45">
        <v>15</v>
      </c>
      <c r="V8" s="45">
        <v>16</v>
      </c>
      <c r="W8" s="45">
        <v>17</v>
      </c>
      <c r="X8" s="45">
        <v>18</v>
      </c>
      <c r="Y8" s="45">
        <v>19</v>
      </c>
      <c r="Z8" s="45">
        <v>20</v>
      </c>
      <c r="AA8" s="45">
        <v>21</v>
      </c>
      <c r="AB8" s="45">
        <v>22</v>
      </c>
      <c r="AC8" s="45">
        <v>23</v>
      </c>
      <c r="AD8" s="45">
        <v>24</v>
      </c>
      <c r="AE8" s="45">
        <v>25</v>
      </c>
      <c r="AF8" s="45">
        <v>26</v>
      </c>
      <c r="AG8" s="45">
        <v>27</v>
      </c>
      <c r="AH8" s="45">
        <v>28</v>
      </c>
      <c r="AI8" s="45">
        <v>29</v>
      </c>
      <c r="AJ8" s="46">
        <v>30</v>
      </c>
    </row>
    <row r="9" spans="2:36" x14ac:dyDescent="0.25">
      <c r="B9" s="24" t="s">
        <v>2</v>
      </c>
      <c r="C9" s="9">
        <v>300000</v>
      </c>
      <c r="D9" s="10" t="s">
        <v>239</v>
      </c>
      <c r="F9" s="42" t="s">
        <v>0</v>
      </c>
      <c r="G9" s="6">
        <f>$C$20*$C$22*((1+$C$32)^(G$8-1))</f>
        <v>22000</v>
      </c>
      <c r="H9" s="4">
        <f t="shared" ref="H9:AJ9" si="3">$C$20*$C$22*((1+$C$32)^(H8-1))</f>
        <v>22329.999999999996</v>
      </c>
      <c r="I9" s="4">
        <f t="shared" si="3"/>
        <v>22664.949999999993</v>
      </c>
      <c r="J9" s="4">
        <f t="shared" si="3"/>
        <v>23004.924249999993</v>
      </c>
      <c r="K9" s="4">
        <f t="shared" si="3"/>
        <v>23349.998113749989</v>
      </c>
      <c r="L9" s="4">
        <f t="shared" si="3"/>
        <v>23700.248085456235</v>
      </c>
      <c r="M9" s="4">
        <f t="shared" si="3"/>
        <v>24055.751806738073</v>
      </c>
      <c r="N9" s="4">
        <f t="shared" si="3"/>
        <v>24416.588083839142</v>
      </c>
      <c r="O9" s="4">
        <f t="shared" si="3"/>
        <v>24782.836905096727</v>
      </c>
      <c r="P9" s="4">
        <f t="shared" si="3"/>
        <v>25154.579458673172</v>
      </c>
      <c r="Q9" s="4">
        <f t="shared" si="3"/>
        <v>25531.898150553268</v>
      </c>
      <c r="R9" s="4">
        <f t="shared" si="3"/>
        <v>25914.876622811564</v>
      </c>
      <c r="S9" s="4">
        <f t="shared" si="3"/>
        <v>26303.599772153731</v>
      </c>
      <c r="T9" s="4">
        <f t="shared" si="3"/>
        <v>26698.153768736036</v>
      </c>
      <c r="U9" s="4">
        <f t="shared" si="3"/>
        <v>27098.626075267071</v>
      </c>
      <c r="V9" s="4">
        <f t="shared" si="3"/>
        <v>27505.105466396071</v>
      </c>
      <c r="W9" s="4">
        <f t="shared" si="3"/>
        <v>27917.682048392009</v>
      </c>
      <c r="X9" s="4">
        <f t="shared" si="3"/>
        <v>28336.447279117885</v>
      </c>
      <c r="Y9" s="4">
        <f t="shared" si="3"/>
        <v>28761.493988304654</v>
      </c>
      <c r="Z9" s="4">
        <f t="shared" si="3"/>
        <v>29192.916398129219</v>
      </c>
      <c r="AA9" s="4">
        <f t="shared" si="3"/>
        <v>29630.810144101149</v>
      </c>
      <c r="AB9" s="4">
        <f t="shared" si="3"/>
        <v>30075.272296262661</v>
      </c>
      <c r="AC9" s="4">
        <f t="shared" si="3"/>
        <v>30526.401380706597</v>
      </c>
      <c r="AD9" s="4">
        <f t="shared" si="3"/>
        <v>30984.297401417192</v>
      </c>
      <c r="AE9" s="4">
        <f t="shared" si="3"/>
        <v>31449.061862438448</v>
      </c>
      <c r="AF9" s="4">
        <f t="shared" si="3"/>
        <v>31920.797790375022</v>
      </c>
      <c r="AG9" s="4">
        <f t="shared" si="3"/>
        <v>32399.609757230643</v>
      </c>
      <c r="AH9" s="4">
        <f t="shared" si="3"/>
        <v>32885.603903589101</v>
      </c>
      <c r="AI9" s="4">
        <f t="shared" si="3"/>
        <v>33378.887962142922</v>
      </c>
      <c r="AJ9" s="7">
        <f t="shared" si="3"/>
        <v>33879.571281575067</v>
      </c>
    </row>
    <row r="10" spans="2:36" x14ac:dyDescent="0.25">
      <c r="B10" s="24" t="s">
        <v>3</v>
      </c>
      <c r="C10" s="9">
        <v>50000</v>
      </c>
      <c r="D10" s="10" t="s">
        <v>239</v>
      </c>
      <c r="E10" s="88"/>
      <c r="F10" s="29" t="s">
        <v>40</v>
      </c>
      <c r="G10" s="8">
        <f>IF(AND($C$15&lt;$C$35,G8&lt;=$C$14),CUMPRINC($C$16/12,$C$14*12,$C$36,G1,G2,0)*-1,0)</f>
        <v>12407.718321386221</v>
      </c>
      <c r="H10" s="9">
        <f t="shared" ref="H10:AJ10" si="4">IF(AND($C$15&lt;$C$35,H8&lt;=$C$14),CUMPRINC($C$16/12,$C$14*12,$C$36,H1,H2,0)*-1,0)</f>
        <v>12595.118988625089</v>
      </c>
      <c r="I10" s="9">
        <f t="shared" si="4"/>
        <v>12785.350072316993</v>
      </c>
      <c r="J10" s="9">
        <f t="shared" si="4"/>
        <v>12978.454321815061</v>
      </c>
      <c r="K10" s="9">
        <f t="shared" si="4"/>
        <v>13174.475132139642</v>
      </c>
      <c r="L10" s="9">
        <f t="shared" si="4"/>
        <v>13373.456553730211</v>
      </c>
      <c r="M10" s="9">
        <f t="shared" si="4"/>
        <v>13575.44330234452</v>
      </c>
      <c r="N10" s="9">
        <f t="shared" si="4"/>
        <v>13780.480769107266</v>
      </c>
      <c r="O10" s="9">
        <f t="shared" si="4"/>
        <v>13988.615030710533</v>
      </c>
      <c r="P10" s="9">
        <f t="shared" si="4"/>
        <v>14199.892859768299</v>
      </c>
      <c r="Q10" s="9">
        <f t="shared" si="4"/>
        <v>14414.361735327337</v>
      </c>
      <c r="R10" s="9">
        <f t="shared" si="4"/>
        <v>14632.06985353685</v>
      </c>
      <c r="S10" s="9">
        <f t="shared" si="4"/>
        <v>14853.06613847928</v>
      </c>
      <c r="T10" s="9">
        <f t="shared" si="4"/>
        <v>15077.400253164684</v>
      </c>
      <c r="U10" s="9">
        <f t="shared" si="4"/>
        <v>15305.122610691154</v>
      </c>
      <c r="V10" s="9">
        <f t="shared" si="4"/>
        <v>15536.28438557385</v>
      </c>
      <c r="W10" s="9">
        <f t="shared" si="4"/>
        <v>15770.937525245061</v>
      </c>
      <c r="X10" s="9">
        <f t="shared" si="4"/>
        <v>16009.134761728035</v>
      </c>
      <c r="Y10" s="9">
        <f t="shared" si="4"/>
        <v>16250.929623487082</v>
      </c>
      <c r="Z10" s="9">
        <f t="shared" si="4"/>
        <v>16496.376447456652</v>
      </c>
      <c r="AA10" s="9">
        <f t="shared" si="4"/>
        <v>16745.530391252138</v>
      </c>
      <c r="AB10" s="9">
        <f t="shared" si="4"/>
        <v>16998.447445565049</v>
      </c>
      <c r="AC10" s="9">
        <f t="shared" si="4"/>
        <v>17255.184446745436</v>
      </c>
      <c r="AD10" s="9">
        <f t="shared" si="4"/>
        <v>17515.799089574346</v>
      </c>
      <c r="AE10" s="9">
        <f t="shared" si="4"/>
        <v>17780.349940229167</v>
      </c>
      <c r="AF10" s="57">
        <f t="shared" si="4"/>
        <v>0</v>
      </c>
      <c r="AG10" s="57">
        <f t="shared" si="4"/>
        <v>0</v>
      </c>
      <c r="AH10" s="57">
        <f t="shared" si="4"/>
        <v>0</v>
      </c>
      <c r="AI10" s="57">
        <f t="shared" si="4"/>
        <v>0</v>
      </c>
      <c r="AJ10" s="25">
        <f t="shared" si="4"/>
        <v>0</v>
      </c>
    </row>
    <row r="11" spans="2:36" x14ac:dyDescent="0.25">
      <c r="B11" s="24" t="s">
        <v>4</v>
      </c>
      <c r="C11" s="9">
        <v>5000</v>
      </c>
      <c r="D11" s="10" t="s">
        <v>239</v>
      </c>
      <c r="E11" s="88"/>
      <c r="F11" s="29" t="s">
        <v>58</v>
      </c>
      <c r="G11" s="8">
        <f>IF(G8=1,G10,IF(AND(G8&lt;&gt;1,G8&lt;=$C$14),G10+F11,0))</f>
        <v>12407.718321386221</v>
      </c>
      <c r="H11" s="9">
        <f t="shared" ref="H11:AJ11" si="5">IF(H8=1,H10,IF(AND(H8&lt;&gt;1,H8&lt;=$C$14),H10+G11,0))</f>
        <v>25002.837310011309</v>
      </c>
      <c r="I11" s="9">
        <f t="shared" si="5"/>
        <v>37788.187382328302</v>
      </c>
      <c r="J11" s="9">
        <f t="shared" si="5"/>
        <v>50766.64170414336</v>
      </c>
      <c r="K11" s="9">
        <f t="shared" si="5"/>
        <v>63941.116836282999</v>
      </c>
      <c r="L11" s="9">
        <f t="shared" si="5"/>
        <v>77314.573390013218</v>
      </c>
      <c r="M11" s="9">
        <f t="shared" si="5"/>
        <v>90890.016692357734</v>
      </c>
      <c r="N11" s="9">
        <f t="shared" si="5"/>
        <v>104670.497461465</v>
      </c>
      <c r="O11" s="9">
        <f t="shared" si="5"/>
        <v>118659.11249217553</v>
      </c>
      <c r="P11" s="9">
        <f t="shared" si="5"/>
        <v>132859.00535194384</v>
      </c>
      <c r="Q11" s="9">
        <f t="shared" si="5"/>
        <v>147273.36708727118</v>
      </c>
      <c r="R11" s="9">
        <f t="shared" si="5"/>
        <v>161905.43694080802</v>
      </c>
      <c r="S11" s="9">
        <f t="shared" si="5"/>
        <v>176758.5030792873</v>
      </c>
      <c r="T11" s="9">
        <f t="shared" si="5"/>
        <v>191835.903332452</v>
      </c>
      <c r="U11" s="9">
        <f t="shared" si="5"/>
        <v>207141.02594314315</v>
      </c>
      <c r="V11" s="9">
        <f t="shared" si="5"/>
        <v>222677.31032871699</v>
      </c>
      <c r="W11" s="9">
        <f t="shared" si="5"/>
        <v>238448.24785396206</v>
      </c>
      <c r="X11" s="9">
        <f t="shared" si="5"/>
        <v>254457.38261569009</v>
      </c>
      <c r="Y11" s="9">
        <f t="shared" si="5"/>
        <v>270708.31223917718</v>
      </c>
      <c r="Z11" s="9">
        <f t="shared" si="5"/>
        <v>287204.68868663383</v>
      </c>
      <c r="AA11" s="9">
        <f t="shared" si="5"/>
        <v>303950.21907788597</v>
      </c>
      <c r="AB11" s="9">
        <f t="shared" si="5"/>
        <v>320948.66652345099</v>
      </c>
      <c r="AC11" s="9">
        <f t="shared" si="5"/>
        <v>338203.85097019642</v>
      </c>
      <c r="AD11" s="9">
        <f t="shared" si="5"/>
        <v>355719.65005977079</v>
      </c>
      <c r="AE11" s="9">
        <f t="shared" si="5"/>
        <v>373499.99999999994</v>
      </c>
      <c r="AF11" s="57">
        <f t="shared" si="5"/>
        <v>0</v>
      </c>
      <c r="AG11" s="57">
        <f t="shared" si="5"/>
        <v>0</v>
      </c>
      <c r="AH11" s="57">
        <f t="shared" si="5"/>
        <v>0</v>
      </c>
      <c r="AI11" s="57">
        <f t="shared" si="5"/>
        <v>0</v>
      </c>
      <c r="AJ11" s="25">
        <f t="shared" si="5"/>
        <v>0</v>
      </c>
    </row>
    <row r="12" spans="2:36" x14ac:dyDescent="0.25">
      <c r="B12" s="24" t="s">
        <v>5</v>
      </c>
      <c r="C12" s="65">
        <v>7.4999999999999997E-2</v>
      </c>
      <c r="D12" s="26" t="s">
        <v>181</v>
      </c>
      <c r="E12" s="88"/>
      <c r="F12" s="29" t="s">
        <v>9</v>
      </c>
      <c r="G12" s="8">
        <f>IF(AND($C$15&lt;$C$35,G8&lt;=$C$14),CUMIPMT($C$16/12,$C$14*12,$C$36,G1,G2,0)*-1,0)</f>
        <v>5517.4278205269457</v>
      </c>
      <c r="H12" s="9">
        <f t="shared" ref="H12:AJ12" si="6">IF(AND($C$15&lt;$C$35,H8&lt;=$C$14),CUMIPMT($C$16/12,$C$14*12,$C$36,H1,H2,0)*-1,0)</f>
        <v>5330.0271532880779</v>
      </c>
      <c r="I12" s="9">
        <f t="shared" si="6"/>
        <v>5139.7960695961738</v>
      </c>
      <c r="J12" s="9">
        <f t="shared" si="6"/>
        <v>4946.6918200981054</v>
      </c>
      <c r="K12" s="9">
        <f t="shared" si="6"/>
        <v>4750.6710097735249</v>
      </c>
      <c r="L12" s="9">
        <f t="shared" si="6"/>
        <v>4551.689588182955</v>
      </c>
      <c r="M12" s="9">
        <f t="shared" si="6"/>
        <v>4349.7028395686466</v>
      </c>
      <c r="N12" s="9">
        <f t="shared" si="6"/>
        <v>4144.6653728059009</v>
      </c>
      <c r="O12" s="9">
        <f t="shared" si="6"/>
        <v>3936.5311112026338</v>
      </c>
      <c r="P12" s="9">
        <f t="shared" si="6"/>
        <v>3725.2532821448676</v>
      </c>
      <c r="Q12" s="9">
        <f t="shared" si="6"/>
        <v>3510.7844065858299</v>
      </c>
      <c r="R12" s="9">
        <f t="shared" si="6"/>
        <v>3293.0762883763164</v>
      </c>
      <c r="S12" s="9">
        <f t="shared" si="6"/>
        <v>3072.0800034338863</v>
      </c>
      <c r="T12" s="9">
        <f t="shared" si="6"/>
        <v>2847.7458887484827</v>
      </c>
      <c r="U12" s="9">
        <f t="shared" si="6"/>
        <v>2620.023531222012</v>
      </c>
      <c r="V12" s="9">
        <f t="shared" si="6"/>
        <v>2388.8617563393163</v>
      </c>
      <c r="W12" s="9">
        <f t="shared" si="6"/>
        <v>2154.2086166681056</v>
      </c>
      <c r="X12" s="9">
        <f t="shared" si="6"/>
        <v>1916.0113801851312</v>
      </c>
      <c r="Y12" s="9">
        <f t="shared" si="6"/>
        <v>1674.2165184260848</v>
      </c>
      <c r="Z12" s="9">
        <f t="shared" si="6"/>
        <v>1428.7696944565141</v>
      </c>
      <c r="AA12" s="9">
        <f t="shared" si="6"/>
        <v>1179.6157506610289</v>
      </c>
      <c r="AB12" s="9">
        <f t="shared" si="6"/>
        <v>926.69869634811766</v>
      </c>
      <c r="AC12" s="9">
        <f t="shared" si="6"/>
        <v>669.9616951677308</v>
      </c>
      <c r="AD12" s="9">
        <f t="shared" si="6"/>
        <v>409.3470523388205</v>
      </c>
      <c r="AE12" s="9">
        <f t="shared" si="6"/>
        <v>144.79620168399924</v>
      </c>
      <c r="AF12" s="57">
        <f t="shared" si="6"/>
        <v>0</v>
      </c>
      <c r="AG12" s="57">
        <f t="shared" si="6"/>
        <v>0</v>
      </c>
      <c r="AH12" s="57">
        <f t="shared" si="6"/>
        <v>0</v>
      </c>
      <c r="AI12" s="57">
        <f t="shared" si="6"/>
        <v>0</v>
      </c>
      <c r="AJ12" s="25">
        <f t="shared" si="6"/>
        <v>0</v>
      </c>
    </row>
    <row r="13" spans="2:36" x14ac:dyDescent="0.25">
      <c r="B13" s="24" t="s">
        <v>6</v>
      </c>
      <c r="C13" s="9">
        <v>20000</v>
      </c>
      <c r="D13" s="10" t="s">
        <v>239</v>
      </c>
      <c r="E13" s="88"/>
      <c r="F13" s="29" t="s">
        <v>10</v>
      </c>
      <c r="G13" s="8">
        <f>IF(AND($C$15&lt;$C$35,G8&lt;=$C$14),$C$36*$C$17,0)</f>
        <v>747</v>
      </c>
      <c r="H13" s="9">
        <f t="shared" ref="H13:AJ13" si="7">IF(AND($C$15&lt;$C$35,H8&lt;=$C$14),$C$36*$C$17,0)</f>
        <v>747</v>
      </c>
      <c r="I13" s="9">
        <f t="shared" si="7"/>
        <v>747</v>
      </c>
      <c r="J13" s="9">
        <f t="shared" si="7"/>
        <v>747</v>
      </c>
      <c r="K13" s="9">
        <f t="shared" si="7"/>
        <v>747</v>
      </c>
      <c r="L13" s="9">
        <f t="shared" si="7"/>
        <v>747</v>
      </c>
      <c r="M13" s="9">
        <f t="shared" si="7"/>
        <v>747</v>
      </c>
      <c r="N13" s="9">
        <f t="shared" si="7"/>
        <v>747</v>
      </c>
      <c r="O13" s="9">
        <f t="shared" si="7"/>
        <v>747</v>
      </c>
      <c r="P13" s="9">
        <f t="shared" si="7"/>
        <v>747</v>
      </c>
      <c r="Q13" s="9">
        <f t="shared" si="7"/>
        <v>747</v>
      </c>
      <c r="R13" s="9">
        <f t="shared" si="7"/>
        <v>747</v>
      </c>
      <c r="S13" s="9">
        <f t="shared" si="7"/>
        <v>747</v>
      </c>
      <c r="T13" s="9">
        <f t="shared" si="7"/>
        <v>747</v>
      </c>
      <c r="U13" s="9">
        <f t="shared" si="7"/>
        <v>747</v>
      </c>
      <c r="V13" s="9">
        <f t="shared" si="7"/>
        <v>747</v>
      </c>
      <c r="W13" s="9">
        <f t="shared" si="7"/>
        <v>747</v>
      </c>
      <c r="X13" s="9">
        <f t="shared" si="7"/>
        <v>747</v>
      </c>
      <c r="Y13" s="9">
        <f t="shared" si="7"/>
        <v>747</v>
      </c>
      <c r="Z13" s="9">
        <f t="shared" si="7"/>
        <v>747</v>
      </c>
      <c r="AA13" s="9">
        <f t="shared" si="7"/>
        <v>747</v>
      </c>
      <c r="AB13" s="9">
        <f t="shared" si="7"/>
        <v>747</v>
      </c>
      <c r="AC13" s="9">
        <f t="shared" si="7"/>
        <v>747</v>
      </c>
      <c r="AD13" s="9">
        <f t="shared" si="7"/>
        <v>747</v>
      </c>
      <c r="AE13" s="9">
        <f t="shared" si="7"/>
        <v>747</v>
      </c>
      <c r="AF13" s="57">
        <f t="shared" si="7"/>
        <v>0</v>
      </c>
      <c r="AG13" s="57">
        <f t="shared" si="7"/>
        <v>0</v>
      </c>
      <c r="AH13" s="57">
        <f t="shared" si="7"/>
        <v>0</v>
      </c>
      <c r="AI13" s="57">
        <f t="shared" si="7"/>
        <v>0</v>
      </c>
      <c r="AJ13" s="25">
        <f t="shared" si="7"/>
        <v>0</v>
      </c>
    </row>
    <row r="14" spans="2:36" x14ac:dyDescent="0.25">
      <c r="B14" s="24" t="s">
        <v>7</v>
      </c>
      <c r="C14" s="57">
        <v>25</v>
      </c>
      <c r="D14" s="25" t="s">
        <v>179</v>
      </c>
      <c r="E14" s="88"/>
      <c r="F14" s="30" t="s">
        <v>43</v>
      </c>
      <c r="G14" s="6">
        <f>SUM(G12:G13)</f>
        <v>6264.4278205269457</v>
      </c>
      <c r="H14" s="4">
        <f t="shared" ref="H14:P14" si="8">SUM(H12:H13)</f>
        <v>6077.0271532880779</v>
      </c>
      <c r="I14" s="4">
        <f t="shared" si="8"/>
        <v>5886.7960695961738</v>
      </c>
      <c r="J14" s="4">
        <f t="shared" si="8"/>
        <v>5693.6918200981054</v>
      </c>
      <c r="K14" s="4">
        <f t="shared" si="8"/>
        <v>5497.6710097735249</v>
      </c>
      <c r="L14" s="4">
        <f t="shared" si="8"/>
        <v>5298.689588182955</v>
      </c>
      <c r="M14" s="4">
        <f t="shared" si="8"/>
        <v>5096.7028395686466</v>
      </c>
      <c r="N14" s="4">
        <f t="shared" si="8"/>
        <v>4891.6653728059009</v>
      </c>
      <c r="O14" s="4">
        <f t="shared" si="8"/>
        <v>4683.5311112026338</v>
      </c>
      <c r="P14" s="4">
        <f t="shared" si="8"/>
        <v>4472.2532821448676</v>
      </c>
      <c r="Q14" s="4">
        <f t="shared" ref="Q14:AJ14" si="9">SUM(Q12:Q13)</f>
        <v>4257.7844065858299</v>
      </c>
      <c r="R14" s="4">
        <f t="shared" si="9"/>
        <v>4040.0762883763164</v>
      </c>
      <c r="S14" s="4">
        <f t="shared" si="9"/>
        <v>3819.0800034338863</v>
      </c>
      <c r="T14" s="4">
        <f t="shared" si="9"/>
        <v>3594.7458887484827</v>
      </c>
      <c r="U14" s="4">
        <f t="shared" si="9"/>
        <v>3367.023531222012</v>
      </c>
      <c r="V14" s="4">
        <f t="shared" si="9"/>
        <v>3135.8617563393163</v>
      </c>
      <c r="W14" s="4">
        <f t="shared" si="9"/>
        <v>2901.2086166681056</v>
      </c>
      <c r="X14" s="4">
        <f t="shared" si="9"/>
        <v>2663.0113801851312</v>
      </c>
      <c r="Y14" s="4">
        <f t="shared" si="9"/>
        <v>2421.2165184260848</v>
      </c>
      <c r="Z14" s="4">
        <f t="shared" si="9"/>
        <v>2175.7696944565141</v>
      </c>
      <c r="AA14" s="4">
        <f t="shared" si="9"/>
        <v>1926.6157506610289</v>
      </c>
      <c r="AB14" s="4">
        <f t="shared" si="9"/>
        <v>1673.6986963481177</v>
      </c>
      <c r="AC14" s="4">
        <f t="shared" si="9"/>
        <v>1416.9616951677308</v>
      </c>
      <c r="AD14" s="4">
        <f t="shared" si="9"/>
        <v>1156.3470523388205</v>
      </c>
      <c r="AE14" s="4">
        <f t="shared" si="9"/>
        <v>891.79620168399924</v>
      </c>
      <c r="AF14" s="4">
        <f t="shared" si="9"/>
        <v>0</v>
      </c>
      <c r="AG14" s="4">
        <f t="shared" si="9"/>
        <v>0</v>
      </c>
      <c r="AH14" s="4">
        <f t="shared" si="9"/>
        <v>0</v>
      </c>
      <c r="AI14" s="4">
        <f t="shared" si="9"/>
        <v>0</v>
      </c>
      <c r="AJ14" s="7">
        <f t="shared" si="9"/>
        <v>0</v>
      </c>
    </row>
    <row r="15" spans="2:36" x14ac:dyDescent="0.25">
      <c r="B15" s="24" t="s">
        <v>8</v>
      </c>
      <c r="C15" s="47">
        <v>30000</v>
      </c>
      <c r="D15" s="10" t="s">
        <v>239</v>
      </c>
      <c r="E15" s="88"/>
      <c r="F15" s="29" t="s">
        <v>24</v>
      </c>
      <c r="G15" s="8">
        <f>$C$21*((1+$C$32)^(G$8-1))</f>
        <v>2100</v>
      </c>
      <c r="H15" s="9">
        <f t="shared" ref="H15:AJ15" si="10">$C$21*((1+$C$32)^(H$8-1))</f>
        <v>2131.5</v>
      </c>
      <c r="I15" s="9">
        <f t="shared" si="10"/>
        <v>2163.4724999999994</v>
      </c>
      <c r="J15" s="9">
        <f t="shared" si="10"/>
        <v>2195.9245874999992</v>
      </c>
      <c r="K15" s="9">
        <f t="shared" si="10"/>
        <v>2228.8634563124988</v>
      </c>
      <c r="L15" s="9">
        <f t="shared" si="10"/>
        <v>2262.2964081571859</v>
      </c>
      <c r="M15" s="9">
        <f t="shared" si="10"/>
        <v>2296.2308542795436</v>
      </c>
      <c r="N15" s="9">
        <f t="shared" si="10"/>
        <v>2330.6743170937361</v>
      </c>
      <c r="O15" s="9">
        <f t="shared" si="10"/>
        <v>2365.6344318501419</v>
      </c>
      <c r="P15" s="9">
        <f t="shared" si="10"/>
        <v>2401.118948327894</v>
      </c>
      <c r="Q15" s="9">
        <f t="shared" si="10"/>
        <v>2437.135732552812</v>
      </c>
      <c r="R15" s="9">
        <f t="shared" si="10"/>
        <v>2473.6927685411038</v>
      </c>
      <c r="S15" s="9">
        <f t="shared" si="10"/>
        <v>2510.7981600692196</v>
      </c>
      <c r="T15" s="9">
        <f t="shared" si="10"/>
        <v>2548.460132470258</v>
      </c>
      <c r="U15" s="9">
        <f t="shared" si="10"/>
        <v>2586.6870344573113</v>
      </c>
      <c r="V15" s="9">
        <f t="shared" si="10"/>
        <v>2625.4873399741705</v>
      </c>
      <c r="W15" s="9">
        <f t="shared" si="10"/>
        <v>2664.8696500737829</v>
      </c>
      <c r="X15" s="9">
        <f t="shared" si="10"/>
        <v>2704.8426948248889</v>
      </c>
      <c r="Y15" s="9">
        <f t="shared" si="10"/>
        <v>2745.4153352472622</v>
      </c>
      <c r="Z15" s="9">
        <f t="shared" si="10"/>
        <v>2786.596565275971</v>
      </c>
      <c r="AA15" s="9">
        <f t="shared" si="10"/>
        <v>2828.3955137551097</v>
      </c>
      <c r="AB15" s="9">
        <f t="shared" si="10"/>
        <v>2870.8214464614362</v>
      </c>
      <c r="AC15" s="9">
        <f t="shared" si="10"/>
        <v>2913.8837681583568</v>
      </c>
      <c r="AD15" s="9">
        <f t="shared" si="10"/>
        <v>2957.5920246807323</v>
      </c>
      <c r="AE15" s="9">
        <f t="shared" si="10"/>
        <v>3001.9559050509424</v>
      </c>
      <c r="AF15" s="9">
        <f t="shared" si="10"/>
        <v>3046.9852436267065</v>
      </c>
      <c r="AG15" s="9">
        <f t="shared" si="10"/>
        <v>3092.6900222811068</v>
      </c>
      <c r="AH15" s="9">
        <f t="shared" si="10"/>
        <v>3139.0803726153231</v>
      </c>
      <c r="AI15" s="9">
        <f t="shared" si="10"/>
        <v>3186.166578204552</v>
      </c>
      <c r="AJ15" s="10">
        <f t="shared" si="10"/>
        <v>3233.9590768776202</v>
      </c>
    </row>
    <row r="16" spans="2:36" x14ac:dyDescent="0.25">
      <c r="B16" s="24" t="s">
        <v>9</v>
      </c>
      <c r="C16" s="66">
        <v>1.4999999999999999E-2</v>
      </c>
      <c r="D16" s="26" t="s">
        <v>181</v>
      </c>
      <c r="E16" s="88"/>
      <c r="F16" s="29" t="s">
        <v>25</v>
      </c>
      <c r="G16" s="8">
        <f>$C$24*((1+$C$32)^(G$8-1))</f>
        <v>1830</v>
      </c>
      <c r="H16" s="9">
        <f t="shared" ref="H16:AJ16" si="11">$C$24*((1+$C$32)^(H$8-1))</f>
        <v>1857.4499999999998</v>
      </c>
      <c r="I16" s="9">
        <f t="shared" si="11"/>
        <v>1885.3117499999994</v>
      </c>
      <c r="J16" s="9">
        <f t="shared" si="11"/>
        <v>1913.5914262499994</v>
      </c>
      <c r="K16" s="9">
        <f t="shared" si="11"/>
        <v>1942.2952976437489</v>
      </c>
      <c r="L16" s="9">
        <f t="shared" si="11"/>
        <v>1971.4297271084049</v>
      </c>
      <c r="M16" s="9">
        <f t="shared" si="11"/>
        <v>2001.0011730150306</v>
      </c>
      <c r="N16" s="9">
        <f t="shared" si="11"/>
        <v>2031.0161906102558</v>
      </c>
      <c r="O16" s="9">
        <f t="shared" si="11"/>
        <v>2061.4814334694092</v>
      </c>
      <c r="P16" s="9">
        <f t="shared" si="11"/>
        <v>2092.4036549714501</v>
      </c>
      <c r="Q16" s="9">
        <f t="shared" si="11"/>
        <v>2123.7897097960217</v>
      </c>
      <c r="R16" s="9">
        <f t="shared" si="11"/>
        <v>2155.6465554429619</v>
      </c>
      <c r="S16" s="9">
        <f t="shared" si="11"/>
        <v>2187.9812537746056</v>
      </c>
      <c r="T16" s="9">
        <f t="shared" si="11"/>
        <v>2220.8009725812249</v>
      </c>
      <c r="U16" s="9">
        <f t="shared" si="11"/>
        <v>2254.1129871699427</v>
      </c>
      <c r="V16" s="9">
        <f t="shared" si="11"/>
        <v>2287.9246819774917</v>
      </c>
      <c r="W16" s="9">
        <f t="shared" si="11"/>
        <v>2322.2435522071537</v>
      </c>
      <c r="X16" s="9">
        <f t="shared" si="11"/>
        <v>2357.0772054902604</v>
      </c>
      <c r="Y16" s="9">
        <f t="shared" si="11"/>
        <v>2392.4333635726143</v>
      </c>
      <c r="Z16" s="9">
        <f t="shared" si="11"/>
        <v>2428.319864026203</v>
      </c>
      <c r="AA16" s="9">
        <f t="shared" si="11"/>
        <v>2464.7446619865955</v>
      </c>
      <c r="AB16" s="9">
        <f t="shared" si="11"/>
        <v>2501.7158319163941</v>
      </c>
      <c r="AC16" s="9">
        <f t="shared" si="11"/>
        <v>2539.2415693951398</v>
      </c>
      <c r="AD16" s="9">
        <f t="shared" si="11"/>
        <v>2577.3301929360664</v>
      </c>
      <c r="AE16" s="9">
        <f t="shared" si="11"/>
        <v>2615.9901458301069</v>
      </c>
      <c r="AF16" s="9">
        <f t="shared" si="11"/>
        <v>2655.2299980175585</v>
      </c>
      <c r="AG16" s="9">
        <f t="shared" si="11"/>
        <v>2695.0584479878216</v>
      </c>
      <c r="AH16" s="9">
        <f t="shared" si="11"/>
        <v>2735.4843247076387</v>
      </c>
      <c r="AI16" s="9">
        <f t="shared" si="11"/>
        <v>2776.5165895782525</v>
      </c>
      <c r="AJ16" s="10">
        <f t="shared" si="11"/>
        <v>2818.1643384219265</v>
      </c>
    </row>
    <row r="17" spans="2:36" x14ac:dyDescent="0.25">
      <c r="B17" s="24" t="s">
        <v>10</v>
      </c>
      <c r="C17" s="65">
        <v>2E-3</v>
      </c>
      <c r="D17" s="26" t="s">
        <v>181</v>
      </c>
      <c r="E17" s="88"/>
      <c r="F17" s="29" t="s">
        <v>26</v>
      </c>
      <c r="G17" s="8">
        <f>$C$25*((1+$C$32)^(G$8-1))</f>
        <v>2200</v>
      </c>
      <c r="H17" s="9">
        <f t="shared" ref="H17:AJ17" si="12">$C$25*((1+$C$32)^(H$8-1))</f>
        <v>2233</v>
      </c>
      <c r="I17" s="9">
        <f t="shared" si="12"/>
        <v>2266.4949999999994</v>
      </c>
      <c r="J17" s="9">
        <f t="shared" si="12"/>
        <v>2300.492424999999</v>
      </c>
      <c r="K17" s="9">
        <f t="shared" si="12"/>
        <v>2334.9998113749989</v>
      </c>
      <c r="L17" s="9">
        <f t="shared" si="12"/>
        <v>2370.0248085456233</v>
      </c>
      <c r="M17" s="9">
        <f t="shared" si="12"/>
        <v>2405.5751806738072</v>
      </c>
      <c r="N17" s="9">
        <f t="shared" si="12"/>
        <v>2441.6588083839142</v>
      </c>
      <c r="O17" s="9">
        <f t="shared" si="12"/>
        <v>2478.2836905096724</v>
      </c>
      <c r="P17" s="9">
        <f t="shared" si="12"/>
        <v>2515.4579458673174</v>
      </c>
      <c r="Q17" s="9">
        <f t="shared" si="12"/>
        <v>2553.189815055327</v>
      </c>
      <c r="R17" s="9">
        <f t="shared" si="12"/>
        <v>2591.4876622811562</v>
      </c>
      <c r="S17" s="9">
        <f t="shared" si="12"/>
        <v>2630.359977215373</v>
      </c>
      <c r="T17" s="9">
        <f t="shared" si="12"/>
        <v>2669.8153768736038</v>
      </c>
      <c r="U17" s="9">
        <f t="shared" si="12"/>
        <v>2709.8626075267071</v>
      </c>
      <c r="V17" s="9">
        <f t="shared" si="12"/>
        <v>2750.5105466396071</v>
      </c>
      <c r="W17" s="9">
        <f t="shared" si="12"/>
        <v>2791.7682048392007</v>
      </c>
      <c r="X17" s="9">
        <f t="shared" si="12"/>
        <v>2833.6447279117888</v>
      </c>
      <c r="Y17" s="9">
        <f t="shared" si="12"/>
        <v>2876.1493988304651</v>
      </c>
      <c r="Z17" s="9">
        <f t="shared" si="12"/>
        <v>2919.2916398129219</v>
      </c>
      <c r="AA17" s="9">
        <f t="shared" si="12"/>
        <v>2963.0810144101147</v>
      </c>
      <c r="AB17" s="9">
        <f t="shared" si="12"/>
        <v>3007.5272296262665</v>
      </c>
      <c r="AC17" s="9">
        <f t="shared" si="12"/>
        <v>3052.6401380706598</v>
      </c>
      <c r="AD17" s="9">
        <f t="shared" si="12"/>
        <v>3098.4297401417193</v>
      </c>
      <c r="AE17" s="9">
        <f t="shared" si="12"/>
        <v>3144.9061862438448</v>
      </c>
      <c r="AF17" s="9">
        <f t="shared" si="12"/>
        <v>3192.0797790375022</v>
      </c>
      <c r="AG17" s="9">
        <f t="shared" si="12"/>
        <v>3239.9609757230642</v>
      </c>
      <c r="AH17" s="9">
        <f t="shared" si="12"/>
        <v>3288.5603903589099</v>
      </c>
      <c r="AI17" s="9">
        <f t="shared" si="12"/>
        <v>3337.8887962142926</v>
      </c>
      <c r="AJ17" s="10">
        <f t="shared" si="12"/>
        <v>3387.9571281575072</v>
      </c>
    </row>
    <row r="18" spans="2:36" x14ac:dyDescent="0.25">
      <c r="B18" s="24" t="s">
        <v>11</v>
      </c>
      <c r="C18" s="9">
        <v>3000</v>
      </c>
      <c r="D18" s="10" t="s">
        <v>239</v>
      </c>
      <c r="E18" s="88"/>
      <c r="F18" s="29" t="s">
        <v>27</v>
      </c>
      <c r="G18" s="8">
        <f>$C$23*((1+$C$32)^(G$8-1))</f>
        <v>2130</v>
      </c>
      <c r="H18" s="9">
        <f t="shared" ref="H18:AJ18" si="13">$C$23*((1+$C$32)^(H$8-1))</f>
        <v>2161.9499999999998</v>
      </c>
      <c r="I18" s="9">
        <f t="shared" si="13"/>
        <v>2194.3792499999995</v>
      </c>
      <c r="J18" s="9">
        <f t="shared" si="13"/>
        <v>2227.2949387499993</v>
      </c>
      <c r="K18" s="9">
        <f t="shared" si="13"/>
        <v>2260.704362831249</v>
      </c>
      <c r="L18" s="9">
        <f t="shared" si="13"/>
        <v>2294.6149282737174</v>
      </c>
      <c r="M18" s="9">
        <f t="shared" si="13"/>
        <v>2329.0341521978226</v>
      </c>
      <c r="N18" s="9">
        <f t="shared" si="13"/>
        <v>2363.9696644807896</v>
      </c>
      <c r="O18" s="9">
        <f t="shared" si="13"/>
        <v>2399.4292094480011</v>
      </c>
      <c r="P18" s="9">
        <f t="shared" si="13"/>
        <v>2435.4206475897208</v>
      </c>
      <c r="Q18" s="9">
        <f t="shared" si="13"/>
        <v>2471.9519573035664</v>
      </c>
      <c r="R18" s="9">
        <f t="shared" si="13"/>
        <v>2509.0312366631197</v>
      </c>
      <c r="S18" s="9">
        <f t="shared" si="13"/>
        <v>2546.6667052130661</v>
      </c>
      <c r="T18" s="9">
        <f t="shared" si="13"/>
        <v>2584.8667057912617</v>
      </c>
      <c r="U18" s="9">
        <f t="shared" si="13"/>
        <v>2623.6397063781301</v>
      </c>
      <c r="V18" s="9">
        <f t="shared" si="13"/>
        <v>2662.9943019738016</v>
      </c>
      <c r="W18" s="9">
        <f t="shared" si="13"/>
        <v>2702.9392165034083</v>
      </c>
      <c r="X18" s="9">
        <f t="shared" si="13"/>
        <v>2743.4833047509587</v>
      </c>
      <c r="Y18" s="9">
        <f t="shared" si="13"/>
        <v>2784.635554322223</v>
      </c>
      <c r="Z18" s="9">
        <f t="shared" si="13"/>
        <v>2826.4050876370561</v>
      </c>
      <c r="AA18" s="9">
        <f t="shared" si="13"/>
        <v>2868.8011639516112</v>
      </c>
      <c r="AB18" s="9">
        <f t="shared" si="13"/>
        <v>2911.8331814108851</v>
      </c>
      <c r="AC18" s="9">
        <f t="shared" si="13"/>
        <v>2955.5106791320477</v>
      </c>
      <c r="AD18" s="9">
        <f t="shared" si="13"/>
        <v>2999.8433393190285</v>
      </c>
      <c r="AE18" s="9">
        <f t="shared" si="13"/>
        <v>3044.8409894088131</v>
      </c>
      <c r="AF18" s="9">
        <f t="shared" si="13"/>
        <v>3090.5136042499453</v>
      </c>
      <c r="AG18" s="9">
        <f t="shared" si="13"/>
        <v>3136.871308313694</v>
      </c>
      <c r="AH18" s="9">
        <f t="shared" si="13"/>
        <v>3183.9243779383992</v>
      </c>
      <c r="AI18" s="9">
        <f t="shared" si="13"/>
        <v>3231.6832436074742</v>
      </c>
      <c r="AJ18" s="10">
        <f t="shared" si="13"/>
        <v>3280.1584922615862</v>
      </c>
    </row>
    <row r="19" spans="2:36" x14ac:dyDescent="0.25">
      <c r="B19" s="24" t="s">
        <v>12</v>
      </c>
      <c r="C19" s="9">
        <v>3000</v>
      </c>
      <c r="D19" s="10" t="s">
        <v>239</v>
      </c>
      <c r="E19" s="88"/>
      <c r="F19" s="29" t="s">
        <v>127</v>
      </c>
      <c r="G19" s="8">
        <f>$C$26</f>
        <v>500</v>
      </c>
      <c r="H19" s="9">
        <f t="shared" ref="H19:AJ19" si="14">$C$26</f>
        <v>500</v>
      </c>
      <c r="I19" s="9">
        <f t="shared" si="14"/>
        <v>500</v>
      </c>
      <c r="J19" s="9">
        <f t="shared" si="14"/>
        <v>500</v>
      </c>
      <c r="K19" s="9">
        <f t="shared" si="14"/>
        <v>500</v>
      </c>
      <c r="L19" s="9">
        <f t="shared" si="14"/>
        <v>500</v>
      </c>
      <c r="M19" s="9">
        <f t="shared" si="14"/>
        <v>500</v>
      </c>
      <c r="N19" s="9">
        <f t="shared" si="14"/>
        <v>500</v>
      </c>
      <c r="O19" s="9">
        <f t="shared" si="14"/>
        <v>500</v>
      </c>
      <c r="P19" s="9">
        <f t="shared" si="14"/>
        <v>500</v>
      </c>
      <c r="Q19" s="9">
        <f t="shared" si="14"/>
        <v>500</v>
      </c>
      <c r="R19" s="9">
        <f t="shared" si="14"/>
        <v>500</v>
      </c>
      <c r="S19" s="9">
        <f t="shared" si="14"/>
        <v>500</v>
      </c>
      <c r="T19" s="9">
        <f t="shared" si="14"/>
        <v>500</v>
      </c>
      <c r="U19" s="9">
        <f t="shared" si="14"/>
        <v>500</v>
      </c>
      <c r="V19" s="9">
        <f t="shared" si="14"/>
        <v>500</v>
      </c>
      <c r="W19" s="9">
        <f t="shared" si="14"/>
        <v>500</v>
      </c>
      <c r="X19" s="9">
        <f t="shared" si="14"/>
        <v>500</v>
      </c>
      <c r="Y19" s="9">
        <f t="shared" si="14"/>
        <v>500</v>
      </c>
      <c r="Z19" s="9">
        <f t="shared" si="14"/>
        <v>500</v>
      </c>
      <c r="AA19" s="9">
        <f t="shared" si="14"/>
        <v>500</v>
      </c>
      <c r="AB19" s="9">
        <f t="shared" si="14"/>
        <v>500</v>
      </c>
      <c r="AC19" s="9">
        <f t="shared" si="14"/>
        <v>500</v>
      </c>
      <c r="AD19" s="9">
        <f t="shared" si="14"/>
        <v>500</v>
      </c>
      <c r="AE19" s="9">
        <f t="shared" si="14"/>
        <v>500</v>
      </c>
      <c r="AF19" s="9">
        <f t="shared" si="14"/>
        <v>500</v>
      </c>
      <c r="AG19" s="9">
        <f t="shared" si="14"/>
        <v>500</v>
      </c>
      <c r="AH19" s="9">
        <f t="shared" si="14"/>
        <v>500</v>
      </c>
      <c r="AI19" s="9">
        <f t="shared" si="14"/>
        <v>500</v>
      </c>
      <c r="AJ19" s="10">
        <f t="shared" si="14"/>
        <v>500</v>
      </c>
    </row>
    <row r="20" spans="2:36" x14ac:dyDescent="0.25">
      <c r="B20" s="24" t="s">
        <v>0</v>
      </c>
      <c r="C20" s="9">
        <v>2000</v>
      </c>
      <c r="D20" s="10" t="s">
        <v>239</v>
      </c>
      <c r="E20" s="88"/>
      <c r="F20" s="32" t="s">
        <v>28</v>
      </c>
      <c r="G20" s="6">
        <f>SUM(G16:G19)</f>
        <v>6660</v>
      </c>
      <c r="H20" s="4">
        <f t="shared" ref="H20:O20" si="15">SUM(H16:H19)</f>
        <v>6752.4</v>
      </c>
      <c r="I20" s="4">
        <f t="shared" si="15"/>
        <v>6846.1859999999979</v>
      </c>
      <c r="J20" s="4">
        <f t="shared" si="15"/>
        <v>6941.3787899999979</v>
      </c>
      <c r="K20" s="4">
        <f t="shared" si="15"/>
        <v>7037.9994718499966</v>
      </c>
      <c r="L20" s="4">
        <f t="shared" si="15"/>
        <v>7136.0694639277463</v>
      </c>
      <c r="M20" s="4">
        <f t="shared" si="15"/>
        <v>7235.6105058866606</v>
      </c>
      <c r="N20" s="4">
        <f t="shared" si="15"/>
        <v>7336.6446634749591</v>
      </c>
      <c r="O20" s="4">
        <f t="shared" si="15"/>
        <v>7439.1943334270818</v>
      </c>
      <c r="P20" s="4">
        <f>SUM(P16:P19)</f>
        <v>7543.2822484284879</v>
      </c>
      <c r="Q20" s="4">
        <f t="shared" ref="Q20:AH20" si="16">SUM(Q16:Q19)</f>
        <v>7648.931482154916</v>
      </c>
      <c r="R20" s="4">
        <f t="shared" si="16"/>
        <v>7756.1654543872382</v>
      </c>
      <c r="S20" s="4">
        <f t="shared" si="16"/>
        <v>7865.0079362030447</v>
      </c>
      <c r="T20" s="4">
        <f t="shared" si="16"/>
        <v>7975.4830552460908</v>
      </c>
      <c r="U20" s="4">
        <f t="shared" si="16"/>
        <v>8087.6153010747803</v>
      </c>
      <c r="V20" s="4">
        <f t="shared" si="16"/>
        <v>8201.4295305909</v>
      </c>
      <c r="W20" s="4">
        <f t="shared" si="16"/>
        <v>8316.9509735497631</v>
      </c>
      <c r="X20" s="4">
        <f t="shared" si="16"/>
        <v>8434.2052381530084</v>
      </c>
      <c r="Y20" s="4">
        <f t="shared" si="16"/>
        <v>8553.2183167253024</v>
      </c>
      <c r="Z20" s="4">
        <f t="shared" si="16"/>
        <v>8674.0165914761819</v>
      </c>
      <c r="AA20" s="4">
        <f t="shared" si="16"/>
        <v>8796.6268403483209</v>
      </c>
      <c r="AB20" s="4">
        <f t="shared" si="16"/>
        <v>8921.0762429535462</v>
      </c>
      <c r="AC20" s="4">
        <f t="shared" si="16"/>
        <v>9047.3923865978468</v>
      </c>
      <c r="AD20" s="4">
        <f t="shared" si="16"/>
        <v>9175.6032723968146</v>
      </c>
      <c r="AE20" s="4">
        <f t="shared" si="16"/>
        <v>9305.7373214827639</v>
      </c>
      <c r="AF20" s="4">
        <f t="shared" si="16"/>
        <v>9437.8233813050065</v>
      </c>
      <c r="AG20" s="4">
        <f t="shared" si="16"/>
        <v>9571.8907320245798</v>
      </c>
      <c r="AH20" s="4">
        <f t="shared" si="16"/>
        <v>9707.9690930049474</v>
      </c>
      <c r="AI20" s="4">
        <f>SUM(AI16:AI19)</f>
        <v>9846.0886294000193</v>
      </c>
      <c r="AJ20" s="7">
        <f t="shared" ref="AJ20" si="17">SUM(AJ16:AJ19)</f>
        <v>9986.2799588410198</v>
      </c>
    </row>
    <row r="21" spans="2:36" x14ac:dyDescent="0.25">
      <c r="B21" s="24" t="s">
        <v>13</v>
      </c>
      <c r="C21" s="9">
        <v>2100</v>
      </c>
      <c r="D21" s="10" t="s">
        <v>239</v>
      </c>
      <c r="E21" s="88"/>
      <c r="F21" s="31" t="s">
        <v>98</v>
      </c>
      <c r="G21" s="21">
        <f t="shared" ref="G21:P21" si="18">G9-G20</f>
        <v>15340</v>
      </c>
      <c r="H21" s="21">
        <f t="shared" si="18"/>
        <v>15577.599999999997</v>
      </c>
      <c r="I21" s="21">
        <f t="shared" si="18"/>
        <v>15818.763999999996</v>
      </c>
      <c r="J21" s="21">
        <f t="shared" si="18"/>
        <v>16063.545459999994</v>
      </c>
      <c r="K21" s="21">
        <f t="shared" si="18"/>
        <v>16311.998641899992</v>
      </c>
      <c r="L21" s="21">
        <f t="shared" si="18"/>
        <v>16564.178621528488</v>
      </c>
      <c r="M21" s="21">
        <f t="shared" si="18"/>
        <v>16820.141300851414</v>
      </c>
      <c r="N21" s="21">
        <f t="shared" si="18"/>
        <v>17079.943420364183</v>
      </c>
      <c r="O21" s="21">
        <f t="shared" si="18"/>
        <v>17343.642571669647</v>
      </c>
      <c r="P21" s="21">
        <f t="shared" si="18"/>
        <v>17611.297210244684</v>
      </c>
      <c r="Q21" s="21">
        <f t="shared" ref="Q21:AI21" si="19">Q9-Q20</f>
        <v>17882.966668398352</v>
      </c>
      <c r="R21" s="21">
        <f t="shared" si="19"/>
        <v>18158.711168424325</v>
      </c>
      <c r="S21" s="21">
        <f t="shared" si="19"/>
        <v>18438.591835950687</v>
      </c>
      <c r="T21" s="21">
        <f t="shared" si="19"/>
        <v>18722.670713489944</v>
      </c>
      <c r="U21" s="21">
        <f t="shared" si="19"/>
        <v>19011.010774192291</v>
      </c>
      <c r="V21" s="21">
        <f t="shared" si="19"/>
        <v>19303.675935805171</v>
      </c>
      <c r="W21" s="21">
        <f t="shared" si="19"/>
        <v>19600.731074842246</v>
      </c>
      <c r="X21" s="21">
        <f t="shared" si="19"/>
        <v>19902.242040964877</v>
      </c>
      <c r="Y21" s="21">
        <f t="shared" si="19"/>
        <v>20208.275671579351</v>
      </c>
      <c r="Z21" s="21">
        <f t="shared" si="19"/>
        <v>20518.899806653037</v>
      </c>
      <c r="AA21" s="21">
        <f t="shared" si="19"/>
        <v>20834.183303752827</v>
      </c>
      <c r="AB21" s="21">
        <f t="shared" si="19"/>
        <v>21154.196053309115</v>
      </c>
      <c r="AC21" s="21">
        <f t="shared" si="19"/>
        <v>21479.00899410875</v>
      </c>
      <c r="AD21" s="21">
        <f t="shared" si="19"/>
        <v>21808.694129020376</v>
      </c>
      <c r="AE21" s="21">
        <f t="shared" si="19"/>
        <v>22143.324540955684</v>
      </c>
      <c r="AF21" s="21">
        <f t="shared" si="19"/>
        <v>22482.974409070015</v>
      </c>
      <c r="AG21" s="21">
        <f t="shared" si="19"/>
        <v>22827.719025206061</v>
      </c>
      <c r="AH21" s="21">
        <f t="shared" si="19"/>
        <v>23177.634810584153</v>
      </c>
      <c r="AI21" s="21">
        <f t="shared" si="19"/>
        <v>23532.799332742903</v>
      </c>
      <c r="AJ21" s="22">
        <f t="shared" ref="AJ21" si="20">AJ9-AJ20</f>
        <v>23893.291322734047</v>
      </c>
    </row>
    <row r="22" spans="2:36" x14ac:dyDescent="0.25">
      <c r="B22" s="24" t="s">
        <v>14</v>
      </c>
      <c r="C22" s="57">
        <v>11</v>
      </c>
      <c r="D22" s="10" t="s">
        <v>180</v>
      </c>
      <c r="E22" s="88"/>
      <c r="F22" s="32" t="s">
        <v>101</v>
      </c>
      <c r="G22" s="12">
        <f t="shared" ref="G22:P22" si="21">G9-G14-G20</f>
        <v>9075.5721794730543</v>
      </c>
      <c r="H22" s="12">
        <f t="shared" si="21"/>
        <v>9500.5728467119188</v>
      </c>
      <c r="I22" s="12">
        <f t="shared" si="21"/>
        <v>9931.9679304038218</v>
      </c>
      <c r="J22" s="12">
        <f t="shared" si="21"/>
        <v>10369.853639901889</v>
      </c>
      <c r="K22" s="12">
        <f t="shared" si="21"/>
        <v>10814.327632126469</v>
      </c>
      <c r="L22" s="12">
        <f t="shared" si="21"/>
        <v>11265.489033345533</v>
      </c>
      <c r="M22" s="12">
        <f t="shared" si="21"/>
        <v>11723.438461282767</v>
      </c>
      <c r="N22" s="12">
        <f t="shared" si="21"/>
        <v>12188.278047558284</v>
      </c>
      <c r="O22" s="12">
        <f t="shared" si="21"/>
        <v>12660.111460467009</v>
      </c>
      <c r="P22" s="12">
        <f t="shared" si="21"/>
        <v>13139.043928099814</v>
      </c>
      <c r="Q22" s="12">
        <f t="shared" ref="Q22:AI22" si="22">Q9-Q14-Q20</f>
        <v>13625.182261812522</v>
      </c>
      <c r="R22" s="12">
        <f t="shared" si="22"/>
        <v>14118.634880048008</v>
      </c>
      <c r="S22" s="12">
        <f t="shared" si="22"/>
        <v>14619.5118325168</v>
      </c>
      <c r="T22" s="12">
        <f t="shared" si="22"/>
        <v>15127.924824741462</v>
      </c>
      <c r="U22" s="12">
        <f t="shared" si="22"/>
        <v>15643.987242970281</v>
      </c>
      <c r="V22" s="12">
        <f t="shared" si="22"/>
        <v>16167.814179465855</v>
      </c>
      <c r="W22" s="12">
        <f t="shared" si="22"/>
        <v>16699.522458174142</v>
      </c>
      <c r="X22" s="12">
        <f t="shared" si="22"/>
        <v>17239.230660779744</v>
      </c>
      <c r="Y22" s="12">
        <f t="shared" si="22"/>
        <v>17787.059153153266</v>
      </c>
      <c r="Z22" s="12">
        <f t="shared" si="22"/>
        <v>18343.130112196523</v>
      </c>
      <c r="AA22" s="12">
        <f t="shared" si="22"/>
        <v>18907.567553091802</v>
      </c>
      <c r="AB22" s="12">
        <f t="shared" si="22"/>
        <v>19480.497356960997</v>
      </c>
      <c r="AC22" s="12">
        <f t="shared" si="22"/>
        <v>20062.047298941019</v>
      </c>
      <c r="AD22" s="12">
        <f t="shared" si="22"/>
        <v>20652.347076681559</v>
      </c>
      <c r="AE22" s="12">
        <f t="shared" si="22"/>
        <v>21251.528339271685</v>
      </c>
      <c r="AF22" s="12">
        <f t="shared" si="22"/>
        <v>22482.974409070015</v>
      </c>
      <c r="AG22" s="12">
        <f t="shared" si="22"/>
        <v>22827.719025206061</v>
      </c>
      <c r="AH22" s="12">
        <f t="shared" si="22"/>
        <v>23177.634810584153</v>
      </c>
      <c r="AI22" s="12">
        <f t="shared" si="22"/>
        <v>23532.799332742903</v>
      </c>
      <c r="AJ22" s="13">
        <f t="shared" ref="AJ22" si="23">AJ9-AJ14-AJ20</f>
        <v>23893.291322734047</v>
      </c>
    </row>
    <row r="23" spans="2:36" x14ac:dyDescent="0.25">
      <c r="B23" s="24" t="s">
        <v>15</v>
      </c>
      <c r="C23" s="9">
        <v>2130</v>
      </c>
      <c r="D23" s="10" t="s">
        <v>239</v>
      </c>
      <c r="E23" s="88"/>
      <c r="F23" s="30" t="s">
        <v>99</v>
      </c>
      <c r="G23" s="4">
        <f t="shared" ref="G23:P23" si="24">G9-G10-G14-G20</f>
        <v>-3332.1461419131665</v>
      </c>
      <c r="H23" s="4">
        <f t="shared" si="24"/>
        <v>-3094.5461419131698</v>
      </c>
      <c r="I23" s="4">
        <f t="shared" si="24"/>
        <v>-2853.3821419131709</v>
      </c>
      <c r="J23" s="4">
        <f t="shared" si="24"/>
        <v>-2608.6006819131717</v>
      </c>
      <c r="K23" s="4">
        <f t="shared" si="24"/>
        <v>-2360.1475000131741</v>
      </c>
      <c r="L23" s="4">
        <f t="shared" si="24"/>
        <v>-2107.9675203846782</v>
      </c>
      <c r="M23" s="4">
        <f t="shared" si="24"/>
        <v>-1852.0048410617537</v>
      </c>
      <c r="N23" s="4">
        <f t="shared" si="24"/>
        <v>-1592.2027215489834</v>
      </c>
      <c r="O23" s="4">
        <f t="shared" si="24"/>
        <v>-1328.5035702435216</v>
      </c>
      <c r="P23" s="4">
        <f t="shared" si="24"/>
        <v>-1060.8489316684827</v>
      </c>
      <c r="Q23" s="4">
        <f t="shared" ref="Q23:AI23" si="25">Q9-Q10-Q14-Q20</f>
        <v>-789.17947351481416</v>
      </c>
      <c r="R23" s="4">
        <f t="shared" si="25"/>
        <v>-513.43497348884102</v>
      </c>
      <c r="S23" s="4">
        <f t="shared" si="25"/>
        <v>-233.5543059624797</v>
      </c>
      <c r="T23" s="4">
        <f t="shared" si="25"/>
        <v>50.524571576778726</v>
      </c>
      <c r="U23" s="4">
        <f t="shared" si="25"/>
        <v>338.86463227912463</v>
      </c>
      <c r="V23" s="4">
        <f t="shared" si="25"/>
        <v>631.52979389200482</v>
      </c>
      <c r="W23" s="4">
        <f t="shared" si="25"/>
        <v>928.58493292907951</v>
      </c>
      <c r="X23" s="4">
        <f t="shared" si="25"/>
        <v>1230.0958990517101</v>
      </c>
      <c r="Y23" s="4">
        <f t="shared" si="25"/>
        <v>1536.1295296661847</v>
      </c>
      <c r="Z23" s="4">
        <f t="shared" si="25"/>
        <v>1846.7536647398701</v>
      </c>
      <c r="AA23" s="4">
        <f t="shared" si="25"/>
        <v>2162.0371618396621</v>
      </c>
      <c r="AB23" s="4">
        <f t="shared" si="25"/>
        <v>2482.0499113959486</v>
      </c>
      <c r="AC23" s="4">
        <f t="shared" si="25"/>
        <v>2806.8628521955834</v>
      </c>
      <c r="AD23" s="4">
        <f t="shared" si="25"/>
        <v>3136.5479871072112</v>
      </c>
      <c r="AE23" s="4">
        <f t="shared" si="25"/>
        <v>3471.1783990425174</v>
      </c>
      <c r="AF23" s="4">
        <f t="shared" si="25"/>
        <v>22482.974409070015</v>
      </c>
      <c r="AG23" s="4">
        <f t="shared" si="25"/>
        <v>22827.719025206061</v>
      </c>
      <c r="AH23" s="4">
        <f t="shared" si="25"/>
        <v>23177.634810584153</v>
      </c>
      <c r="AI23" s="4">
        <f t="shared" si="25"/>
        <v>23532.799332742903</v>
      </c>
      <c r="AJ23" s="7">
        <f t="shared" ref="AJ23" si="26">AJ9-AJ10-AJ14-AJ20</f>
        <v>23893.291322734047</v>
      </c>
    </row>
    <row r="24" spans="2:36" x14ac:dyDescent="0.25">
      <c r="B24" s="24" t="s">
        <v>16</v>
      </c>
      <c r="C24" s="9">
        <v>1830</v>
      </c>
      <c r="D24" s="10" t="s">
        <v>239</v>
      </c>
      <c r="E24" s="88"/>
      <c r="F24" s="29" t="s">
        <v>29</v>
      </c>
      <c r="G24" s="8">
        <f>IF(G8&lt;=30,$C$9*0.9/30,0)</f>
        <v>9000</v>
      </c>
      <c r="H24" s="9">
        <f t="shared" ref="H24:P24" si="27">IF(H8&lt;=30,$C$9*0.9/30,0)</f>
        <v>9000</v>
      </c>
      <c r="I24" s="9">
        <f t="shared" si="27"/>
        <v>9000</v>
      </c>
      <c r="J24" s="9">
        <f t="shared" si="27"/>
        <v>9000</v>
      </c>
      <c r="K24" s="9">
        <f t="shared" si="27"/>
        <v>9000</v>
      </c>
      <c r="L24" s="9">
        <f t="shared" si="27"/>
        <v>9000</v>
      </c>
      <c r="M24" s="9">
        <f t="shared" si="27"/>
        <v>9000</v>
      </c>
      <c r="N24" s="9">
        <f t="shared" si="27"/>
        <v>9000</v>
      </c>
      <c r="O24" s="9">
        <f t="shared" si="27"/>
        <v>9000</v>
      </c>
      <c r="P24" s="9">
        <f t="shared" si="27"/>
        <v>9000</v>
      </c>
      <c r="Q24" s="9">
        <f t="shared" ref="Q24:AI24" si="28">IF(Q8&lt;=30,$C$9*0.9/30,0)</f>
        <v>9000</v>
      </c>
      <c r="R24" s="9">
        <f t="shared" si="28"/>
        <v>9000</v>
      </c>
      <c r="S24" s="9">
        <f t="shared" si="28"/>
        <v>9000</v>
      </c>
      <c r="T24" s="9">
        <f t="shared" si="28"/>
        <v>9000</v>
      </c>
      <c r="U24" s="9">
        <f t="shared" si="28"/>
        <v>9000</v>
      </c>
      <c r="V24" s="9">
        <f t="shared" si="28"/>
        <v>9000</v>
      </c>
      <c r="W24" s="9">
        <f t="shared" si="28"/>
        <v>9000</v>
      </c>
      <c r="X24" s="9">
        <f t="shared" si="28"/>
        <v>9000</v>
      </c>
      <c r="Y24" s="9">
        <f t="shared" si="28"/>
        <v>9000</v>
      </c>
      <c r="Z24" s="9">
        <f t="shared" si="28"/>
        <v>9000</v>
      </c>
      <c r="AA24" s="9">
        <f t="shared" si="28"/>
        <v>9000</v>
      </c>
      <c r="AB24" s="9">
        <f t="shared" si="28"/>
        <v>9000</v>
      </c>
      <c r="AC24" s="9">
        <f t="shared" si="28"/>
        <v>9000</v>
      </c>
      <c r="AD24" s="9">
        <f t="shared" si="28"/>
        <v>9000</v>
      </c>
      <c r="AE24" s="9">
        <f t="shared" si="28"/>
        <v>9000</v>
      </c>
      <c r="AF24" s="9">
        <f t="shared" si="28"/>
        <v>9000</v>
      </c>
      <c r="AG24" s="9">
        <f t="shared" si="28"/>
        <v>9000</v>
      </c>
      <c r="AH24" s="9">
        <f t="shared" si="28"/>
        <v>9000</v>
      </c>
      <c r="AI24" s="9">
        <f t="shared" si="28"/>
        <v>9000</v>
      </c>
      <c r="AJ24" s="10">
        <f t="shared" ref="AJ24" si="29">IF(AJ8&lt;=30,$C$9*0.9/30,0)</f>
        <v>9000</v>
      </c>
    </row>
    <row r="25" spans="2:36" x14ac:dyDescent="0.25">
      <c r="B25" s="24" t="s">
        <v>1</v>
      </c>
      <c r="C25" s="9">
        <v>2200</v>
      </c>
      <c r="D25" s="10" t="s">
        <v>239</v>
      </c>
      <c r="E25" s="88"/>
      <c r="F25" s="29" t="s">
        <v>30</v>
      </c>
      <c r="G25" s="8">
        <f t="shared" ref="G25:P25" si="30">IF(G8&lt;=10,$C$10/10,0)</f>
        <v>5000</v>
      </c>
      <c r="H25" s="9">
        <f t="shared" si="30"/>
        <v>5000</v>
      </c>
      <c r="I25" s="9">
        <f t="shared" si="30"/>
        <v>5000</v>
      </c>
      <c r="J25" s="9">
        <f t="shared" si="30"/>
        <v>5000</v>
      </c>
      <c r="K25" s="9">
        <f t="shared" si="30"/>
        <v>5000</v>
      </c>
      <c r="L25" s="9">
        <f t="shared" si="30"/>
        <v>5000</v>
      </c>
      <c r="M25" s="9">
        <f t="shared" si="30"/>
        <v>5000</v>
      </c>
      <c r="N25" s="9">
        <f t="shared" si="30"/>
        <v>5000</v>
      </c>
      <c r="O25" s="9">
        <f t="shared" si="30"/>
        <v>5000</v>
      </c>
      <c r="P25" s="9">
        <f t="shared" si="30"/>
        <v>5000</v>
      </c>
      <c r="Q25" s="9">
        <f t="shared" ref="Q25:AI25" si="31">IF(Q8&lt;=10,$C$10/10,0)</f>
        <v>0</v>
      </c>
      <c r="R25" s="9">
        <f t="shared" si="31"/>
        <v>0</v>
      </c>
      <c r="S25" s="9">
        <f t="shared" si="31"/>
        <v>0</v>
      </c>
      <c r="T25" s="9">
        <f t="shared" si="31"/>
        <v>0</v>
      </c>
      <c r="U25" s="9">
        <f t="shared" si="31"/>
        <v>0</v>
      </c>
      <c r="V25" s="9">
        <f t="shared" si="31"/>
        <v>0</v>
      </c>
      <c r="W25" s="9">
        <f t="shared" si="31"/>
        <v>0</v>
      </c>
      <c r="X25" s="9">
        <f t="shared" si="31"/>
        <v>0</v>
      </c>
      <c r="Y25" s="9">
        <f t="shared" si="31"/>
        <v>0</v>
      </c>
      <c r="Z25" s="9">
        <f t="shared" si="31"/>
        <v>0</v>
      </c>
      <c r="AA25" s="9">
        <f t="shared" si="31"/>
        <v>0</v>
      </c>
      <c r="AB25" s="9">
        <f t="shared" si="31"/>
        <v>0</v>
      </c>
      <c r="AC25" s="9">
        <f t="shared" si="31"/>
        <v>0</v>
      </c>
      <c r="AD25" s="9">
        <f t="shared" si="31"/>
        <v>0</v>
      </c>
      <c r="AE25" s="9">
        <f t="shared" si="31"/>
        <v>0</v>
      </c>
      <c r="AF25" s="9">
        <f t="shared" si="31"/>
        <v>0</v>
      </c>
      <c r="AG25" s="9">
        <f t="shared" si="31"/>
        <v>0</v>
      </c>
      <c r="AH25" s="9">
        <f t="shared" si="31"/>
        <v>0</v>
      </c>
      <c r="AI25" s="9">
        <f t="shared" si="31"/>
        <v>0</v>
      </c>
      <c r="AJ25" s="10">
        <f t="shared" ref="AJ25" si="32">IF(AJ8&lt;=10,$C$10/10,0)</f>
        <v>0</v>
      </c>
    </row>
    <row r="26" spans="2:36" x14ac:dyDescent="0.25">
      <c r="B26" s="24" t="s">
        <v>17</v>
      </c>
      <c r="C26" s="57">
        <v>500</v>
      </c>
      <c r="D26" s="10" t="s">
        <v>239</v>
      </c>
      <c r="E26" s="88"/>
      <c r="F26" s="29" t="s">
        <v>31</v>
      </c>
      <c r="G26" s="8">
        <f t="shared" ref="G26:P26" si="33">IF(G8&lt;=7,$C$11/7,0)</f>
        <v>714.28571428571433</v>
      </c>
      <c r="H26" s="9">
        <f t="shared" si="33"/>
        <v>714.28571428571433</v>
      </c>
      <c r="I26" s="9">
        <f t="shared" si="33"/>
        <v>714.28571428571433</v>
      </c>
      <c r="J26" s="9">
        <f t="shared" si="33"/>
        <v>714.28571428571433</v>
      </c>
      <c r="K26" s="9">
        <f t="shared" si="33"/>
        <v>714.28571428571433</v>
      </c>
      <c r="L26" s="9">
        <f t="shared" si="33"/>
        <v>714.28571428571433</v>
      </c>
      <c r="M26" s="9">
        <f t="shared" si="33"/>
        <v>714.28571428571433</v>
      </c>
      <c r="N26" s="9">
        <f t="shared" si="33"/>
        <v>0</v>
      </c>
      <c r="O26" s="9">
        <f t="shared" si="33"/>
        <v>0</v>
      </c>
      <c r="P26" s="9">
        <f t="shared" si="33"/>
        <v>0</v>
      </c>
      <c r="Q26" s="9">
        <f t="shared" ref="Q26:AI26" si="34">IF(Q8&lt;=7,$C$11/7,0)</f>
        <v>0</v>
      </c>
      <c r="R26" s="9">
        <f t="shared" si="34"/>
        <v>0</v>
      </c>
      <c r="S26" s="9">
        <f t="shared" si="34"/>
        <v>0</v>
      </c>
      <c r="T26" s="9">
        <f t="shared" si="34"/>
        <v>0</v>
      </c>
      <c r="U26" s="9">
        <f t="shared" si="34"/>
        <v>0</v>
      </c>
      <c r="V26" s="9">
        <f t="shared" si="34"/>
        <v>0</v>
      </c>
      <c r="W26" s="9">
        <f t="shared" si="34"/>
        <v>0</v>
      </c>
      <c r="X26" s="9">
        <f t="shared" si="34"/>
        <v>0</v>
      </c>
      <c r="Y26" s="9">
        <f t="shared" si="34"/>
        <v>0</v>
      </c>
      <c r="Z26" s="9">
        <f t="shared" si="34"/>
        <v>0</v>
      </c>
      <c r="AA26" s="9">
        <f t="shared" si="34"/>
        <v>0</v>
      </c>
      <c r="AB26" s="9">
        <f t="shared" si="34"/>
        <v>0</v>
      </c>
      <c r="AC26" s="9">
        <f t="shared" si="34"/>
        <v>0</v>
      </c>
      <c r="AD26" s="9">
        <f t="shared" si="34"/>
        <v>0</v>
      </c>
      <c r="AE26" s="9">
        <f t="shared" si="34"/>
        <v>0</v>
      </c>
      <c r="AF26" s="9">
        <f t="shared" si="34"/>
        <v>0</v>
      </c>
      <c r="AG26" s="9">
        <f t="shared" si="34"/>
        <v>0</v>
      </c>
      <c r="AH26" s="9">
        <f t="shared" si="34"/>
        <v>0</v>
      </c>
      <c r="AI26" s="9">
        <f t="shared" si="34"/>
        <v>0</v>
      </c>
      <c r="AJ26" s="10">
        <f t="shared" ref="AJ26" si="35">IF(AJ8&lt;=7,$C$11/7,0)</f>
        <v>0</v>
      </c>
    </row>
    <row r="27" spans="2:36" x14ac:dyDescent="0.25">
      <c r="B27" s="24" t="s">
        <v>18</v>
      </c>
      <c r="C27" s="9">
        <v>30000</v>
      </c>
      <c r="D27" s="10" t="s">
        <v>239</v>
      </c>
      <c r="E27" s="88"/>
      <c r="F27" s="29" t="s">
        <v>32</v>
      </c>
      <c r="G27" s="8">
        <f>IF(G8&lt;30,(($C$9*$C$12)+$C$13)/30,0)</f>
        <v>1416.6666666666667</v>
      </c>
      <c r="H27" s="9">
        <f t="shared" ref="H27:P27" si="36">IF(H8&lt;30,(($C$9*$C$12)+$C$13)/30,0)</f>
        <v>1416.6666666666667</v>
      </c>
      <c r="I27" s="9">
        <f t="shared" si="36"/>
        <v>1416.6666666666667</v>
      </c>
      <c r="J27" s="9">
        <f t="shared" si="36"/>
        <v>1416.6666666666667</v>
      </c>
      <c r="K27" s="9">
        <f t="shared" si="36"/>
        <v>1416.6666666666667</v>
      </c>
      <c r="L27" s="9">
        <f t="shared" si="36"/>
        <v>1416.6666666666667</v>
      </c>
      <c r="M27" s="9">
        <f t="shared" si="36"/>
        <v>1416.6666666666667</v>
      </c>
      <c r="N27" s="9">
        <f t="shared" si="36"/>
        <v>1416.6666666666667</v>
      </c>
      <c r="O27" s="9">
        <f t="shared" si="36"/>
        <v>1416.6666666666667</v>
      </c>
      <c r="P27" s="9">
        <f t="shared" si="36"/>
        <v>1416.6666666666667</v>
      </c>
      <c r="Q27" s="9">
        <f t="shared" ref="Q27:AI27" si="37">IF(Q8&lt;30,(($C$9*$C$12)+$C$13)/30,0)</f>
        <v>1416.6666666666667</v>
      </c>
      <c r="R27" s="9">
        <f t="shared" si="37"/>
        <v>1416.6666666666667</v>
      </c>
      <c r="S27" s="9">
        <f t="shared" si="37"/>
        <v>1416.6666666666667</v>
      </c>
      <c r="T27" s="9">
        <f t="shared" si="37"/>
        <v>1416.6666666666667</v>
      </c>
      <c r="U27" s="9">
        <f t="shared" si="37"/>
        <v>1416.6666666666667</v>
      </c>
      <c r="V27" s="9">
        <f t="shared" si="37"/>
        <v>1416.6666666666667</v>
      </c>
      <c r="W27" s="9">
        <f t="shared" si="37"/>
        <v>1416.6666666666667</v>
      </c>
      <c r="X27" s="9">
        <f t="shared" si="37"/>
        <v>1416.6666666666667</v>
      </c>
      <c r="Y27" s="9">
        <f t="shared" si="37"/>
        <v>1416.6666666666667</v>
      </c>
      <c r="Z27" s="9">
        <f t="shared" si="37"/>
        <v>1416.6666666666667</v>
      </c>
      <c r="AA27" s="9">
        <f t="shared" si="37"/>
        <v>1416.6666666666667</v>
      </c>
      <c r="AB27" s="9">
        <f t="shared" si="37"/>
        <v>1416.6666666666667</v>
      </c>
      <c r="AC27" s="9">
        <f t="shared" si="37"/>
        <v>1416.6666666666667</v>
      </c>
      <c r="AD27" s="9">
        <f t="shared" si="37"/>
        <v>1416.6666666666667</v>
      </c>
      <c r="AE27" s="9">
        <f t="shared" si="37"/>
        <v>1416.6666666666667</v>
      </c>
      <c r="AF27" s="9">
        <f t="shared" si="37"/>
        <v>1416.6666666666667</v>
      </c>
      <c r="AG27" s="9">
        <f t="shared" si="37"/>
        <v>1416.6666666666667</v>
      </c>
      <c r="AH27" s="9">
        <f t="shared" si="37"/>
        <v>1416.6666666666667</v>
      </c>
      <c r="AI27" s="9">
        <f t="shared" si="37"/>
        <v>1416.6666666666667</v>
      </c>
      <c r="AJ27" s="10">
        <f t="shared" ref="AJ27" si="38">IF(AJ8&lt;30,(($C$9*$C$12)+$C$13)/30,0)</f>
        <v>0</v>
      </c>
    </row>
    <row r="28" spans="2:36" x14ac:dyDescent="0.25">
      <c r="B28" s="24" t="s">
        <v>19</v>
      </c>
      <c r="C28" s="67">
        <v>0.04</v>
      </c>
      <c r="D28" s="26" t="s">
        <v>181</v>
      </c>
      <c r="E28" s="88"/>
      <c r="F28" s="30" t="s">
        <v>37</v>
      </c>
      <c r="G28" s="11">
        <f>SUM(G24:G27)</f>
        <v>16130.95238095238</v>
      </c>
      <c r="H28" s="12">
        <f t="shared" ref="H28:O28" si="39">SUM(H24:H27)</f>
        <v>16130.95238095238</v>
      </c>
      <c r="I28" s="12">
        <f t="shared" si="39"/>
        <v>16130.95238095238</v>
      </c>
      <c r="J28" s="12">
        <f t="shared" si="39"/>
        <v>16130.95238095238</v>
      </c>
      <c r="K28" s="12">
        <f t="shared" si="39"/>
        <v>16130.95238095238</v>
      </c>
      <c r="L28" s="12">
        <f t="shared" si="39"/>
        <v>16130.95238095238</v>
      </c>
      <c r="M28" s="12">
        <f t="shared" si="39"/>
        <v>16130.95238095238</v>
      </c>
      <c r="N28" s="12">
        <f t="shared" si="39"/>
        <v>15416.666666666666</v>
      </c>
      <c r="O28" s="12">
        <f t="shared" si="39"/>
        <v>15416.666666666666</v>
      </c>
      <c r="P28" s="12">
        <f>SUM(P24:P27)</f>
        <v>15416.666666666666</v>
      </c>
      <c r="Q28" s="12">
        <f t="shared" ref="Q28:AH28" si="40">SUM(Q24:Q27)</f>
        <v>10416.666666666666</v>
      </c>
      <c r="R28" s="12">
        <f t="shared" si="40"/>
        <v>10416.666666666666</v>
      </c>
      <c r="S28" s="12">
        <f t="shared" si="40"/>
        <v>10416.666666666666</v>
      </c>
      <c r="T28" s="12">
        <f t="shared" si="40"/>
        <v>10416.666666666666</v>
      </c>
      <c r="U28" s="12">
        <f t="shared" si="40"/>
        <v>10416.666666666666</v>
      </c>
      <c r="V28" s="12">
        <f t="shared" si="40"/>
        <v>10416.666666666666</v>
      </c>
      <c r="W28" s="12">
        <f t="shared" si="40"/>
        <v>10416.666666666666</v>
      </c>
      <c r="X28" s="12">
        <f t="shared" si="40"/>
        <v>10416.666666666666</v>
      </c>
      <c r="Y28" s="12">
        <f t="shared" si="40"/>
        <v>10416.666666666666</v>
      </c>
      <c r="Z28" s="12">
        <f t="shared" si="40"/>
        <v>10416.666666666666</v>
      </c>
      <c r="AA28" s="12">
        <f t="shared" si="40"/>
        <v>10416.666666666666</v>
      </c>
      <c r="AB28" s="12">
        <f t="shared" si="40"/>
        <v>10416.666666666666</v>
      </c>
      <c r="AC28" s="12">
        <f t="shared" si="40"/>
        <v>10416.666666666666</v>
      </c>
      <c r="AD28" s="12">
        <f t="shared" si="40"/>
        <v>10416.666666666666</v>
      </c>
      <c r="AE28" s="12">
        <f t="shared" si="40"/>
        <v>10416.666666666666</v>
      </c>
      <c r="AF28" s="12">
        <f t="shared" si="40"/>
        <v>10416.666666666666</v>
      </c>
      <c r="AG28" s="12">
        <f t="shared" si="40"/>
        <v>10416.666666666666</v>
      </c>
      <c r="AH28" s="12">
        <f t="shared" si="40"/>
        <v>10416.666666666666</v>
      </c>
      <c r="AI28" s="12">
        <f>SUM(AI24:AI27)</f>
        <v>10416.666666666666</v>
      </c>
      <c r="AJ28" s="13">
        <f t="shared" ref="AJ28" si="41">SUM(AJ24:AJ27)</f>
        <v>9000</v>
      </c>
    </row>
    <row r="29" spans="2:36" x14ac:dyDescent="0.25">
      <c r="B29" s="24" t="s">
        <v>20</v>
      </c>
      <c r="C29" s="9">
        <v>30000</v>
      </c>
      <c r="D29" s="10" t="s">
        <v>239</v>
      </c>
      <c r="E29" s="88"/>
      <c r="F29" s="31" t="s">
        <v>35</v>
      </c>
      <c r="G29" s="23">
        <f>IF(G8=1,G14+G20+G28+$C$18,G14+G20+G28)</f>
        <v>32055.380201479325</v>
      </c>
      <c r="H29" s="21">
        <f t="shared" ref="H29:P29" si="42">IF(H8=1,H14+H20+H28+$C$18,H14+H20+H28)</f>
        <v>28960.379534240456</v>
      </c>
      <c r="I29" s="21">
        <f t="shared" si="42"/>
        <v>28863.93445054855</v>
      </c>
      <c r="J29" s="21">
        <f t="shared" si="42"/>
        <v>28766.022991050486</v>
      </c>
      <c r="K29" s="21">
        <f t="shared" si="42"/>
        <v>28666.622862575903</v>
      </c>
      <c r="L29" s="21">
        <f t="shared" si="42"/>
        <v>28565.711433063079</v>
      </c>
      <c r="M29" s="21">
        <f t="shared" si="42"/>
        <v>28463.265726407684</v>
      </c>
      <c r="N29" s="21">
        <f t="shared" si="42"/>
        <v>27644.976702947526</v>
      </c>
      <c r="O29" s="21">
        <f t="shared" si="42"/>
        <v>27539.39211129638</v>
      </c>
      <c r="P29" s="21">
        <f t="shared" si="42"/>
        <v>27432.202197240022</v>
      </c>
      <c r="Q29" s="21">
        <f t="shared" ref="Q29:AI29" si="43">IF(Q8=1,Q14+Q20+Q28+$C$18,Q14+Q20+Q28)</f>
        <v>22323.382555407414</v>
      </c>
      <c r="R29" s="21">
        <f t="shared" si="43"/>
        <v>22212.908409430223</v>
      </c>
      <c r="S29" s="21">
        <f t="shared" si="43"/>
        <v>22100.754606303599</v>
      </c>
      <c r="T29" s="21">
        <f t="shared" si="43"/>
        <v>21986.895610661239</v>
      </c>
      <c r="U29" s="21">
        <f t="shared" si="43"/>
        <v>21871.305498963458</v>
      </c>
      <c r="V29" s="21">
        <f t="shared" si="43"/>
        <v>21753.957953596881</v>
      </c>
      <c r="W29" s="21">
        <f t="shared" si="43"/>
        <v>21634.826256884535</v>
      </c>
      <c r="X29" s="21">
        <f t="shared" si="43"/>
        <v>21513.883285004806</v>
      </c>
      <c r="Y29" s="21">
        <f t="shared" si="43"/>
        <v>21391.101501818055</v>
      </c>
      <c r="Z29" s="21">
        <f t="shared" si="43"/>
        <v>21266.452952599364</v>
      </c>
      <c r="AA29" s="21">
        <f t="shared" si="43"/>
        <v>21139.909257676016</v>
      </c>
      <c r="AB29" s="21">
        <f t="shared" si="43"/>
        <v>21011.441605968328</v>
      </c>
      <c r="AC29" s="21">
        <f t="shared" si="43"/>
        <v>20881.020748432245</v>
      </c>
      <c r="AD29" s="21">
        <f t="shared" si="43"/>
        <v>20748.616991402301</v>
      </c>
      <c r="AE29" s="21">
        <f t="shared" si="43"/>
        <v>20614.200189833427</v>
      </c>
      <c r="AF29" s="21">
        <f t="shared" si="43"/>
        <v>19854.490047971674</v>
      </c>
      <c r="AG29" s="21">
        <f t="shared" si="43"/>
        <v>19988.557398691246</v>
      </c>
      <c r="AH29" s="21">
        <f t="shared" si="43"/>
        <v>20124.635759671612</v>
      </c>
      <c r="AI29" s="21">
        <f t="shared" si="43"/>
        <v>20262.755296066687</v>
      </c>
      <c r="AJ29" s="22">
        <f t="shared" ref="AJ29" si="44">IF(AJ8=1,AJ14+AJ20+AJ28+$C$18,AJ14+AJ20+AJ28)</f>
        <v>18986.27995884102</v>
      </c>
    </row>
    <row r="30" spans="2:36" x14ac:dyDescent="0.25">
      <c r="B30" s="24" t="s">
        <v>21</v>
      </c>
      <c r="C30" s="68">
        <v>0.08</v>
      </c>
      <c r="D30" s="26" t="s">
        <v>181</v>
      </c>
      <c r="E30" s="88"/>
      <c r="F30" s="32" t="s">
        <v>36</v>
      </c>
      <c r="G30" s="11">
        <f t="shared" ref="G30:P30" si="45">IF(G8=1,0,IF(F30+F29-F9&gt;0,F30+F29-F9,0))</f>
        <v>0</v>
      </c>
      <c r="H30" s="12">
        <f t="shared" si="45"/>
        <v>10055.380201479325</v>
      </c>
      <c r="I30" s="12">
        <f t="shared" si="45"/>
        <v>16685.759735719785</v>
      </c>
      <c r="J30" s="12">
        <f t="shared" si="45"/>
        <v>22884.744186268337</v>
      </c>
      <c r="K30" s="12">
        <f t="shared" si="45"/>
        <v>28645.842927318827</v>
      </c>
      <c r="L30" s="12">
        <f t="shared" si="45"/>
        <v>33962.467676144748</v>
      </c>
      <c r="M30" s="12">
        <f t="shared" si="45"/>
        <v>38827.931023751589</v>
      </c>
      <c r="N30" s="12">
        <f t="shared" si="45"/>
        <v>43235.4449434212</v>
      </c>
      <c r="O30" s="12">
        <f t="shared" si="45"/>
        <v>46463.833562529573</v>
      </c>
      <c r="P30" s="12">
        <f t="shared" si="45"/>
        <v>49220.388768729215</v>
      </c>
      <c r="Q30" s="12">
        <f t="shared" ref="Q30" si="46">IF(Q8=1,0,IF(P30+P29-P9&gt;0,P30+P29-P9,0))</f>
        <v>51498.011507296069</v>
      </c>
      <c r="R30" s="12">
        <f t="shared" ref="R30" si="47">IF(R8=1,0,IF(Q30+Q29-Q9&gt;0,Q30+Q29-Q9,0))</f>
        <v>48289.495912150203</v>
      </c>
      <c r="S30" s="12">
        <f t="shared" ref="S30" si="48">IF(S8=1,0,IF(R30+R29-R9&gt;0,R30+R29-R9,0))</f>
        <v>44587.527698768863</v>
      </c>
      <c r="T30" s="12">
        <f t="shared" ref="T30" si="49">IF(T8=1,0,IF(S30+S29-S9&gt;0,S30+S29-S9,0))</f>
        <v>40384.682532918741</v>
      </c>
      <c r="U30" s="12">
        <f t="shared" ref="U30" si="50">IF(U8=1,0,IF(T30+T29-T9&gt;0,T30+T29-T9,0))</f>
        <v>35673.424374843948</v>
      </c>
      <c r="V30" s="12">
        <f t="shared" ref="V30" si="51">IF(V8=1,0,IF(U30+U29-U9&gt;0,U30+U29-U9,0))</f>
        <v>30446.103798540331</v>
      </c>
      <c r="W30" s="12">
        <f t="shared" ref="W30" si="52">IF(W8=1,0,IF(V30+V29-V9&gt;0,V30+V29-V9,0))</f>
        <v>24694.95628574114</v>
      </c>
      <c r="X30" s="12">
        <f t="shared" ref="X30" si="53">IF(X8=1,0,IF(W30+W29-W9&gt;0,W30+W29-W9,0))</f>
        <v>18412.100494233666</v>
      </c>
      <c r="Y30" s="12">
        <f t="shared" ref="Y30" si="54">IF(Y8=1,0,IF(X30+X29-X9&gt;0,X30+X29-X9,0))</f>
        <v>11589.536500120586</v>
      </c>
      <c r="Z30" s="12">
        <f t="shared" ref="Z30" si="55">IF(Z8=1,0,IF(Y30+Y29-Y9&gt;0,Y30+Y29-Y9,0))</f>
        <v>4219.1440136339879</v>
      </c>
      <c r="AA30" s="12">
        <f t="shared" ref="AA30" si="56">IF(AA8=1,0,IF(Z30+Z29-Z9&gt;0,Z30+Z29-Z9,0))</f>
        <v>0</v>
      </c>
      <c r="AB30" s="12">
        <f t="shared" ref="AB30" si="57">IF(AB8=1,0,IF(AA30+AA29-AA9&gt;0,AA30+AA29-AA9,0))</f>
        <v>0</v>
      </c>
      <c r="AC30" s="12">
        <f t="shared" ref="AC30" si="58">IF(AC8=1,0,IF(AB30+AB29-AB9&gt;0,AB30+AB29-AB9,0))</f>
        <v>0</v>
      </c>
      <c r="AD30" s="12">
        <f t="shared" ref="AD30" si="59">IF(AD8=1,0,IF(AC30+AC29-AC9&gt;0,AC30+AC29-AC9,0))</f>
        <v>0</v>
      </c>
      <c r="AE30" s="12">
        <f t="shared" ref="AE30" si="60">IF(AE8=1,0,IF(AD30+AD29-AD9&gt;0,AD30+AD29-AD9,0))</f>
        <v>0</v>
      </c>
      <c r="AF30" s="12">
        <f t="shared" ref="AF30" si="61">IF(AF8=1,0,IF(AE30+AE29-AE9&gt;0,AE30+AE29-AE9,0))</f>
        <v>0</v>
      </c>
      <c r="AG30" s="12">
        <f t="shared" ref="AG30" si="62">IF(AG8=1,0,IF(AF30+AF29-AF9&gt;0,AF30+AF29-AF9,0))</f>
        <v>0</v>
      </c>
      <c r="AH30" s="12">
        <f t="shared" ref="AH30" si="63">IF(AH8=1,0,IF(AG30+AG29-AG9&gt;0,AG30+AG29-AG9,0))</f>
        <v>0</v>
      </c>
      <c r="AI30" s="12">
        <f t="shared" ref="AI30" si="64">IF(AI8=1,0,IF(AH30+AH29-AH9&gt;0,AH30+AH29-AH9,0))</f>
        <v>0</v>
      </c>
      <c r="AJ30" s="13">
        <f t="shared" ref="AJ30" si="65">IF(AJ8=1,0,IF(AI30+AI29-AI9&gt;0,AI30+AI29-AI9,0))</f>
        <v>0</v>
      </c>
    </row>
    <row r="31" spans="2:36" x14ac:dyDescent="0.25">
      <c r="B31" s="24" t="s">
        <v>22</v>
      </c>
      <c r="C31" s="57">
        <v>2.5</v>
      </c>
      <c r="D31" s="25" t="s">
        <v>238</v>
      </c>
      <c r="E31" s="88"/>
      <c r="F31" s="29" t="s">
        <v>91</v>
      </c>
      <c r="G31" s="8">
        <f>IF(AND(G8=1,$C$10+G14+G20-G9&gt;10740),10700,
IF(AND(G8=1,$C$10+G14+G20-G9&lt;10700,$C$10+G14+G20-G9&gt;0),$C$10+G14+G20-G9,
0))</f>
        <v>10700</v>
      </c>
      <c r="H31" s="9">
        <f t="shared" ref="H31:P31" si="66">IF(AND(H8=1,$C$10+H14+H20-H9&gt;10740),10700,
IF(AND(H8=1,$C$10+H14+H20-H9&lt;10700,$C$10+H14+H20-H9&gt;0),$C$10+H14+H20-H9,
0))</f>
        <v>0</v>
      </c>
      <c r="I31" s="9">
        <f t="shared" si="66"/>
        <v>0</v>
      </c>
      <c r="J31" s="9">
        <f t="shared" si="66"/>
        <v>0</v>
      </c>
      <c r="K31" s="9">
        <f t="shared" si="66"/>
        <v>0</v>
      </c>
      <c r="L31" s="9">
        <f t="shared" si="66"/>
        <v>0</v>
      </c>
      <c r="M31" s="9">
        <f t="shared" si="66"/>
        <v>0</v>
      </c>
      <c r="N31" s="9">
        <f t="shared" si="66"/>
        <v>0</v>
      </c>
      <c r="O31" s="9">
        <f t="shared" si="66"/>
        <v>0</v>
      </c>
      <c r="P31" s="9">
        <f t="shared" si="66"/>
        <v>0</v>
      </c>
      <c r="Q31" s="9">
        <f t="shared" ref="Q31:AI31" si="67">IF(AND(Q8=1,$C$10+Q14+Q20-Q9&gt;10740),10700,
IF(AND(Q8=1,$C$10+Q14+Q20-Q9&lt;10700,$C$10+Q14+Q20-Q9&gt;0),$C$10+Q14+Q20-Q9,
0))</f>
        <v>0</v>
      </c>
      <c r="R31" s="9">
        <f t="shared" si="67"/>
        <v>0</v>
      </c>
      <c r="S31" s="9">
        <f t="shared" si="67"/>
        <v>0</v>
      </c>
      <c r="T31" s="9">
        <f t="shared" si="67"/>
        <v>0</v>
      </c>
      <c r="U31" s="9">
        <f t="shared" si="67"/>
        <v>0</v>
      </c>
      <c r="V31" s="9">
        <f t="shared" si="67"/>
        <v>0</v>
      </c>
      <c r="W31" s="9">
        <f t="shared" si="67"/>
        <v>0</v>
      </c>
      <c r="X31" s="9">
        <f t="shared" si="67"/>
        <v>0</v>
      </c>
      <c r="Y31" s="9">
        <f t="shared" si="67"/>
        <v>0</v>
      </c>
      <c r="Z31" s="9">
        <f t="shared" si="67"/>
        <v>0</v>
      </c>
      <c r="AA31" s="9">
        <f t="shared" si="67"/>
        <v>0</v>
      </c>
      <c r="AB31" s="9">
        <f t="shared" si="67"/>
        <v>0</v>
      </c>
      <c r="AC31" s="9">
        <f t="shared" si="67"/>
        <v>0</v>
      </c>
      <c r="AD31" s="9">
        <f t="shared" si="67"/>
        <v>0</v>
      </c>
      <c r="AE31" s="9">
        <f t="shared" si="67"/>
        <v>0</v>
      </c>
      <c r="AF31" s="9">
        <f t="shared" si="67"/>
        <v>0</v>
      </c>
      <c r="AG31" s="9">
        <f t="shared" si="67"/>
        <v>0</v>
      </c>
      <c r="AH31" s="9">
        <f t="shared" si="67"/>
        <v>0</v>
      </c>
      <c r="AI31" s="9">
        <f t="shared" si="67"/>
        <v>0</v>
      </c>
      <c r="AJ31" s="10">
        <f t="shared" ref="AJ31" si="68">IF(AND(AJ8=1,$C$10+AJ14+AJ20-AJ9&gt;10740),10700,
IF(AND(AJ8=1,$C$10+AJ14+AJ20-AJ9&lt;10700,$C$10+AJ14+AJ20-AJ9&gt;0),$C$10+AJ14+AJ20-AJ9,
0))</f>
        <v>0</v>
      </c>
    </row>
    <row r="32" spans="2:36" x14ac:dyDescent="0.25">
      <c r="B32" s="27" t="s">
        <v>23</v>
      </c>
      <c r="C32" s="72">
        <v>1.4999999999999999E-2</v>
      </c>
      <c r="D32" s="48" t="s">
        <v>181</v>
      </c>
      <c r="E32" s="88"/>
      <c r="F32" s="32" t="s">
        <v>38</v>
      </c>
      <c r="G32" s="11">
        <f>IF(G8=1,$C$10+G14+G20-G31,G14+G20)</f>
        <v>52224.427820526944</v>
      </c>
      <c r="H32" s="12">
        <f t="shared" ref="H32:P32" si="69">IF(H8=1,$C$10+H14+H20-H31,H14+H20)</f>
        <v>12829.427153288078</v>
      </c>
      <c r="I32" s="12">
        <f t="shared" si="69"/>
        <v>12732.982069596172</v>
      </c>
      <c r="J32" s="12">
        <f t="shared" si="69"/>
        <v>12635.070610098104</v>
      </c>
      <c r="K32" s="12">
        <f t="shared" si="69"/>
        <v>12535.670481623521</v>
      </c>
      <c r="L32" s="12">
        <f t="shared" si="69"/>
        <v>12434.759052110701</v>
      </c>
      <c r="M32" s="12">
        <f t="shared" si="69"/>
        <v>12332.313345455306</v>
      </c>
      <c r="N32" s="12">
        <f t="shared" si="69"/>
        <v>12228.31003628086</v>
      </c>
      <c r="O32" s="12">
        <f t="shared" si="69"/>
        <v>12122.725444629716</v>
      </c>
      <c r="P32" s="12">
        <f t="shared" si="69"/>
        <v>12015.535530573356</v>
      </c>
      <c r="Q32" s="12">
        <f t="shared" ref="Q32:AI32" si="70">IF(Q8=1,$C$10+Q14+Q20-Q31,Q14+Q20)</f>
        <v>11906.715888740746</v>
      </c>
      <c r="R32" s="12">
        <f t="shared" si="70"/>
        <v>11796.241742763556</v>
      </c>
      <c r="S32" s="12">
        <f t="shared" si="70"/>
        <v>11684.087939636931</v>
      </c>
      <c r="T32" s="12">
        <f t="shared" si="70"/>
        <v>11570.228943994574</v>
      </c>
      <c r="U32" s="12">
        <f t="shared" si="70"/>
        <v>11454.638832296792</v>
      </c>
      <c r="V32" s="12">
        <f t="shared" si="70"/>
        <v>11337.291286930216</v>
      </c>
      <c r="W32" s="12">
        <f t="shared" si="70"/>
        <v>11218.159590217869</v>
      </c>
      <c r="X32" s="12">
        <f t="shared" si="70"/>
        <v>11097.21661833814</v>
      </c>
      <c r="Y32" s="12">
        <f t="shared" si="70"/>
        <v>10974.434835151387</v>
      </c>
      <c r="Z32" s="12">
        <f t="shared" si="70"/>
        <v>10849.786285932696</v>
      </c>
      <c r="AA32" s="12">
        <f t="shared" si="70"/>
        <v>10723.24259100935</v>
      </c>
      <c r="AB32" s="12">
        <f t="shared" si="70"/>
        <v>10594.774939301664</v>
      </c>
      <c r="AC32" s="12">
        <f t="shared" si="70"/>
        <v>10464.354081765578</v>
      </c>
      <c r="AD32" s="12">
        <f t="shared" si="70"/>
        <v>10331.950324735635</v>
      </c>
      <c r="AE32" s="12">
        <f t="shared" si="70"/>
        <v>10197.533523166763</v>
      </c>
      <c r="AF32" s="12">
        <f t="shared" si="70"/>
        <v>9437.8233813050065</v>
      </c>
      <c r="AG32" s="12">
        <f t="shared" si="70"/>
        <v>9571.8907320245798</v>
      </c>
      <c r="AH32" s="12">
        <f t="shared" si="70"/>
        <v>9707.9690930049474</v>
      </c>
      <c r="AI32" s="12">
        <f t="shared" si="70"/>
        <v>9846.0886294000193</v>
      </c>
      <c r="AJ32" s="13">
        <f t="shared" ref="AJ32" si="71">IF(AJ8=1,$C$10+AJ14+AJ20-AJ31,AJ14+AJ20)</f>
        <v>9986.2799588410198</v>
      </c>
    </row>
    <row r="33" spans="2:36" x14ac:dyDescent="0.25">
      <c r="E33" s="88"/>
      <c r="F33" s="30" t="s">
        <v>39</v>
      </c>
      <c r="G33" s="6">
        <f t="shared" ref="G33:P33" si="72">IF(G8=1,0,IF(F33+F32-F9&gt;0,F33+F32-F9,0))</f>
        <v>0</v>
      </c>
      <c r="H33" s="4">
        <f t="shared" si="72"/>
        <v>30224.427820526944</v>
      </c>
      <c r="I33" s="4">
        <f t="shared" si="72"/>
        <v>20723.854973815021</v>
      </c>
      <c r="J33" s="4">
        <f t="shared" si="72"/>
        <v>10791.8870434112</v>
      </c>
      <c r="K33" s="4">
        <f t="shared" si="72"/>
        <v>422.03340350931103</v>
      </c>
      <c r="L33" s="4">
        <f t="shared" si="72"/>
        <v>0</v>
      </c>
      <c r="M33" s="4">
        <f t="shared" si="72"/>
        <v>0</v>
      </c>
      <c r="N33" s="4">
        <f t="shared" si="72"/>
        <v>0</v>
      </c>
      <c r="O33" s="4">
        <f t="shared" si="72"/>
        <v>0</v>
      </c>
      <c r="P33" s="4">
        <f t="shared" si="72"/>
        <v>0</v>
      </c>
      <c r="Q33" s="4">
        <f t="shared" ref="Q33" si="73">IF(Q8=1,0,IF(P33+P32-P9&gt;0,P33+P32-P9,0))</f>
        <v>0</v>
      </c>
      <c r="R33" s="4">
        <f t="shared" ref="R33" si="74">IF(R8=1,0,IF(Q33+Q32-Q9&gt;0,Q33+Q32-Q9,0))</f>
        <v>0</v>
      </c>
      <c r="S33" s="4">
        <f t="shared" ref="S33" si="75">IF(S8=1,0,IF(R33+R32-R9&gt;0,R33+R32-R9,0))</f>
        <v>0</v>
      </c>
      <c r="T33" s="4">
        <f t="shared" ref="T33" si="76">IF(T8=1,0,IF(S33+S32-S9&gt;0,S33+S32-S9,0))</f>
        <v>0</v>
      </c>
      <c r="U33" s="4">
        <f t="shared" ref="U33" si="77">IF(U8=1,0,IF(T33+T32-T9&gt;0,T33+T32-T9,0))</f>
        <v>0</v>
      </c>
      <c r="V33" s="4">
        <f t="shared" ref="V33" si="78">IF(V8=1,0,IF(U33+U32-U9&gt;0,U33+U32-U9,0))</f>
        <v>0</v>
      </c>
      <c r="W33" s="4">
        <f t="shared" ref="W33" si="79">IF(W8=1,0,IF(V33+V32-V9&gt;0,V33+V32-V9,0))</f>
        <v>0</v>
      </c>
      <c r="X33" s="4">
        <f t="shared" ref="X33" si="80">IF(X8=1,0,IF(W33+W32-W9&gt;0,W33+W32-W9,0))</f>
        <v>0</v>
      </c>
      <c r="Y33" s="4">
        <f t="shared" ref="Y33" si="81">IF(Y8=1,0,IF(X33+X32-X9&gt;0,X33+X32-X9,0))</f>
        <v>0</v>
      </c>
      <c r="Z33" s="4">
        <f t="shared" ref="Z33" si="82">IF(Z8=1,0,IF(Y33+Y32-Y9&gt;0,Y33+Y32-Y9,0))</f>
        <v>0</v>
      </c>
      <c r="AA33" s="4">
        <f t="shared" ref="AA33" si="83">IF(AA8=1,0,IF(Z33+Z32-Z9&gt;0,Z33+Z32-Z9,0))</f>
        <v>0</v>
      </c>
      <c r="AB33" s="4">
        <f t="shared" ref="AB33" si="84">IF(AB8=1,0,IF(AA33+AA32-AA9&gt;0,AA33+AA32-AA9,0))</f>
        <v>0</v>
      </c>
      <c r="AC33" s="4">
        <f t="shared" ref="AC33" si="85">IF(AC8=1,0,IF(AB33+AB32-AB9&gt;0,AB33+AB32-AB9,0))</f>
        <v>0</v>
      </c>
      <c r="AD33" s="4">
        <f t="shared" ref="AD33" si="86">IF(AD8=1,0,IF(AC33+AC32-AC9&gt;0,AC33+AC32-AC9,0))</f>
        <v>0</v>
      </c>
      <c r="AE33" s="4">
        <f t="shared" ref="AE33" si="87">IF(AE8=1,0,IF(AD33+AD32-AD9&gt;0,AD33+AD32-AD9,0))</f>
        <v>0</v>
      </c>
      <c r="AF33" s="4">
        <f t="shared" ref="AF33" si="88">IF(AF8=1,0,IF(AE33+AE32-AE9&gt;0,AE33+AE32-AE9,0))</f>
        <v>0</v>
      </c>
      <c r="AG33" s="4">
        <f t="shared" ref="AG33" si="89">IF(AG8=1,0,IF(AF33+AF32-AF9&gt;0,AF33+AF32-AF9,0))</f>
        <v>0</v>
      </c>
      <c r="AH33" s="4">
        <f t="shared" ref="AH33" si="90">IF(AH8=1,0,IF(AG33+AG32-AG9&gt;0,AG33+AG32-AG9,0))</f>
        <v>0</v>
      </c>
      <c r="AI33" s="4">
        <f t="shared" ref="AI33" si="91">IF(AI8=1,0,IF(AH33+AH32-AH9&gt;0,AH33+AH32-AH9,0))</f>
        <v>0</v>
      </c>
      <c r="AJ33" s="7">
        <f t="shared" ref="AJ33" si="92">IF(AJ8=1,0,IF(AI33+AI32-AI9&gt;0,AI33+AI32-AI9,0))</f>
        <v>0</v>
      </c>
    </row>
    <row r="34" spans="2:36" x14ac:dyDescent="0.25">
      <c r="B34" s="69" t="s">
        <v>100</v>
      </c>
      <c r="C34" s="70" t="s">
        <v>116</v>
      </c>
      <c r="D34" s="71" t="s">
        <v>178</v>
      </c>
      <c r="E34" s="88"/>
      <c r="F34" s="33" t="s">
        <v>34</v>
      </c>
      <c r="G34" s="14">
        <f>($C$27*((1+$C$28)^(G$8-1))+$C$29*((1+$C$30)^(G$8-1)))*0.9</f>
        <v>54000</v>
      </c>
      <c r="H34" s="15">
        <f t="shared" ref="H34:AJ34" si="93">($C$27*((1+$C$28)^(H$8-1))+$C$29*((1+$C$30)^(H$8-1)))*0.9</f>
        <v>57240</v>
      </c>
      <c r="I34" s="15">
        <f t="shared" si="93"/>
        <v>60696</v>
      </c>
      <c r="J34" s="15">
        <f t="shared" si="93"/>
        <v>64383.552000000011</v>
      </c>
      <c r="K34" s="15">
        <f t="shared" si="93"/>
        <v>68319.383040000015</v>
      </c>
      <c r="L34" s="15">
        <f t="shared" si="93"/>
        <v>72521.48643840001</v>
      </c>
      <c r="M34" s="15">
        <f t="shared" si="93"/>
        <v>77009.220218880029</v>
      </c>
      <c r="N34" s="15">
        <f t="shared" si="93"/>
        <v>81803.413296414743</v>
      </c>
      <c r="O34" s="15">
        <f t="shared" si="93"/>
        <v>86926.480038553229</v>
      </c>
      <c r="P34" s="15">
        <f t="shared" si="93"/>
        <v>92402.543867199798</v>
      </c>
      <c r="Q34" s="15">
        <f t="shared" si="93"/>
        <v>98257.570619160571</v>
      </c>
      <c r="R34" s="15">
        <f t="shared" si="93"/>
        <v>104519.51244098161</v>
      </c>
      <c r="S34" s="15">
        <f t="shared" si="93"/>
        <v>111218.46305543986</v>
      </c>
      <c r="T34" s="15">
        <f t="shared" si="93"/>
        <v>118386.82530382196</v>
      </c>
      <c r="U34" s="15">
        <f t="shared" si="93"/>
        <v>126059.4919402325</v>
      </c>
      <c r="V34" s="15">
        <f t="shared" si="93"/>
        <v>134274.04073204007</v>
      </c>
      <c r="W34" s="15">
        <f t="shared" si="93"/>
        <v>143070.9450046558</v>
      </c>
      <c r="X34" s="15">
        <f t="shared" si="93"/>
        <v>152493.80085964291</v>
      </c>
      <c r="Y34" s="15">
        <f t="shared" si="93"/>
        <v>162589.5723932136</v>
      </c>
      <c r="Z34" s="15">
        <f t="shared" si="93"/>
        <v>173408.85634806188</v>
      </c>
      <c r="AA34" s="15">
        <f t="shared" si="93"/>
        <v>185006.16774583363</v>
      </c>
      <c r="AB34" s="15">
        <f t="shared" si="93"/>
        <v>197440.24817102426</v>
      </c>
      <c r="AC34" s="15">
        <f t="shared" si="93"/>
        <v>210774.39851045108</v>
      </c>
      <c r="AD34" s="15">
        <f t="shared" si="93"/>
        <v>225076.83809646184</v>
      </c>
      <c r="AE34" s="15">
        <f t="shared" si="93"/>
        <v>240421.09235756044</v>
      </c>
      <c r="AF34" s="15">
        <f t="shared" si="93"/>
        <v>256886.41124808221</v>
      </c>
      <c r="AG34" s="15">
        <f t="shared" si="93"/>
        <v>274558.22090992238</v>
      </c>
      <c r="AH34" s="15">
        <f t="shared" si="93"/>
        <v>293528.61121518951</v>
      </c>
      <c r="AI34" s="15">
        <f t="shared" si="93"/>
        <v>313896.86205017689</v>
      </c>
      <c r="AJ34" s="16">
        <f t="shared" si="93"/>
        <v>335770.01142947422</v>
      </c>
    </row>
    <row r="35" spans="2:36" x14ac:dyDescent="0.25">
      <c r="B35" s="24" t="s">
        <v>42</v>
      </c>
      <c r="C35" s="9">
        <f>C9+C10+C11+C12*C9+C13+C18+C19</f>
        <v>403500</v>
      </c>
      <c r="D35" s="10" t="s">
        <v>239</v>
      </c>
      <c r="E35" s="88"/>
      <c r="F35" s="29" t="s">
        <v>128</v>
      </c>
      <c r="G35" s="8">
        <f>IF($C$29=0,G34,(G34/2))</f>
        <v>27000</v>
      </c>
      <c r="H35" s="9">
        <f t="shared" ref="H35:P35" si="94">IF($C$29=0,H34,(H34/2))</f>
        <v>28620</v>
      </c>
      <c r="I35" s="9">
        <f t="shared" si="94"/>
        <v>30348</v>
      </c>
      <c r="J35" s="9">
        <f t="shared" si="94"/>
        <v>32191.776000000005</v>
      </c>
      <c r="K35" s="9">
        <f t="shared" si="94"/>
        <v>34159.691520000008</v>
      </c>
      <c r="L35" s="9">
        <f t="shared" si="94"/>
        <v>36260.743219200005</v>
      </c>
      <c r="M35" s="9">
        <f t="shared" si="94"/>
        <v>38504.610109440015</v>
      </c>
      <c r="N35" s="9">
        <f t="shared" si="94"/>
        <v>40901.706648207371</v>
      </c>
      <c r="O35" s="9">
        <f t="shared" si="94"/>
        <v>43463.240019276614</v>
      </c>
      <c r="P35" s="9">
        <f t="shared" si="94"/>
        <v>46201.271933599899</v>
      </c>
      <c r="Q35" s="9">
        <f t="shared" ref="Q35:AI35" si="95">IF($C$29=0,Q34,(Q34/2))</f>
        <v>49128.785309580286</v>
      </c>
      <c r="R35" s="9">
        <f t="shared" si="95"/>
        <v>52259.756220490803</v>
      </c>
      <c r="S35" s="9">
        <f t="shared" si="95"/>
        <v>55609.23152771993</v>
      </c>
      <c r="T35" s="9">
        <f t="shared" si="95"/>
        <v>59193.412651910978</v>
      </c>
      <c r="U35" s="9">
        <f t="shared" si="95"/>
        <v>63029.745970116252</v>
      </c>
      <c r="V35" s="9">
        <f t="shared" si="95"/>
        <v>67137.020366020035</v>
      </c>
      <c r="W35" s="9">
        <f t="shared" si="95"/>
        <v>71535.472502327902</v>
      </c>
      <c r="X35" s="9">
        <f t="shared" si="95"/>
        <v>76246.900429821457</v>
      </c>
      <c r="Y35" s="9">
        <f t="shared" si="95"/>
        <v>81294.786196606801</v>
      </c>
      <c r="Z35" s="9">
        <f t="shared" si="95"/>
        <v>86704.428174030938</v>
      </c>
      <c r="AA35" s="9">
        <f t="shared" si="95"/>
        <v>92503.083872916817</v>
      </c>
      <c r="AB35" s="9">
        <f t="shared" si="95"/>
        <v>98720.124085512129</v>
      </c>
      <c r="AC35" s="9">
        <f t="shared" si="95"/>
        <v>105387.19925522554</v>
      </c>
      <c r="AD35" s="9">
        <f t="shared" si="95"/>
        <v>112538.41904823092</v>
      </c>
      <c r="AE35" s="9">
        <f t="shared" si="95"/>
        <v>120210.54617878022</v>
      </c>
      <c r="AF35" s="9">
        <f t="shared" si="95"/>
        <v>128443.2056240411</v>
      </c>
      <c r="AG35" s="9">
        <f t="shared" si="95"/>
        <v>137279.11045496119</v>
      </c>
      <c r="AH35" s="9">
        <f t="shared" si="95"/>
        <v>146764.30560759475</v>
      </c>
      <c r="AI35" s="9">
        <f t="shared" si="95"/>
        <v>156948.43102508844</v>
      </c>
      <c r="AJ35" s="10">
        <f t="shared" ref="AJ35" si="96">IF($C$29=0,AJ34,(AJ34/2))</f>
        <v>167885.00571473711</v>
      </c>
    </row>
    <row r="36" spans="2:36" x14ac:dyDescent="0.25">
      <c r="B36" s="24" t="s">
        <v>41</v>
      </c>
      <c r="C36" s="9">
        <f>IF($C$15&lt;=$C$35,C35-C15,0)</f>
        <v>373500</v>
      </c>
      <c r="D36" s="10" t="s">
        <v>239</v>
      </c>
      <c r="E36" s="88"/>
      <c r="F36" s="29" t="s">
        <v>129</v>
      </c>
      <c r="G36" s="8">
        <f>IF(G35&lt;10084,0,
IF(AND(G35&gt;10084,G35&lt;=25710),(G35-10084)*0.11,
IF(AND(G35&gt;25710,G35&lt;=73516),(G35-25710)*0.3+1721.06,
IF(AND(G35&gt;73516,G35&lt;=158122),(G35-73516)*0.41+16062.86,
IF(G35&gt;158122,(G35-158122)*0.45+50751.32,
0)))))</f>
        <v>2108.06</v>
      </c>
      <c r="H36" s="9">
        <f t="shared" ref="H36:P36" si="97">IF(H35&lt;10084,0,
IF(AND(H35&gt;10084,H35&lt;=25710),(H35-10084)*0.11,
IF(AND(H35&gt;25710,H35&lt;=73516),(H35-25710)*0.3+1721.06,
IF(AND(H35&gt;73516,H35&lt;=158122),(H35-73516)*0.41+16062.86,
IF(H35&gt;158122,(H35-158122)*0.45+50751.32,
0)))))</f>
        <v>2594.06</v>
      </c>
      <c r="I36" s="9">
        <f t="shared" si="97"/>
        <v>3112.46</v>
      </c>
      <c r="J36" s="9">
        <f t="shared" si="97"/>
        <v>3665.5928000000013</v>
      </c>
      <c r="K36" s="9">
        <f t="shared" si="97"/>
        <v>4255.9674560000021</v>
      </c>
      <c r="L36" s="9">
        <f t="shared" si="97"/>
        <v>4886.2829657600014</v>
      </c>
      <c r="M36" s="9">
        <f t="shared" si="97"/>
        <v>5559.4430328320041</v>
      </c>
      <c r="N36" s="9">
        <f t="shared" si="97"/>
        <v>6278.5719944622106</v>
      </c>
      <c r="O36" s="9">
        <f t="shared" si="97"/>
        <v>7047.0320057829849</v>
      </c>
      <c r="P36" s="9">
        <f t="shared" si="97"/>
        <v>7868.4415800799688</v>
      </c>
      <c r="Q36" s="9">
        <f t="shared" ref="Q36:AI36" si="98">IF(Q35&lt;10084,0,
IF(AND(Q35&gt;10084,Q35&lt;=25710),(Q35-10084)*0.11,
IF(AND(Q35&gt;25710,Q35&lt;=73516),(Q35-25710)*0.3+1721.06,
IF(AND(Q35&gt;73516,Q35&lt;=158122),(Q35-73516)*0.41+16062.86,
IF(Q35&gt;158122,(Q35-158122)*0.45+50751.32,
0)))))</f>
        <v>8746.6955928740863</v>
      </c>
      <c r="R36" s="9">
        <f t="shared" si="98"/>
        <v>9685.986866147241</v>
      </c>
      <c r="S36" s="9">
        <f t="shared" si="98"/>
        <v>10690.829458315979</v>
      </c>
      <c r="T36" s="9">
        <f t="shared" si="98"/>
        <v>11766.083795573293</v>
      </c>
      <c r="U36" s="9">
        <f t="shared" si="98"/>
        <v>12916.983791034874</v>
      </c>
      <c r="V36" s="9">
        <f t="shared" si="98"/>
        <v>14149.16610980601</v>
      </c>
      <c r="W36" s="9">
        <f t="shared" si="98"/>
        <v>15468.70175069837</v>
      </c>
      <c r="X36" s="9">
        <f t="shared" si="98"/>
        <v>17182.529176226799</v>
      </c>
      <c r="Y36" s="9">
        <f t="shared" si="98"/>
        <v>19252.162340608789</v>
      </c>
      <c r="Z36" s="9">
        <f t="shared" si="98"/>
        <v>21470.115551352683</v>
      </c>
      <c r="AA36" s="9">
        <f t="shared" si="98"/>
        <v>23847.564387895894</v>
      </c>
      <c r="AB36" s="9">
        <f t="shared" si="98"/>
        <v>26396.550875059973</v>
      </c>
      <c r="AC36" s="9">
        <f t="shared" si="98"/>
        <v>29130.051694642469</v>
      </c>
      <c r="AD36" s="9">
        <f t="shared" si="98"/>
        <v>32062.051809774675</v>
      </c>
      <c r="AE36" s="9">
        <f t="shared" si="98"/>
        <v>35207.623933299888</v>
      </c>
      <c r="AF36" s="9">
        <f t="shared" si="98"/>
        <v>38583.01430585685</v>
      </c>
      <c r="AG36" s="9">
        <f t="shared" si="98"/>
        <v>42205.735286534087</v>
      </c>
      <c r="AH36" s="9">
        <f t="shared" si="98"/>
        <v>46094.665299113847</v>
      </c>
      <c r="AI36" s="9">
        <f t="shared" si="98"/>
        <v>50270.156720286264</v>
      </c>
      <c r="AJ36" s="10">
        <f t="shared" ref="AJ36" si="99">IF(AJ35&lt;10084,0,
IF(AND(AJ35&gt;10084,AJ35&lt;=25710),(AJ35-10084)*0.11,
IF(AND(AJ35&gt;25710,AJ35&lt;=73516),(AJ35-25710)*0.3+1721.06,
IF(AND(AJ35&gt;73516,AJ35&lt;=158122),(AJ35-73516)*0.41+16062.86,
IF(AJ35&gt;158122,(AJ35-158122)*0.45+50751.32,
0)))))</f>
        <v>55144.672571631701</v>
      </c>
    </row>
    <row r="37" spans="2:36" x14ac:dyDescent="0.25">
      <c r="B37" s="27" t="s">
        <v>44</v>
      </c>
      <c r="C37" s="73">
        <f>IF($C$15&lt;=$C$35,(PMT(C16/12,C14*12,C36)*-1)+(C17*C36/12),0)</f>
        <v>1556.0121784927637</v>
      </c>
      <c r="D37" s="20" t="s">
        <v>239</v>
      </c>
      <c r="E37" s="88"/>
      <c r="F37" s="29" t="s">
        <v>130</v>
      </c>
      <c r="G37" s="8">
        <f>IF($C$29=0,G36,(G36*2))</f>
        <v>4216.12</v>
      </c>
      <c r="H37" s="9">
        <f t="shared" ref="H37:P37" si="100">IF($C$29=0,H36,(H36*2))</f>
        <v>5188.12</v>
      </c>
      <c r="I37" s="9">
        <f t="shared" si="100"/>
        <v>6224.92</v>
      </c>
      <c r="J37" s="9">
        <f t="shared" si="100"/>
        <v>7331.1856000000025</v>
      </c>
      <c r="K37" s="9">
        <f t="shared" si="100"/>
        <v>8511.9349120000043</v>
      </c>
      <c r="L37" s="9">
        <f t="shared" si="100"/>
        <v>9772.5659315200028</v>
      </c>
      <c r="M37" s="9">
        <f t="shared" si="100"/>
        <v>11118.886065664008</v>
      </c>
      <c r="N37" s="9">
        <f t="shared" si="100"/>
        <v>12557.143988924421</v>
      </c>
      <c r="O37" s="9">
        <f t="shared" si="100"/>
        <v>14094.06401156597</v>
      </c>
      <c r="P37" s="9">
        <f t="shared" si="100"/>
        <v>15736.883160159938</v>
      </c>
      <c r="Q37" s="9">
        <f t="shared" ref="Q37:AI37" si="101">IF($C$29=0,Q36,(Q36*2))</f>
        <v>17493.391185748173</v>
      </c>
      <c r="R37" s="9">
        <f t="shared" si="101"/>
        <v>19371.973732294482</v>
      </c>
      <c r="S37" s="9">
        <f t="shared" si="101"/>
        <v>21381.658916631957</v>
      </c>
      <c r="T37" s="9">
        <f t="shared" si="101"/>
        <v>23532.167591146586</v>
      </c>
      <c r="U37" s="9">
        <f t="shared" si="101"/>
        <v>25833.967582069748</v>
      </c>
      <c r="V37" s="9">
        <f t="shared" si="101"/>
        <v>28298.332219612021</v>
      </c>
      <c r="W37" s="9">
        <f t="shared" si="101"/>
        <v>30937.40350139674</v>
      </c>
      <c r="X37" s="9">
        <f t="shared" si="101"/>
        <v>34365.058352453598</v>
      </c>
      <c r="Y37" s="9">
        <f t="shared" si="101"/>
        <v>38504.324681217578</v>
      </c>
      <c r="Z37" s="9">
        <f t="shared" si="101"/>
        <v>42940.231102705366</v>
      </c>
      <c r="AA37" s="9">
        <f t="shared" si="101"/>
        <v>47695.128775791789</v>
      </c>
      <c r="AB37" s="9">
        <f t="shared" si="101"/>
        <v>52793.101750119946</v>
      </c>
      <c r="AC37" s="9">
        <f t="shared" si="101"/>
        <v>58260.103389284937</v>
      </c>
      <c r="AD37" s="9">
        <f t="shared" si="101"/>
        <v>64124.103619549351</v>
      </c>
      <c r="AE37" s="9">
        <f t="shared" si="101"/>
        <v>70415.247866599777</v>
      </c>
      <c r="AF37" s="9">
        <f t="shared" si="101"/>
        <v>77166.0286117137</v>
      </c>
      <c r="AG37" s="9">
        <f t="shared" si="101"/>
        <v>84411.470573068174</v>
      </c>
      <c r="AH37" s="9">
        <f t="shared" si="101"/>
        <v>92189.330598227694</v>
      </c>
      <c r="AI37" s="9">
        <f t="shared" si="101"/>
        <v>100540.31344057253</v>
      </c>
      <c r="AJ37" s="10">
        <f t="shared" ref="AJ37" si="102">IF($C$29=0,AJ36,(AJ36*2))</f>
        <v>110289.3451432634</v>
      </c>
    </row>
    <row r="38" spans="2:36" x14ac:dyDescent="0.25">
      <c r="F38" s="29" t="s">
        <v>33</v>
      </c>
      <c r="G38" s="8">
        <f>IF($C$29=0,($C$31-1)/0.25*784,($C$31-2)/0.25*784)</f>
        <v>1568</v>
      </c>
      <c r="H38" s="9">
        <f t="shared" ref="H38:AJ38" si="103">IF($C$29=0,($C$31-1)/0.25*784,($C$31-2)/0.25*784)</f>
        <v>1568</v>
      </c>
      <c r="I38" s="9">
        <f t="shared" si="103"/>
        <v>1568</v>
      </c>
      <c r="J38" s="9">
        <f t="shared" si="103"/>
        <v>1568</v>
      </c>
      <c r="K38" s="9">
        <f t="shared" si="103"/>
        <v>1568</v>
      </c>
      <c r="L38" s="9">
        <f t="shared" si="103"/>
        <v>1568</v>
      </c>
      <c r="M38" s="9">
        <f t="shared" si="103"/>
        <v>1568</v>
      </c>
      <c r="N38" s="9">
        <f t="shared" si="103"/>
        <v>1568</v>
      </c>
      <c r="O38" s="9">
        <f t="shared" si="103"/>
        <v>1568</v>
      </c>
      <c r="P38" s="9">
        <f t="shared" si="103"/>
        <v>1568</v>
      </c>
      <c r="Q38" s="9">
        <f t="shared" si="103"/>
        <v>1568</v>
      </c>
      <c r="R38" s="9">
        <f t="shared" si="103"/>
        <v>1568</v>
      </c>
      <c r="S38" s="9">
        <f t="shared" si="103"/>
        <v>1568</v>
      </c>
      <c r="T38" s="9">
        <f t="shared" si="103"/>
        <v>1568</v>
      </c>
      <c r="U38" s="9">
        <f t="shared" si="103"/>
        <v>1568</v>
      </c>
      <c r="V38" s="9">
        <f t="shared" si="103"/>
        <v>1568</v>
      </c>
      <c r="W38" s="9">
        <f t="shared" si="103"/>
        <v>1568</v>
      </c>
      <c r="X38" s="9">
        <f t="shared" si="103"/>
        <v>1568</v>
      </c>
      <c r="Y38" s="9">
        <f t="shared" si="103"/>
        <v>1568</v>
      </c>
      <c r="Z38" s="9">
        <f t="shared" si="103"/>
        <v>1568</v>
      </c>
      <c r="AA38" s="9">
        <f t="shared" si="103"/>
        <v>1568</v>
      </c>
      <c r="AB38" s="9">
        <f t="shared" si="103"/>
        <v>1568</v>
      </c>
      <c r="AC38" s="9">
        <f t="shared" si="103"/>
        <v>1568</v>
      </c>
      <c r="AD38" s="9">
        <f t="shared" si="103"/>
        <v>1568</v>
      </c>
      <c r="AE38" s="9">
        <f t="shared" si="103"/>
        <v>1568</v>
      </c>
      <c r="AF38" s="9">
        <f t="shared" si="103"/>
        <v>1568</v>
      </c>
      <c r="AG38" s="9">
        <f t="shared" si="103"/>
        <v>1568</v>
      </c>
      <c r="AH38" s="9">
        <f t="shared" si="103"/>
        <v>1568</v>
      </c>
      <c r="AI38" s="9">
        <f t="shared" si="103"/>
        <v>1568</v>
      </c>
      <c r="AJ38" s="10">
        <f t="shared" si="103"/>
        <v>1568</v>
      </c>
    </row>
    <row r="39" spans="2:36" x14ac:dyDescent="0.25">
      <c r="F39" s="29" t="s">
        <v>131</v>
      </c>
      <c r="G39" s="8">
        <f>G34/$C$31</f>
        <v>21600</v>
      </c>
      <c r="H39" s="9">
        <f t="shared" ref="H39:P39" si="104">H34/$C$31</f>
        <v>22896</v>
      </c>
      <c r="I39" s="9">
        <f t="shared" si="104"/>
        <v>24278.400000000001</v>
      </c>
      <c r="J39" s="9">
        <f t="shared" si="104"/>
        <v>25753.420800000004</v>
      </c>
      <c r="K39" s="9">
        <f t="shared" si="104"/>
        <v>27327.753216000005</v>
      </c>
      <c r="L39" s="9">
        <f t="shared" si="104"/>
        <v>29008.594575360003</v>
      </c>
      <c r="M39" s="9">
        <f t="shared" si="104"/>
        <v>30803.688087552011</v>
      </c>
      <c r="N39" s="9">
        <f t="shared" si="104"/>
        <v>32721.365318565899</v>
      </c>
      <c r="O39" s="9">
        <f t="shared" si="104"/>
        <v>34770.592015421294</v>
      </c>
      <c r="P39" s="9">
        <f t="shared" si="104"/>
        <v>36961.017546879921</v>
      </c>
      <c r="Q39" s="9">
        <f t="shared" ref="Q39:AI39" si="105">Q34/$C$31</f>
        <v>39303.028247664231</v>
      </c>
      <c r="R39" s="9">
        <f t="shared" si="105"/>
        <v>41807.804976392639</v>
      </c>
      <c r="S39" s="9">
        <f t="shared" si="105"/>
        <v>44487.385222175944</v>
      </c>
      <c r="T39" s="9">
        <f t="shared" si="105"/>
        <v>47354.730121528781</v>
      </c>
      <c r="U39" s="9">
        <f t="shared" si="105"/>
        <v>50423.796776093004</v>
      </c>
      <c r="V39" s="9">
        <f t="shared" si="105"/>
        <v>53709.616292816027</v>
      </c>
      <c r="W39" s="9">
        <f t="shared" si="105"/>
        <v>57228.378001862322</v>
      </c>
      <c r="X39" s="9">
        <f t="shared" si="105"/>
        <v>60997.520343857163</v>
      </c>
      <c r="Y39" s="9">
        <f t="shared" si="105"/>
        <v>65035.828957285441</v>
      </c>
      <c r="Z39" s="9">
        <f t="shared" si="105"/>
        <v>69363.542539224756</v>
      </c>
      <c r="AA39" s="9">
        <f t="shared" si="105"/>
        <v>74002.467098333451</v>
      </c>
      <c r="AB39" s="9">
        <f t="shared" si="105"/>
        <v>78976.0992684097</v>
      </c>
      <c r="AC39" s="9">
        <f t="shared" si="105"/>
        <v>84309.759404180426</v>
      </c>
      <c r="AD39" s="9">
        <f t="shared" si="105"/>
        <v>90030.735238584733</v>
      </c>
      <c r="AE39" s="9">
        <f t="shared" si="105"/>
        <v>96168.436943024179</v>
      </c>
      <c r="AF39" s="9">
        <f t="shared" si="105"/>
        <v>102754.56449923289</v>
      </c>
      <c r="AG39" s="9">
        <f t="shared" si="105"/>
        <v>109823.28836396895</v>
      </c>
      <c r="AH39" s="9">
        <f t="shared" si="105"/>
        <v>117411.44448607581</v>
      </c>
      <c r="AI39" s="9">
        <f t="shared" si="105"/>
        <v>125558.74482007076</v>
      </c>
      <c r="AJ39" s="10">
        <f t="shared" ref="AJ39" si="106">AJ34/$C$31</f>
        <v>134308.0045717897</v>
      </c>
    </row>
    <row r="40" spans="2:36" x14ac:dyDescent="0.25">
      <c r="F40" s="29" t="s">
        <v>132</v>
      </c>
      <c r="G40" s="8">
        <f>IF(G39&lt;10084,0,
IF(AND(G39&gt;10084,G39&lt;=25710),(G39-10084)*0.11,
IF(AND(G39&gt;25710,G39&lt;=73516),(G39-25710)*0.3+1721.06,
IF(AND(G39&gt;73516,G39&lt;=158122),(G39-73516)*0.41+16062.86,
IF(G39&gt;158122,(G39-158122)*0.45+50751.32,
0)))))</f>
        <v>1266.76</v>
      </c>
      <c r="H40" s="9">
        <f t="shared" ref="H40:P40" si="107">IF(H39&lt;10084,0,
IF(AND(H39&gt;10084,H39&lt;=25710),(H39-10084)*0.11,
IF(AND(H39&gt;25710,H39&lt;=73516),(H39-25710)*0.3+1721.06,
IF(AND(H39&gt;73516,H39&lt;=158122),(H39-73516)*0.41+16062.86,
IF(H39&gt;158122,(H39-158122)*0.45+50751.32,
0)))))</f>
        <v>1409.32</v>
      </c>
      <c r="I40" s="9">
        <f t="shared" si="107"/>
        <v>1561.3840000000002</v>
      </c>
      <c r="J40" s="9">
        <f t="shared" si="107"/>
        <v>1734.086240000001</v>
      </c>
      <c r="K40" s="9">
        <f t="shared" si="107"/>
        <v>2206.3859648000011</v>
      </c>
      <c r="L40" s="9">
        <f t="shared" si="107"/>
        <v>2710.6383726080007</v>
      </c>
      <c r="M40" s="9">
        <f t="shared" si="107"/>
        <v>3249.1664262656031</v>
      </c>
      <c r="N40" s="9">
        <f t="shared" si="107"/>
        <v>3824.4695955697694</v>
      </c>
      <c r="O40" s="9">
        <f t="shared" si="107"/>
        <v>4439.237604626388</v>
      </c>
      <c r="P40" s="9">
        <f t="shared" si="107"/>
        <v>5096.3652640639757</v>
      </c>
      <c r="Q40" s="9">
        <f t="shared" ref="Q40:AI40" si="108">IF(Q39&lt;10084,0,
IF(AND(Q39&gt;10084,Q39&lt;=25710),(Q39-10084)*0.11,
IF(AND(Q39&gt;25710,Q39&lt;=73516),(Q39-25710)*0.3+1721.06,
IF(AND(Q39&gt;73516,Q39&lt;=158122),(Q39-73516)*0.41+16062.86,
IF(Q39&gt;158122,(Q39-158122)*0.45+50751.32,
0)))))</f>
        <v>5798.9684742992686</v>
      </c>
      <c r="R40" s="9">
        <f t="shared" si="108"/>
        <v>6550.401492917792</v>
      </c>
      <c r="S40" s="9">
        <f t="shared" si="108"/>
        <v>7354.2755666527828</v>
      </c>
      <c r="T40" s="9">
        <f t="shared" si="108"/>
        <v>8214.4790364586333</v>
      </c>
      <c r="U40" s="9">
        <f t="shared" si="108"/>
        <v>9135.1990328279007</v>
      </c>
      <c r="V40" s="9">
        <f t="shared" si="108"/>
        <v>10120.944887844807</v>
      </c>
      <c r="W40" s="9">
        <f t="shared" si="108"/>
        <v>11176.573400558696</v>
      </c>
      <c r="X40" s="9">
        <f t="shared" si="108"/>
        <v>12307.316103157147</v>
      </c>
      <c r="Y40" s="9">
        <f t="shared" si="108"/>
        <v>13518.808687185632</v>
      </c>
      <c r="Z40" s="9">
        <f t="shared" si="108"/>
        <v>14817.122761767427</v>
      </c>
      <c r="AA40" s="9">
        <f t="shared" si="108"/>
        <v>16262.311510316715</v>
      </c>
      <c r="AB40" s="9">
        <f t="shared" si="108"/>
        <v>18301.500700047978</v>
      </c>
      <c r="AC40" s="9">
        <f t="shared" si="108"/>
        <v>20488.301355713975</v>
      </c>
      <c r="AD40" s="9">
        <f t="shared" si="108"/>
        <v>22833.901447819742</v>
      </c>
      <c r="AE40" s="9">
        <f t="shared" si="108"/>
        <v>25350.359146639916</v>
      </c>
      <c r="AF40" s="9">
        <f t="shared" si="108"/>
        <v>28050.671444685482</v>
      </c>
      <c r="AG40" s="9">
        <f t="shared" si="108"/>
        <v>30948.848229227271</v>
      </c>
      <c r="AH40" s="9">
        <f t="shared" si="108"/>
        <v>34059.992239291081</v>
      </c>
      <c r="AI40" s="9">
        <f t="shared" si="108"/>
        <v>37400.385376229009</v>
      </c>
      <c r="AJ40" s="10">
        <f t="shared" ref="AJ40" si="109">IF(AJ39&lt;10084,0,
IF(AND(AJ39&gt;10084,AJ39&lt;=25710),(AJ39-10084)*0.11,
IF(AND(AJ39&gt;25710,AJ39&lt;=73516),(AJ39-25710)*0.3+1721.06,
IF(AND(AJ39&gt;73516,AJ39&lt;=158122),(AJ39-73516)*0.41+16062.86,
IF(AJ39&gt;158122,(AJ39-158122)*0.45+50751.32,
0)))))</f>
        <v>40987.581874433774</v>
      </c>
    </row>
    <row r="41" spans="2:36" x14ac:dyDescent="0.25">
      <c r="F41" s="29" t="s">
        <v>133</v>
      </c>
      <c r="G41" s="8">
        <f>G40*$C$31</f>
        <v>3166.9</v>
      </c>
      <c r="H41" s="9">
        <f t="shared" ref="H41:P41" si="110">H40*$C$31</f>
        <v>3523.2999999999997</v>
      </c>
      <c r="I41" s="9">
        <f t="shared" si="110"/>
        <v>3903.4600000000005</v>
      </c>
      <c r="J41" s="9">
        <f t="shared" si="110"/>
        <v>4335.2156000000023</v>
      </c>
      <c r="K41" s="9">
        <f t="shared" si="110"/>
        <v>5515.9649120000031</v>
      </c>
      <c r="L41" s="9">
        <f t="shared" si="110"/>
        <v>6776.5959315200016</v>
      </c>
      <c r="M41" s="9">
        <f t="shared" si="110"/>
        <v>8122.9160656640079</v>
      </c>
      <c r="N41" s="9">
        <f t="shared" si="110"/>
        <v>9561.1739889244236</v>
      </c>
      <c r="O41" s="9">
        <f t="shared" si="110"/>
        <v>11098.094011565971</v>
      </c>
      <c r="P41" s="9">
        <f t="shared" si="110"/>
        <v>12740.91316015994</v>
      </c>
      <c r="Q41" s="9">
        <f t="shared" ref="Q41:AI41" si="111">Q40*$C$31</f>
        <v>14497.421185748171</v>
      </c>
      <c r="R41" s="9">
        <f t="shared" si="111"/>
        <v>16376.003732294481</v>
      </c>
      <c r="S41" s="9">
        <f t="shared" si="111"/>
        <v>18385.688916631956</v>
      </c>
      <c r="T41" s="9">
        <f t="shared" si="111"/>
        <v>20536.197591146585</v>
      </c>
      <c r="U41" s="9">
        <f t="shared" si="111"/>
        <v>22837.997582069751</v>
      </c>
      <c r="V41" s="9">
        <f t="shared" si="111"/>
        <v>25302.36221961202</v>
      </c>
      <c r="W41" s="9">
        <f t="shared" si="111"/>
        <v>27941.433501396743</v>
      </c>
      <c r="X41" s="9">
        <f t="shared" si="111"/>
        <v>30768.29025789287</v>
      </c>
      <c r="Y41" s="9">
        <f t="shared" si="111"/>
        <v>33797.021717964082</v>
      </c>
      <c r="Z41" s="9">
        <f t="shared" si="111"/>
        <v>37042.806904418569</v>
      </c>
      <c r="AA41" s="9">
        <f t="shared" si="111"/>
        <v>40655.778775791783</v>
      </c>
      <c r="AB41" s="9">
        <f t="shared" si="111"/>
        <v>45753.751750119947</v>
      </c>
      <c r="AC41" s="9">
        <f t="shared" si="111"/>
        <v>51220.753389284939</v>
      </c>
      <c r="AD41" s="9">
        <f t="shared" si="111"/>
        <v>57084.753619549359</v>
      </c>
      <c r="AE41" s="9">
        <f t="shared" si="111"/>
        <v>63375.897866599786</v>
      </c>
      <c r="AF41" s="9">
        <f t="shared" si="111"/>
        <v>70126.678611713709</v>
      </c>
      <c r="AG41" s="9">
        <f t="shared" si="111"/>
        <v>77372.120573068183</v>
      </c>
      <c r="AH41" s="9">
        <f t="shared" si="111"/>
        <v>85149.980598227703</v>
      </c>
      <c r="AI41" s="9">
        <f t="shared" si="111"/>
        <v>93500.963440572523</v>
      </c>
      <c r="AJ41" s="10">
        <f t="shared" ref="AJ41" si="112">AJ40*$C$31</f>
        <v>102468.95468608444</v>
      </c>
    </row>
    <row r="42" spans="2:36" x14ac:dyDescent="0.25">
      <c r="F42" s="32" t="s">
        <v>45</v>
      </c>
      <c r="G42" s="11">
        <f>IF(G37-G41&lt;G38,G41,G37-G38)</f>
        <v>3166.9</v>
      </c>
      <c r="H42" s="12">
        <f t="shared" ref="H42:P42" si="113">IF(H37-H41&lt;H38,H41,H37-H38)</f>
        <v>3620.12</v>
      </c>
      <c r="I42" s="12">
        <f t="shared" si="113"/>
        <v>4656.92</v>
      </c>
      <c r="J42" s="12">
        <f t="shared" si="113"/>
        <v>5763.1856000000025</v>
      </c>
      <c r="K42" s="12">
        <f t="shared" si="113"/>
        <v>6943.9349120000043</v>
      </c>
      <c r="L42" s="12">
        <f t="shared" si="113"/>
        <v>8204.5659315200028</v>
      </c>
      <c r="M42" s="12">
        <f t="shared" si="113"/>
        <v>9550.8860656640081</v>
      </c>
      <c r="N42" s="12">
        <f t="shared" si="113"/>
        <v>10989.143988924421</v>
      </c>
      <c r="O42" s="12">
        <f t="shared" si="113"/>
        <v>12526.06401156597</v>
      </c>
      <c r="P42" s="12">
        <f t="shared" si="113"/>
        <v>14168.883160159938</v>
      </c>
      <c r="Q42" s="12">
        <f t="shared" ref="Q42:AI42" si="114">IF(Q37-Q41&lt;Q38,Q41,Q37-Q38)</f>
        <v>15925.391185748173</v>
      </c>
      <c r="R42" s="12">
        <f t="shared" si="114"/>
        <v>17803.973732294482</v>
      </c>
      <c r="S42" s="12">
        <f t="shared" si="114"/>
        <v>19813.658916631957</v>
      </c>
      <c r="T42" s="12">
        <f t="shared" si="114"/>
        <v>21964.167591146586</v>
      </c>
      <c r="U42" s="12">
        <f t="shared" si="114"/>
        <v>24265.967582069748</v>
      </c>
      <c r="V42" s="12">
        <f t="shared" si="114"/>
        <v>26730.332219612021</v>
      </c>
      <c r="W42" s="12">
        <f t="shared" si="114"/>
        <v>29369.40350139674</v>
      </c>
      <c r="X42" s="12">
        <f t="shared" si="114"/>
        <v>32797.058352453598</v>
      </c>
      <c r="Y42" s="12">
        <f t="shared" si="114"/>
        <v>36936.324681217578</v>
      </c>
      <c r="Z42" s="12">
        <f t="shared" si="114"/>
        <v>41372.231102705366</v>
      </c>
      <c r="AA42" s="12">
        <f t="shared" si="114"/>
        <v>46127.128775791789</v>
      </c>
      <c r="AB42" s="12">
        <f t="shared" si="114"/>
        <v>51225.101750119946</v>
      </c>
      <c r="AC42" s="12">
        <f t="shared" si="114"/>
        <v>56692.103389284937</v>
      </c>
      <c r="AD42" s="12">
        <f t="shared" si="114"/>
        <v>62556.103619549351</v>
      </c>
      <c r="AE42" s="12">
        <f t="shared" si="114"/>
        <v>68847.247866599777</v>
      </c>
      <c r="AF42" s="12">
        <f t="shared" si="114"/>
        <v>75598.0286117137</v>
      </c>
      <c r="AG42" s="12">
        <f t="shared" si="114"/>
        <v>82843.470573068174</v>
      </c>
      <c r="AH42" s="12">
        <f t="shared" si="114"/>
        <v>90621.330598227694</v>
      </c>
      <c r="AI42" s="12">
        <f t="shared" si="114"/>
        <v>98972.313440572529</v>
      </c>
      <c r="AJ42" s="13">
        <f t="shared" ref="AJ42" si="115">IF(AJ37-AJ41&lt;AJ38,AJ41,AJ37-AJ38)</f>
        <v>108721.3451432634</v>
      </c>
    </row>
    <row r="43" spans="2:36" x14ac:dyDescent="0.25">
      <c r="F43" s="19" t="s">
        <v>57</v>
      </c>
      <c r="G43" s="17">
        <f>IF(G9-G29-G30&lt;=0,0,G9-G29-G30)</f>
        <v>0</v>
      </c>
      <c r="H43" s="3">
        <f t="shared" ref="H43:P43" si="116">IF(H9-H29-H30&lt;=0,0,H9-H29-H30)</f>
        <v>0</v>
      </c>
      <c r="I43" s="3">
        <f t="shared" si="116"/>
        <v>0</v>
      </c>
      <c r="J43" s="3">
        <f t="shared" si="116"/>
        <v>0</v>
      </c>
      <c r="K43" s="3">
        <f t="shared" si="116"/>
        <v>0</v>
      </c>
      <c r="L43" s="3">
        <f t="shared" si="116"/>
        <v>0</v>
      </c>
      <c r="M43" s="3">
        <f t="shared" si="116"/>
        <v>0</v>
      </c>
      <c r="N43" s="3">
        <f t="shared" si="116"/>
        <v>0</v>
      </c>
      <c r="O43" s="3">
        <f t="shared" si="116"/>
        <v>0</v>
      </c>
      <c r="P43" s="3">
        <f t="shared" si="116"/>
        <v>0</v>
      </c>
      <c r="Q43" s="3">
        <f t="shared" ref="Q43:AI43" si="117">IF(Q9-Q29-Q30&lt;=0,0,Q9-Q29-Q30)</f>
        <v>0</v>
      </c>
      <c r="R43" s="3">
        <f t="shared" si="117"/>
        <v>0</v>
      </c>
      <c r="S43" s="3">
        <f t="shared" si="117"/>
        <v>0</v>
      </c>
      <c r="T43" s="3">
        <f t="shared" si="117"/>
        <v>0</v>
      </c>
      <c r="U43" s="3">
        <f t="shared" si="117"/>
        <v>0</v>
      </c>
      <c r="V43" s="3">
        <f t="shared" si="117"/>
        <v>0</v>
      </c>
      <c r="W43" s="3">
        <f t="shared" si="117"/>
        <v>0</v>
      </c>
      <c r="X43" s="3">
        <f t="shared" si="117"/>
        <v>0</v>
      </c>
      <c r="Y43" s="3">
        <f t="shared" si="117"/>
        <v>0</v>
      </c>
      <c r="Z43" s="3">
        <f t="shared" si="117"/>
        <v>3707.3194318958667</v>
      </c>
      <c r="AA43" s="3">
        <f t="shared" si="117"/>
        <v>8490.9008864251336</v>
      </c>
      <c r="AB43" s="3">
        <f t="shared" si="117"/>
        <v>9063.8306902943332</v>
      </c>
      <c r="AC43" s="3">
        <f t="shared" si="117"/>
        <v>9645.3806322743512</v>
      </c>
      <c r="AD43" s="3">
        <f t="shared" si="117"/>
        <v>10235.680410014891</v>
      </c>
      <c r="AE43" s="3">
        <f t="shared" si="117"/>
        <v>10834.86167260502</v>
      </c>
      <c r="AF43" s="3">
        <f t="shared" si="117"/>
        <v>12066.307742403347</v>
      </c>
      <c r="AG43" s="3">
        <f t="shared" si="117"/>
        <v>12411.052358539397</v>
      </c>
      <c r="AH43" s="3">
        <f t="shared" si="117"/>
        <v>12760.968143917489</v>
      </c>
      <c r="AI43" s="3">
        <f t="shared" si="117"/>
        <v>13116.132666076235</v>
      </c>
      <c r="AJ43" s="18">
        <f t="shared" ref="AJ43" si="118">IF(AJ9-AJ29-AJ30&lt;=0,0,AJ9-AJ29-AJ30)</f>
        <v>14893.291322734047</v>
      </c>
    </row>
    <row r="44" spans="2:36" x14ac:dyDescent="0.25">
      <c r="F44" s="29" t="s">
        <v>141</v>
      </c>
      <c r="G44" s="8">
        <f>IF(G43&lt;=38400,G43*0.15,(G43-38400)*0.28+38400*0.15)</f>
        <v>0</v>
      </c>
      <c r="H44" s="9">
        <f t="shared" ref="H44:P44" si="119">IF(H43&lt;=38400,H43*0.15,(H43-38400)*0.28+38400*0.15)</f>
        <v>0</v>
      </c>
      <c r="I44" s="9">
        <f t="shared" si="119"/>
        <v>0</v>
      </c>
      <c r="J44" s="9">
        <f t="shared" si="119"/>
        <v>0</v>
      </c>
      <c r="K44" s="9">
        <f t="shared" si="119"/>
        <v>0</v>
      </c>
      <c r="L44" s="9">
        <f t="shared" si="119"/>
        <v>0</v>
      </c>
      <c r="M44" s="9">
        <f t="shared" si="119"/>
        <v>0</v>
      </c>
      <c r="N44" s="9">
        <f t="shared" si="119"/>
        <v>0</v>
      </c>
      <c r="O44" s="9">
        <f t="shared" si="119"/>
        <v>0</v>
      </c>
      <c r="P44" s="9">
        <f t="shared" si="119"/>
        <v>0</v>
      </c>
      <c r="Q44" s="9">
        <f t="shared" ref="Q44:AI44" si="120">IF(Q43&lt;=38400,Q43*0.15,(Q43-38400)*0.28+38400*0.15)</f>
        <v>0</v>
      </c>
      <c r="R44" s="9">
        <f t="shared" si="120"/>
        <v>0</v>
      </c>
      <c r="S44" s="9">
        <f t="shared" si="120"/>
        <v>0</v>
      </c>
      <c r="T44" s="9">
        <f t="shared" si="120"/>
        <v>0</v>
      </c>
      <c r="U44" s="9">
        <f t="shared" si="120"/>
        <v>0</v>
      </c>
      <c r="V44" s="9">
        <f t="shared" si="120"/>
        <v>0</v>
      </c>
      <c r="W44" s="9">
        <f t="shared" si="120"/>
        <v>0</v>
      </c>
      <c r="X44" s="9">
        <f t="shared" si="120"/>
        <v>0</v>
      </c>
      <c r="Y44" s="9">
        <f t="shared" si="120"/>
        <v>0</v>
      </c>
      <c r="Z44" s="9">
        <f t="shared" si="120"/>
        <v>556.09791478438001</v>
      </c>
      <c r="AA44" s="9">
        <f t="shared" si="120"/>
        <v>1273.63513296377</v>
      </c>
      <c r="AB44" s="9">
        <f t="shared" si="120"/>
        <v>1359.57460354415</v>
      </c>
      <c r="AC44" s="9">
        <f t="shared" si="120"/>
        <v>1446.8070948411525</v>
      </c>
      <c r="AD44" s="9">
        <f t="shared" si="120"/>
        <v>1535.3520615022337</v>
      </c>
      <c r="AE44" s="9">
        <f t="shared" si="120"/>
        <v>1625.2292508907531</v>
      </c>
      <c r="AF44" s="9">
        <f t="shared" si="120"/>
        <v>1809.9461613605019</v>
      </c>
      <c r="AG44" s="9">
        <f t="shared" si="120"/>
        <v>1861.6578537809094</v>
      </c>
      <c r="AH44" s="9">
        <f t="shared" si="120"/>
        <v>1914.1452215876234</v>
      </c>
      <c r="AI44" s="9">
        <f t="shared" si="120"/>
        <v>1967.4198999114351</v>
      </c>
      <c r="AJ44" s="10">
        <f t="shared" ref="AJ44" si="121">IF(AJ43&lt;=38400,AJ43*0.15,(AJ43-38400)*0.28+38400*0.15)</f>
        <v>2233.9936984101068</v>
      </c>
    </row>
    <row r="45" spans="2:36" x14ac:dyDescent="0.25">
      <c r="F45" s="29" t="s">
        <v>92</v>
      </c>
      <c r="G45" s="8">
        <f t="shared" ref="G45:P45" si="122">G9-G14-G20-G10-G44</f>
        <v>-3332.1461419131665</v>
      </c>
      <c r="H45" s="9">
        <f t="shared" si="122"/>
        <v>-3094.5461419131698</v>
      </c>
      <c r="I45" s="9">
        <f t="shared" si="122"/>
        <v>-2853.3821419131709</v>
      </c>
      <c r="J45" s="9">
        <f t="shared" si="122"/>
        <v>-2608.6006819131726</v>
      </c>
      <c r="K45" s="9">
        <f t="shared" si="122"/>
        <v>-2360.1475000131722</v>
      </c>
      <c r="L45" s="9">
        <f t="shared" si="122"/>
        <v>-2107.9675203846782</v>
      </c>
      <c r="M45" s="9">
        <f t="shared" si="122"/>
        <v>-1852.0048410617528</v>
      </c>
      <c r="N45" s="9">
        <f t="shared" si="122"/>
        <v>-1592.2027215489816</v>
      </c>
      <c r="O45" s="9">
        <f t="shared" si="122"/>
        <v>-1328.5035702435234</v>
      </c>
      <c r="P45" s="9">
        <f t="shared" si="122"/>
        <v>-1060.8489316684845</v>
      </c>
      <c r="Q45" s="9">
        <f t="shared" ref="Q45:AI45" si="123">Q9-Q14-Q20-Q10-Q44</f>
        <v>-789.17947351481416</v>
      </c>
      <c r="R45" s="9">
        <f t="shared" si="123"/>
        <v>-513.43497348884193</v>
      </c>
      <c r="S45" s="9">
        <f t="shared" si="123"/>
        <v>-233.5543059624797</v>
      </c>
      <c r="T45" s="9">
        <f t="shared" si="123"/>
        <v>50.524571576777817</v>
      </c>
      <c r="U45" s="9">
        <f t="shared" si="123"/>
        <v>338.86463227912645</v>
      </c>
      <c r="V45" s="9">
        <f t="shared" si="123"/>
        <v>631.52979389200482</v>
      </c>
      <c r="W45" s="9">
        <f t="shared" si="123"/>
        <v>928.58493292908133</v>
      </c>
      <c r="X45" s="9">
        <f t="shared" si="123"/>
        <v>1230.0958990517083</v>
      </c>
      <c r="Y45" s="9">
        <f t="shared" si="123"/>
        <v>1536.1295296661847</v>
      </c>
      <c r="Z45" s="9">
        <f t="shared" si="123"/>
        <v>1290.6557499554901</v>
      </c>
      <c r="AA45" s="9">
        <f t="shared" si="123"/>
        <v>888.40202887589385</v>
      </c>
      <c r="AB45" s="9">
        <f t="shared" si="123"/>
        <v>1122.4753078517986</v>
      </c>
      <c r="AC45" s="9">
        <f t="shared" si="123"/>
        <v>1360.0557573544309</v>
      </c>
      <c r="AD45" s="9">
        <f t="shared" si="123"/>
        <v>1601.1959256049793</v>
      </c>
      <c r="AE45" s="9">
        <f t="shared" si="123"/>
        <v>1845.9491481517643</v>
      </c>
      <c r="AF45" s="9">
        <f t="shared" si="123"/>
        <v>20673.028247709513</v>
      </c>
      <c r="AG45" s="9">
        <f t="shared" si="123"/>
        <v>20966.06117142515</v>
      </c>
      <c r="AH45" s="9">
        <f t="shared" si="123"/>
        <v>21263.48958899653</v>
      </c>
      <c r="AI45" s="9">
        <f t="shared" si="123"/>
        <v>21565.379432831469</v>
      </c>
      <c r="AJ45" s="10">
        <f t="shared" ref="AJ45" si="124">AJ9-AJ14-AJ20-AJ10-AJ44</f>
        <v>21659.297624323939</v>
      </c>
    </row>
    <row r="46" spans="2:36" s="50" customFormat="1" x14ac:dyDescent="0.25">
      <c r="C46" s="51"/>
      <c r="D46" s="51"/>
      <c r="F46" s="29" t="s">
        <v>93</v>
      </c>
      <c r="G46" s="58">
        <f>IF(G45&gt;0,G45*0.7,G45)</f>
        <v>-3332.1461419131665</v>
      </c>
      <c r="H46" s="47">
        <f t="shared" ref="H46:P46" si="125">IF(H45&gt;0,H45*0.7,H45)</f>
        <v>-3094.5461419131698</v>
      </c>
      <c r="I46" s="47">
        <f t="shared" si="125"/>
        <v>-2853.3821419131709</v>
      </c>
      <c r="J46" s="47">
        <f t="shared" si="125"/>
        <v>-2608.6006819131726</v>
      </c>
      <c r="K46" s="47">
        <f t="shared" si="125"/>
        <v>-2360.1475000131722</v>
      </c>
      <c r="L46" s="47">
        <f t="shared" si="125"/>
        <v>-2107.9675203846782</v>
      </c>
      <c r="M46" s="47">
        <f t="shared" si="125"/>
        <v>-1852.0048410617528</v>
      </c>
      <c r="N46" s="47">
        <f t="shared" si="125"/>
        <v>-1592.2027215489816</v>
      </c>
      <c r="O46" s="47">
        <f t="shared" si="125"/>
        <v>-1328.5035702435234</v>
      </c>
      <c r="P46" s="47">
        <f t="shared" si="125"/>
        <v>-1060.8489316684845</v>
      </c>
      <c r="Q46" s="47">
        <f t="shared" ref="Q46:AI46" si="126">IF(Q45&gt;0,Q45*0.7,Q45)</f>
        <v>-789.17947351481416</v>
      </c>
      <c r="R46" s="47">
        <f t="shared" si="126"/>
        <v>-513.43497348884193</v>
      </c>
      <c r="S46" s="47">
        <f t="shared" si="126"/>
        <v>-233.5543059624797</v>
      </c>
      <c r="T46" s="47">
        <f t="shared" si="126"/>
        <v>35.367200103744466</v>
      </c>
      <c r="U46" s="47">
        <f t="shared" si="126"/>
        <v>237.20524259538851</v>
      </c>
      <c r="V46" s="47">
        <f t="shared" si="126"/>
        <v>442.07085572440337</v>
      </c>
      <c r="W46" s="47">
        <f t="shared" si="126"/>
        <v>650.00945305035691</v>
      </c>
      <c r="X46" s="47">
        <f t="shared" si="126"/>
        <v>861.06712933619576</v>
      </c>
      <c r="Y46" s="47">
        <f t="shared" si="126"/>
        <v>1075.2906707663292</v>
      </c>
      <c r="Z46" s="47">
        <f t="shared" si="126"/>
        <v>903.45902496884298</v>
      </c>
      <c r="AA46" s="47">
        <f t="shared" si="126"/>
        <v>621.88142021312569</v>
      </c>
      <c r="AB46" s="47">
        <f t="shared" si="126"/>
        <v>785.73271549625895</v>
      </c>
      <c r="AC46" s="47">
        <f t="shared" si="126"/>
        <v>952.03903014810157</v>
      </c>
      <c r="AD46" s="47">
        <f t="shared" si="126"/>
        <v>1120.8371479234854</v>
      </c>
      <c r="AE46" s="47">
        <f t="shared" si="126"/>
        <v>1292.1644037062349</v>
      </c>
      <c r="AF46" s="47">
        <f t="shared" si="126"/>
        <v>14471.119773396658</v>
      </c>
      <c r="AG46" s="47">
        <f t="shared" si="126"/>
        <v>14676.242819997604</v>
      </c>
      <c r="AH46" s="47">
        <f t="shared" si="126"/>
        <v>14884.44271229757</v>
      </c>
      <c r="AI46" s="47">
        <f t="shared" si="126"/>
        <v>15095.765602982026</v>
      </c>
      <c r="AJ46" s="49">
        <f t="shared" ref="AJ46" si="127">IF(AJ45&gt;0,AJ45*0.7,AJ45)</f>
        <v>15161.508337026757</v>
      </c>
    </row>
    <row r="47" spans="2:36" s="50" customFormat="1" x14ac:dyDescent="0.25">
      <c r="C47" s="51"/>
      <c r="D47" s="51"/>
      <c r="F47" s="32" t="s">
        <v>102</v>
      </c>
      <c r="G47" s="52">
        <f>IF(AND(G8=1,$C$35&gt;$C$15),(G10+G45)/($C$15),
IF(AND(G8&lt;&gt;1,$C$35&gt;$C$15),(G10+G45)/($C$15+F11),
G45/($C$35)))</f>
        <v>0.30251907264910183</v>
      </c>
      <c r="H47" s="53">
        <f t="shared" ref="H47:AJ47" si="128">IF(AND(H8=1,$C$35&gt;$C$15),(H10+H45)/($C$15),
IF(AND(H8&lt;&gt;1,$C$35&gt;$C$15),(H10+H45)/($C$15+G11),
H45/($C$35)))</f>
        <v>0.2240293329320851</v>
      </c>
      <c r="I47" s="53">
        <f t="shared" si="128"/>
        <v>0.18057191985250659</v>
      </c>
      <c r="J47" s="53">
        <f t="shared" si="128"/>
        <v>0.152974346126346</v>
      </c>
      <c r="K47" s="53">
        <f t="shared" si="128"/>
        <v>0.13389596749287261</v>
      </c>
      <c r="L47" s="53">
        <f t="shared" si="128"/>
        <v>0.11992074836600673</v>
      </c>
      <c r="M47" s="53">
        <f t="shared" si="128"/>
        <v>0.10924367577436374</v>
      </c>
      <c r="N47" s="53">
        <f t="shared" si="128"/>
        <v>0.10082121237996972</v>
      </c>
      <c r="O47" s="53">
        <f t="shared" si="128"/>
        <v>9.4008054467086294E-2</v>
      </c>
      <c r="P47" s="53">
        <f t="shared" si="128"/>
        <v>8.8383710274009403E-2</v>
      </c>
      <c r="Q47" s="53">
        <f t="shared" si="128"/>
        <v>8.3662443058448263E-2</v>
      </c>
      <c r="R47" s="53">
        <f t="shared" si="128"/>
        <v>7.9643293925237196E-2</v>
      </c>
      <c r="S47" s="53">
        <f t="shared" si="128"/>
        <v>7.6180811057615289E-2</v>
      </c>
      <c r="T47" s="53">
        <f t="shared" si="128"/>
        <v>7.3167122993438569E-2</v>
      </c>
      <c r="U47" s="53">
        <f t="shared" si="128"/>
        <v>7.0520537965063246E-2</v>
      </c>
      <c r="V47" s="53">
        <f t="shared" si="128"/>
        <v>6.8178056138385124E-2</v>
      </c>
      <c r="W47" s="53">
        <f t="shared" si="128"/>
        <v>6.6090312725147871E-2</v>
      </c>
      <c r="X47" s="53">
        <f t="shared" si="128"/>
        <v>6.4218078525727681E-2</v>
      </c>
      <c r="Y47" s="53">
        <f t="shared" si="128"/>
        <v>6.252978562059007E-2</v>
      </c>
      <c r="Z47" s="53">
        <f t="shared" si="128"/>
        <v>5.9150450697434347E-2</v>
      </c>
      <c r="AA47" s="53">
        <f t="shared" si="128"/>
        <v>5.5591651224136146E-2</v>
      </c>
      <c r="AB47" s="53">
        <f t="shared" si="128"/>
        <v>5.4262347254788207E-2</v>
      </c>
      <c r="AC47" s="53">
        <f t="shared" si="128"/>
        <v>5.3042629819640488E-2</v>
      </c>
      <c r="AD47" s="53">
        <f t="shared" si="128"/>
        <v>5.191959553059295E-2</v>
      </c>
      <c r="AE47" s="53">
        <f t="shared" si="128"/>
        <v>5.0882289987921686E-2</v>
      </c>
      <c r="AF47" s="53">
        <f t="shared" si="128"/>
        <v>5.1234270750209455E-2</v>
      </c>
      <c r="AG47" s="53">
        <f t="shared" si="128"/>
        <v>0.6988687057141717</v>
      </c>
      <c r="AH47" s="53">
        <f t="shared" si="128"/>
        <v>0.70878298629988434</v>
      </c>
      <c r="AI47" s="53">
        <f t="shared" si="128"/>
        <v>0.71884598109438225</v>
      </c>
      <c r="AJ47" s="54">
        <f t="shared" si="128"/>
        <v>0.72197658747746463</v>
      </c>
    </row>
    <row r="48" spans="2:36" s="50" customFormat="1" x14ac:dyDescent="0.25">
      <c r="C48" s="51"/>
      <c r="D48" s="51"/>
      <c r="F48" s="32" t="s">
        <v>105</v>
      </c>
      <c r="G48" s="52">
        <f t="shared" ref="G48" si="129">(G10+G45)/$C$35</f>
        <v>2.2492124360528016E-2</v>
      </c>
      <c r="H48" s="53">
        <f>(H10+H45)/$C$35</f>
        <v>2.3545409781194345E-2</v>
      </c>
      <c r="I48" s="53">
        <f t="shared" ref="I48:AJ48" si="130">(I10+I45)/$C$35</f>
        <v>2.4614542578448133E-2</v>
      </c>
      <c r="J48" s="53">
        <f t="shared" si="130"/>
        <v>2.5699761189347928E-2</v>
      </c>
      <c r="K48" s="53">
        <f t="shared" si="130"/>
        <v>2.6801307638479478E-2</v>
      </c>
      <c r="L48" s="53">
        <f t="shared" si="130"/>
        <v>2.7919427591934408E-2</v>
      </c>
      <c r="M48" s="53">
        <f t="shared" si="130"/>
        <v>2.9054370412101033E-2</v>
      </c>
      <c r="N48" s="53">
        <f t="shared" si="130"/>
        <v>3.0206389213279516E-2</v>
      </c>
      <c r="O48" s="53">
        <f t="shared" si="130"/>
        <v>3.1375740918133853E-2</v>
      </c>
      <c r="P48" s="53">
        <f t="shared" si="130"/>
        <v>3.2562686314993344E-2</v>
      </c>
      <c r="Q48" s="53">
        <f t="shared" si="130"/>
        <v>3.3767490116016166E-2</v>
      </c>
      <c r="R48" s="53">
        <f t="shared" si="130"/>
        <v>3.4990421016228027E-2</v>
      </c>
      <c r="S48" s="53">
        <f t="shared" si="130"/>
        <v>3.6231751753449316E-2</v>
      </c>
      <c r="T48" s="53">
        <f t="shared" si="130"/>
        <v>3.7491759169123819E-2</v>
      </c>
      <c r="U48" s="53">
        <f t="shared" si="130"/>
        <v>3.8770724270062652E-2</v>
      </c>
      <c r="V48" s="53">
        <f t="shared" si="130"/>
        <v>4.0068932291117361E-2</v>
      </c>
      <c r="W48" s="53">
        <f t="shared" si="130"/>
        <v>4.1386672758795894E-2</v>
      </c>
      <c r="X48" s="53">
        <f t="shared" si="130"/>
        <v>4.2724239555835798E-2</v>
      </c>
      <c r="Y48" s="53">
        <f t="shared" si="130"/>
        <v>4.4081930986749111E-2</v>
      </c>
      <c r="Z48" s="53">
        <f t="shared" si="130"/>
        <v>4.40818641819384E-2</v>
      </c>
      <c r="AA48" s="53">
        <f t="shared" si="130"/>
        <v>4.3702434746290042E-2</v>
      </c>
      <c r="AB48" s="53">
        <f t="shared" si="130"/>
        <v>4.4909350070425888E-2</v>
      </c>
      <c r="AC48" s="53">
        <f t="shared" si="130"/>
        <v>4.613442429764527E-2</v>
      </c>
      <c r="AD48" s="53">
        <f t="shared" si="130"/>
        <v>4.7377930644806256E-2</v>
      </c>
      <c r="AE48" s="53">
        <f t="shared" si="130"/>
        <v>4.8640146439605778E-2</v>
      </c>
      <c r="AF48" s="53">
        <f t="shared" si="130"/>
        <v>5.1234270750209449E-2</v>
      </c>
      <c r="AG48" s="53">
        <f t="shared" si="130"/>
        <v>5.1960498566109417E-2</v>
      </c>
      <c r="AH48" s="53">
        <f t="shared" si="130"/>
        <v>5.2697619799247905E-2</v>
      </c>
      <c r="AI48" s="53">
        <f t="shared" si="130"/>
        <v>5.3445797850883443E-2</v>
      </c>
      <c r="AJ48" s="54">
        <f t="shared" si="130"/>
        <v>5.3678556689774323E-2</v>
      </c>
    </row>
    <row r="49" spans="3:36" s="50" customFormat="1" x14ac:dyDescent="0.25">
      <c r="C49" s="51"/>
      <c r="D49" s="51"/>
      <c r="F49" s="32" t="s">
        <v>104</v>
      </c>
      <c r="G49" s="52">
        <f>IF(AND(G8=1,$C$35&gt;$C$15),(G10+G46)/($C$15),
IF(AND(G8&lt;&gt;1,$C$35&gt;$C$15),(G10+G46)/($C$15+F11),
G46/($C$35)))</f>
        <v>0.30251907264910183</v>
      </c>
      <c r="H49" s="53">
        <f t="shared" ref="H49:AJ49" si="131">IF(AND(H8=1,$C$35&gt;$C$15),(H10+H46)/($C$15),
IF(AND(H8&lt;&gt;1,$C$35&gt;$C$15),(H10+H46)/($C$15+G11),
H46/($C$35)))</f>
        <v>0.2240293329320851</v>
      </c>
      <c r="I49" s="53">
        <f t="shared" si="131"/>
        <v>0.18057191985250659</v>
      </c>
      <c r="J49" s="53">
        <f t="shared" si="131"/>
        <v>0.152974346126346</v>
      </c>
      <c r="K49" s="53">
        <f t="shared" si="131"/>
        <v>0.13389596749287261</v>
      </c>
      <c r="L49" s="53">
        <f t="shared" si="131"/>
        <v>0.11992074836600673</v>
      </c>
      <c r="M49" s="53">
        <f t="shared" si="131"/>
        <v>0.10924367577436374</v>
      </c>
      <c r="N49" s="53">
        <f t="shared" si="131"/>
        <v>0.10082121237996972</v>
      </c>
      <c r="O49" s="53">
        <f t="shared" si="131"/>
        <v>9.4008054467086294E-2</v>
      </c>
      <c r="P49" s="53">
        <f t="shared" si="131"/>
        <v>8.8383710274009403E-2</v>
      </c>
      <c r="Q49" s="53">
        <f t="shared" si="131"/>
        <v>8.3662443058448263E-2</v>
      </c>
      <c r="R49" s="53">
        <f t="shared" si="131"/>
        <v>7.9643293925237196E-2</v>
      </c>
      <c r="S49" s="53">
        <f t="shared" si="131"/>
        <v>7.6180811057615289E-2</v>
      </c>
      <c r="T49" s="53">
        <f t="shared" si="131"/>
        <v>7.3093813449950432E-2</v>
      </c>
      <c r="U49" s="53">
        <f t="shared" si="131"/>
        <v>7.0062274049454476E-2</v>
      </c>
      <c r="V49" s="53">
        <f t="shared" si="131"/>
        <v>6.7379126735874109E-2</v>
      </c>
      <c r="W49" s="53">
        <f t="shared" si="131"/>
        <v>6.4987817691002092E-2</v>
      </c>
      <c r="X49" s="53">
        <f t="shared" si="131"/>
        <v>6.2843404737891059E-2</v>
      </c>
      <c r="Y49" s="53">
        <f t="shared" si="131"/>
        <v>6.0909722697060804E-2</v>
      </c>
      <c r="Z49" s="53">
        <f t="shared" si="131"/>
        <v>5.7862835060528778E-2</v>
      </c>
      <c r="AA49" s="53">
        <f t="shared" si="131"/>
        <v>5.4751434738792626E-2</v>
      </c>
      <c r="AB49" s="53">
        <f t="shared" si="131"/>
        <v>5.3253985609494597E-2</v>
      </c>
      <c r="AC49" s="53">
        <f t="shared" si="131"/>
        <v>5.1880018970457895E-2</v>
      </c>
      <c r="AD49" s="53">
        <f t="shared" si="131"/>
        <v>5.0614995439051881E-2</v>
      </c>
      <c r="AE49" s="53">
        <f t="shared" si="131"/>
        <v>4.944657172892266E-2</v>
      </c>
      <c r="AF49" s="53">
        <f t="shared" si="131"/>
        <v>3.586398952514662E-2</v>
      </c>
      <c r="AG49" s="53">
        <f t="shared" si="131"/>
        <v>0.4892080939999201</v>
      </c>
      <c r="AH49" s="53">
        <f t="shared" si="131"/>
        <v>0.49614809040991903</v>
      </c>
      <c r="AI49" s="53">
        <f t="shared" si="131"/>
        <v>0.50319218676606758</v>
      </c>
      <c r="AJ49" s="54">
        <f t="shared" si="131"/>
        <v>0.50538361123422526</v>
      </c>
    </row>
    <row r="50" spans="3:36" x14ac:dyDescent="0.25">
      <c r="F50" s="30" t="s">
        <v>103</v>
      </c>
      <c r="G50" s="35">
        <f t="shared" ref="G50" si="132">(G10+G46)/$C$35</f>
        <v>2.2492124360528016E-2</v>
      </c>
      <c r="H50" s="36">
        <f t="shared" ref="H50:AJ50" si="133">(H10+H46)/$C$35</f>
        <v>2.3545409781194345E-2</v>
      </c>
      <c r="I50" s="36">
        <f t="shared" si="133"/>
        <v>2.4614542578448133E-2</v>
      </c>
      <c r="J50" s="36">
        <f t="shared" si="133"/>
        <v>2.5699761189347928E-2</v>
      </c>
      <c r="K50" s="36">
        <f t="shared" si="133"/>
        <v>2.6801307638479478E-2</v>
      </c>
      <c r="L50" s="36">
        <f t="shared" si="133"/>
        <v>2.7919427591934408E-2</v>
      </c>
      <c r="M50" s="36">
        <f t="shared" si="133"/>
        <v>2.9054370412101033E-2</v>
      </c>
      <c r="N50" s="36">
        <f t="shared" si="133"/>
        <v>3.0206389213279516E-2</v>
      </c>
      <c r="O50" s="36">
        <f t="shared" si="133"/>
        <v>3.1375740918133853E-2</v>
      </c>
      <c r="P50" s="36">
        <f t="shared" si="133"/>
        <v>3.2562686314993344E-2</v>
      </c>
      <c r="Q50" s="36">
        <f t="shared" si="133"/>
        <v>3.3767490116016166E-2</v>
      </c>
      <c r="R50" s="36">
        <f t="shared" si="133"/>
        <v>3.4990421016228027E-2</v>
      </c>
      <c r="S50" s="36">
        <f t="shared" si="133"/>
        <v>3.6231751753449316E-2</v>
      </c>
      <c r="T50" s="36">
        <f t="shared" si="133"/>
        <v>3.7454194431892018E-2</v>
      </c>
      <c r="U50" s="36">
        <f t="shared" si="133"/>
        <v>3.8518780305542857E-2</v>
      </c>
      <c r="V50" s="36">
        <f t="shared" si="133"/>
        <v>3.9599393410900255E-2</v>
      </c>
      <c r="W50" s="36">
        <f t="shared" si="133"/>
        <v>4.0696275039146017E-2</v>
      </c>
      <c r="X50" s="36">
        <f t="shared" si="133"/>
        <v>4.1809670114161666E-2</v>
      </c>
      <c r="Y50" s="36">
        <f t="shared" si="133"/>
        <v>4.2939827247220348E-2</v>
      </c>
      <c r="Z50" s="36">
        <f t="shared" si="133"/>
        <v>4.3122268828811643E-2</v>
      </c>
      <c r="AA50" s="36">
        <f t="shared" si="133"/>
        <v>4.304191279173547E-2</v>
      </c>
      <c r="AB50" s="36">
        <f t="shared" si="133"/>
        <v>4.4074795938194071E-2</v>
      </c>
      <c r="AC50" s="36">
        <f t="shared" si="133"/>
        <v>4.5123230426006286E-2</v>
      </c>
      <c r="AD50" s="36">
        <f t="shared" si="133"/>
        <v>4.6187450402720771E-2</v>
      </c>
      <c r="AE50" s="36">
        <f t="shared" si="133"/>
        <v>4.7267693541351678E-2</v>
      </c>
      <c r="AF50" s="36">
        <f t="shared" si="133"/>
        <v>3.5863989525146613E-2</v>
      </c>
      <c r="AG50" s="36">
        <f t="shared" si="133"/>
        <v>3.6372348996276588E-2</v>
      </c>
      <c r="AH50" s="36">
        <f t="shared" si="133"/>
        <v>3.6888333859473529E-2</v>
      </c>
      <c r="AI50" s="36">
        <f t="shared" si="133"/>
        <v>3.7412058495618405E-2</v>
      </c>
      <c r="AJ50" s="37">
        <f t="shared" si="133"/>
        <v>3.7574989682842022E-2</v>
      </c>
    </row>
    <row r="51" spans="3:36" x14ac:dyDescent="0.25">
      <c r="F51" s="29" t="s">
        <v>46</v>
      </c>
      <c r="G51" s="8">
        <f t="shared" ref="G51:P51" si="134">IF(G9-G29-G30&lt;=0,0,G9-G29-G30)</f>
        <v>0</v>
      </c>
      <c r="H51" s="9">
        <f t="shared" si="134"/>
        <v>0</v>
      </c>
      <c r="I51" s="9">
        <f t="shared" si="134"/>
        <v>0</v>
      </c>
      <c r="J51" s="9">
        <f t="shared" si="134"/>
        <v>0</v>
      </c>
      <c r="K51" s="9">
        <f t="shared" si="134"/>
        <v>0</v>
      </c>
      <c r="L51" s="9">
        <f t="shared" si="134"/>
        <v>0</v>
      </c>
      <c r="M51" s="9">
        <f t="shared" si="134"/>
        <v>0</v>
      </c>
      <c r="N51" s="9">
        <f t="shared" si="134"/>
        <v>0</v>
      </c>
      <c r="O51" s="9">
        <f t="shared" si="134"/>
        <v>0</v>
      </c>
      <c r="P51" s="9">
        <f t="shared" si="134"/>
        <v>0</v>
      </c>
      <c r="Q51" s="9">
        <f t="shared" ref="Q51:AI51" si="135">IF(Q9-Q29-Q30&lt;=0,0,Q9-Q29-Q30)</f>
        <v>0</v>
      </c>
      <c r="R51" s="9">
        <f t="shared" si="135"/>
        <v>0</v>
      </c>
      <c r="S51" s="9">
        <f t="shared" si="135"/>
        <v>0</v>
      </c>
      <c r="T51" s="9">
        <f t="shared" si="135"/>
        <v>0</v>
      </c>
      <c r="U51" s="9">
        <f t="shared" si="135"/>
        <v>0</v>
      </c>
      <c r="V51" s="9">
        <f t="shared" si="135"/>
        <v>0</v>
      </c>
      <c r="W51" s="9">
        <f t="shared" si="135"/>
        <v>0</v>
      </c>
      <c r="X51" s="9">
        <f t="shared" si="135"/>
        <v>0</v>
      </c>
      <c r="Y51" s="9">
        <f t="shared" si="135"/>
        <v>0</v>
      </c>
      <c r="Z51" s="9">
        <f t="shared" si="135"/>
        <v>3707.3194318958667</v>
      </c>
      <c r="AA51" s="9">
        <f t="shared" si="135"/>
        <v>8490.9008864251336</v>
      </c>
      <c r="AB51" s="9">
        <f t="shared" si="135"/>
        <v>9063.8306902943332</v>
      </c>
      <c r="AC51" s="9">
        <f t="shared" si="135"/>
        <v>9645.3806322743512</v>
      </c>
      <c r="AD51" s="9">
        <f t="shared" si="135"/>
        <v>10235.680410014891</v>
      </c>
      <c r="AE51" s="9">
        <f t="shared" si="135"/>
        <v>10834.86167260502</v>
      </c>
      <c r="AF51" s="9">
        <f t="shared" si="135"/>
        <v>12066.307742403347</v>
      </c>
      <c r="AG51" s="9">
        <f t="shared" si="135"/>
        <v>12411.052358539397</v>
      </c>
      <c r="AH51" s="9">
        <f t="shared" si="135"/>
        <v>12760.968143917489</v>
      </c>
      <c r="AI51" s="9">
        <f t="shared" si="135"/>
        <v>13116.132666076235</v>
      </c>
      <c r="AJ51" s="10">
        <f t="shared" ref="AJ51" si="136">IF(AJ9-AJ29-AJ30&lt;=0,0,AJ9-AJ29-AJ30)</f>
        <v>14893.291322734047</v>
      </c>
    </row>
    <row r="52" spans="3:36" x14ac:dyDescent="0.25">
      <c r="F52" s="29" t="s">
        <v>47</v>
      </c>
      <c r="G52" s="8">
        <f t="shared" ref="G52:P52" si="137">G51+G34</f>
        <v>54000</v>
      </c>
      <c r="H52" s="9">
        <f t="shared" si="137"/>
        <v>57240</v>
      </c>
      <c r="I52" s="9">
        <f t="shared" si="137"/>
        <v>60696</v>
      </c>
      <c r="J52" s="9">
        <f>J51+J34</f>
        <v>64383.552000000011</v>
      </c>
      <c r="K52" s="9">
        <f t="shared" si="137"/>
        <v>68319.383040000015</v>
      </c>
      <c r="L52" s="9">
        <f t="shared" si="137"/>
        <v>72521.48643840001</v>
      </c>
      <c r="M52" s="9">
        <f t="shared" si="137"/>
        <v>77009.220218880029</v>
      </c>
      <c r="N52" s="9">
        <f t="shared" si="137"/>
        <v>81803.413296414743</v>
      </c>
      <c r="O52" s="9">
        <f t="shared" si="137"/>
        <v>86926.480038553229</v>
      </c>
      <c r="P52" s="9">
        <f t="shared" si="137"/>
        <v>92402.543867199798</v>
      </c>
      <c r="Q52" s="9">
        <f t="shared" ref="Q52:AI52" si="138">Q51+Q34</f>
        <v>98257.570619160571</v>
      </c>
      <c r="R52" s="9">
        <f t="shared" si="138"/>
        <v>104519.51244098161</v>
      </c>
      <c r="S52" s="9">
        <f t="shared" si="138"/>
        <v>111218.46305543986</v>
      </c>
      <c r="T52" s="9">
        <f t="shared" si="138"/>
        <v>118386.82530382196</v>
      </c>
      <c r="U52" s="9">
        <f t="shared" si="138"/>
        <v>126059.4919402325</v>
      </c>
      <c r="V52" s="9">
        <f t="shared" si="138"/>
        <v>134274.04073204007</v>
      </c>
      <c r="W52" s="9">
        <f t="shared" si="138"/>
        <v>143070.9450046558</v>
      </c>
      <c r="X52" s="9">
        <f t="shared" si="138"/>
        <v>152493.80085964291</v>
      </c>
      <c r="Y52" s="9">
        <f t="shared" si="138"/>
        <v>162589.5723932136</v>
      </c>
      <c r="Z52" s="9">
        <f t="shared" si="138"/>
        <v>177116.17577995773</v>
      </c>
      <c r="AA52" s="9">
        <f t="shared" si="138"/>
        <v>193497.06863225877</v>
      </c>
      <c r="AB52" s="9">
        <f t="shared" si="138"/>
        <v>206504.07886131859</v>
      </c>
      <c r="AC52" s="9">
        <f t="shared" si="138"/>
        <v>220419.77914272543</v>
      </c>
      <c r="AD52" s="9">
        <f t="shared" si="138"/>
        <v>235312.51850647674</v>
      </c>
      <c r="AE52" s="9">
        <f t="shared" si="138"/>
        <v>251255.95403016545</v>
      </c>
      <c r="AF52" s="9">
        <f t="shared" si="138"/>
        <v>268952.71899048553</v>
      </c>
      <c r="AG52" s="9">
        <f t="shared" si="138"/>
        <v>286969.27326846181</v>
      </c>
      <c r="AH52" s="9">
        <f t="shared" si="138"/>
        <v>306289.57935910701</v>
      </c>
      <c r="AI52" s="9">
        <f t="shared" si="138"/>
        <v>327012.99471625313</v>
      </c>
      <c r="AJ52" s="10">
        <f t="shared" ref="AJ52" si="139">AJ51+AJ34</f>
        <v>350663.30275220826</v>
      </c>
    </row>
    <row r="53" spans="3:36" x14ac:dyDescent="0.25">
      <c r="F53" s="29" t="s">
        <v>48</v>
      </c>
      <c r="G53" s="8">
        <f>IF($C$29=0,G52,G52/2)</f>
        <v>27000</v>
      </c>
      <c r="H53" s="9">
        <f t="shared" ref="H53:P53" si="140">IF($C$29=0,H52,H52/2)</f>
        <v>28620</v>
      </c>
      <c r="I53" s="9">
        <f t="shared" si="140"/>
        <v>30348</v>
      </c>
      <c r="J53" s="9">
        <f t="shared" si="140"/>
        <v>32191.776000000005</v>
      </c>
      <c r="K53" s="9">
        <f t="shared" si="140"/>
        <v>34159.691520000008</v>
      </c>
      <c r="L53" s="9">
        <f t="shared" si="140"/>
        <v>36260.743219200005</v>
      </c>
      <c r="M53" s="9">
        <f t="shared" si="140"/>
        <v>38504.610109440015</v>
      </c>
      <c r="N53" s="9">
        <f t="shared" si="140"/>
        <v>40901.706648207371</v>
      </c>
      <c r="O53" s="9">
        <f t="shared" si="140"/>
        <v>43463.240019276614</v>
      </c>
      <c r="P53" s="9">
        <f t="shared" si="140"/>
        <v>46201.271933599899</v>
      </c>
      <c r="Q53" s="9">
        <f t="shared" ref="Q53:AI53" si="141">IF($C$29=0,Q52,Q52/2)</f>
        <v>49128.785309580286</v>
      </c>
      <c r="R53" s="9">
        <f t="shared" si="141"/>
        <v>52259.756220490803</v>
      </c>
      <c r="S53" s="9">
        <f t="shared" si="141"/>
        <v>55609.23152771993</v>
      </c>
      <c r="T53" s="9">
        <f t="shared" si="141"/>
        <v>59193.412651910978</v>
      </c>
      <c r="U53" s="9">
        <f t="shared" si="141"/>
        <v>63029.745970116252</v>
      </c>
      <c r="V53" s="9">
        <f t="shared" si="141"/>
        <v>67137.020366020035</v>
      </c>
      <c r="W53" s="9">
        <f t="shared" si="141"/>
        <v>71535.472502327902</v>
      </c>
      <c r="X53" s="9">
        <f t="shared" si="141"/>
        <v>76246.900429821457</v>
      </c>
      <c r="Y53" s="9">
        <f t="shared" si="141"/>
        <v>81294.786196606801</v>
      </c>
      <c r="Z53" s="9">
        <f t="shared" si="141"/>
        <v>88558.087889978866</v>
      </c>
      <c r="AA53" s="9">
        <f t="shared" si="141"/>
        <v>96748.534316129386</v>
      </c>
      <c r="AB53" s="9">
        <f t="shared" si="141"/>
        <v>103252.03943065929</v>
      </c>
      <c r="AC53" s="9">
        <f t="shared" si="141"/>
        <v>110209.88957136271</v>
      </c>
      <c r="AD53" s="9">
        <f t="shared" si="141"/>
        <v>117656.25925323837</v>
      </c>
      <c r="AE53" s="9">
        <f t="shared" si="141"/>
        <v>125627.97701508272</v>
      </c>
      <c r="AF53" s="9">
        <f t="shared" si="141"/>
        <v>134476.35949524277</v>
      </c>
      <c r="AG53" s="9">
        <f t="shared" si="141"/>
        <v>143484.6366342309</v>
      </c>
      <c r="AH53" s="9">
        <f t="shared" si="141"/>
        <v>153144.78967955351</v>
      </c>
      <c r="AI53" s="9">
        <f t="shared" si="141"/>
        <v>163506.49735812657</v>
      </c>
      <c r="AJ53" s="10">
        <f t="shared" ref="AJ53" si="142">IF($C$29=0,AJ52,AJ52/2)</f>
        <v>175331.65137610413</v>
      </c>
    </row>
    <row r="54" spans="3:36" x14ac:dyDescent="0.25">
      <c r="F54" s="29" t="s">
        <v>49</v>
      </c>
      <c r="G54" s="8">
        <f>IF(G53&lt;10084,0,
IF(AND(G53&gt;10084,G53&lt;=25710),(G53-10084)*0.11,
IF(AND(G53&gt;25710,G53&lt;=73516),(G53-25710)*0.3+1721.06,
IF(AND(G53&gt;73516,G53&lt;=158122),(G53-73516)*0.41+16062.86,
IF(G53&gt;158122,(G53-158122)*0.45+50751.32,
0)))))</f>
        <v>2108.06</v>
      </c>
      <c r="H54" s="9">
        <f t="shared" ref="H54:P54" si="143">IF(H53&lt;10084,0,
IF(AND(H53&gt;10084,H53&lt;=25710),(H53-10084)*0.11,
IF(AND(H53&gt;25710,H53&lt;=73516),(H53-25710)*0.3+1721.06,
IF(AND(H53&gt;73516,H53&lt;=158122),(H53-73516)*0.41+16062.86,
IF(H53&gt;158122,(H53-158122)*0.45+50751.32,
0)))))</f>
        <v>2594.06</v>
      </c>
      <c r="I54" s="9">
        <f t="shared" si="143"/>
        <v>3112.46</v>
      </c>
      <c r="J54" s="9">
        <f t="shared" si="143"/>
        <v>3665.5928000000013</v>
      </c>
      <c r="K54" s="9">
        <f t="shared" si="143"/>
        <v>4255.9674560000021</v>
      </c>
      <c r="L54" s="9">
        <f t="shared" si="143"/>
        <v>4886.2829657600014</v>
      </c>
      <c r="M54" s="9">
        <f t="shared" si="143"/>
        <v>5559.4430328320041</v>
      </c>
      <c r="N54" s="9">
        <f t="shared" si="143"/>
        <v>6278.5719944622106</v>
      </c>
      <c r="O54" s="9">
        <f t="shared" si="143"/>
        <v>7047.0320057829849</v>
      </c>
      <c r="P54" s="9">
        <f t="shared" si="143"/>
        <v>7868.4415800799688</v>
      </c>
      <c r="Q54" s="9">
        <f t="shared" ref="Q54:AI54" si="144">IF(Q53&lt;10084,0,
IF(AND(Q53&gt;10084,Q53&lt;=25710),(Q53-10084)*0.11,
IF(AND(Q53&gt;25710,Q53&lt;=73516),(Q53-25710)*0.3+1721.06,
IF(AND(Q53&gt;73516,Q53&lt;=158122),(Q53-73516)*0.41+16062.86,
IF(Q53&gt;158122,(Q53-158122)*0.45+50751.32,
0)))))</f>
        <v>8746.6955928740863</v>
      </c>
      <c r="R54" s="9">
        <f t="shared" si="144"/>
        <v>9685.986866147241</v>
      </c>
      <c r="S54" s="9">
        <f t="shared" si="144"/>
        <v>10690.829458315979</v>
      </c>
      <c r="T54" s="9">
        <f t="shared" si="144"/>
        <v>11766.083795573293</v>
      </c>
      <c r="U54" s="9">
        <f t="shared" si="144"/>
        <v>12916.983791034874</v>
      </c>
      <c r="V54" s="9">
        <f t="shared" si="144"/>
        <v>14149.16610980601</v>
      </c>
      <c r="W54" s="9">
        <f t="shared" si="144"/>
        <v>15468.70175069837</v>
      </c>
      <c r="X54" s="9">
        <f t="shared" si="144"/>
        <v>17182.529176226799</v>
      </c>
      <c r="Y54" s="9">
        <f t="shared" si="144"/>
        <v>19252.162340608789</v>
      </c>
      <c r="Z54" s="9">
        <f t="shared" si="144"/>
        <v>22230.116034891336</v>
      </c>
      <c r="AA54" s="9">
        <f t="shared" si="144"/>
        <v>25588.199069613049</v>
      </c>
      <c r="AB54" s="9">
        <f t="shared" si="144"/>
        <v>28254.636166570308</v>
      </c>
      <c r="AC54" s="9">
        <f t="shared" si="144"/>
        <v>31107.354724258712</v>
      </c>
      <c r="AD54" s="9">
        <f t="shared" si="144"/>
        <v>34160.366293827727</v>
      </c>
      <c r="AE54" s="9">
        <f t="shared" si="144"/>
        <v>37428.770576183917</v>
      </c>
      <c r="AF54" s="9">
        <f t="shared" si="144"/>
        <v>41056.607393049533</v>
      </c>
      <c r="AG54" s="9">
        <f t="shared" si="144"/>
        <v>44750.001020034673</v>
      </c>
      <c r="AH54" s="9">
        <f t="shared" si="144"/>
        <v>48710.663768616934</v>
      </c>
      <c r="AI54" s="9">
        <f t="shared" si="144"/>
        <v>53174.343811156956</v>
      </c>
      <c r="AJ54" s="10">
        <f t="shared" ref="AJ54" si="145">IF(AJ53&lt;10084,0,
IF(AND(AJ53&gt;10084,AJ53&lt;=25710),(AJ53-10084)*0.11,
IF(AND(AJ53&gt;25710,AJ53&lt;=73516),(AJ53-25710)*0.3+1721.06,
IF(AND(AJ53&gt;73516,AJ53&lt;=158122),(AJ53-73516)*0.41+16062.86,
IF(AJ53&gt;158122,(AJ53-158122)*0.45+50751.32,
0)))))</f>
        <v>58495.663119246856</v>
      </c>
    </row>
    <row r="55" spans="3:36" x14ac:dyDescent="0.25">
      <c r="F55" s="29" t="s">
        <v>50</v>
      </c>
      <c r="G55" s="8">
        <f>IF($C$29=0,G54,G54*2)</f>
        <v>4216.12</v>
      </c>
      <c r="H55" s="9">
        <f t="shared" ref="H55:P55" si="146">IF($C$29=0,H54,H54*2)</f>
        <v>5188.12</v>
      </c>
      <c r="I55" s="9">
        <f t="shared" si="146"/>
        <v>6224.92</v>
      </c>
      <c r="J55" s="9">
        <f t="shared" si="146"/>
        <v>7331.1856000000025</v>
      </c>
      <c r="K55" s="9">
        <f t="shared" si="146"/>
        <v>8511.9349120000043</v>
      </c>
      <c r="L55" s="9">
        <f t="shared" si="146"/>
        <v>9772.5659315200028</v>
      </c>
      <c r="M55" s="9">
        <f t="shared" si="146"/>
        <v>11118.886065664008</v>
      </c>
      <c r="N55" s="9">
        <f t="shared" si="146"/>
        <v>12557.143988924421</v>
      </c>
      <c r="O55" s="9">
        <f t="shared" si="146"/>
        <v>14094.06401156597</v>
      </c>
      <c r="P55" s="9">
        <f t="shared" si="146"/>
        <v>15736.883160159938</v>
      </c>
      <c r="Q55" s="9">
        <f t="shared" ref="Q55:AI55" si="147">IF($C$29=0,Q54,Q54*2)</f>
        <v>17493.391185748173</v>
      </c>
      <c r="R55" s="9">
        <f t="shared" si="147"/>
        <v>19371.973732294482</v>
      </c>
      <c r="S55" s="9">
        <f t="shared" si="147"/>
        <v>21381.658916631957</v>
      </c>
      <c r="T55" s="9">
        <f t="shared" si="147"/>
        <v>23532.167591146586</v>
      </c>
      <c r="U55" s="9">
        <f t="shared" si="147"/>
        <v>25833.967582069748</v>
      </c>
      <c r="V55" s="9">
        <f t="shared" si="147"/>
        <v>28298.332219612021</v>
      </c>
      <c r="W55" s="9">
        <f t="shared" si="147"/>
        <v>30937.40350139674</v>
      </c>
      <c r="X55" s="9">
        <f t="shared" si="147"/>
        <v>34365.058352453598</v>
      </c>
      <c r="Y55" s="9">
        <f t="shared" si="147"/>
        <v>38504.324681217578</v>
      </c>
      <c r="Z55" s="9">
        <f t="shared" si="147"/>
        <v>44460.232069782673</v>
      </c>
      <c r="AA55" s="9">
        <f t="shared" si="147"/>
        <v>51176.398139226098</v>
      </c>
      <c r="AB55" s="9">
        <f t="shared" si="147"/>
        <v>56509.272333140616</v>
      </c>
      <c r="AC55" s="9">
        <f t="shared" si="147"/>
        <v>62214.709448517424</v>
      </c>
      <c r="AD55" s="9">
        <f t="shared" si="147"/>
        <v>68320.732587655453</v>
      </c>
      <c r="AE55" s="9">
        <f t="shared" si="147"/>
        <v>74857.541152367834</v>
      </c>
      <c r="AF55" s="9">
        <f t="shared" si="147"/>
        <v>82113.214786099066</v>
      </c>
      <c r="AG55" s="9">
        <f t="shared" si="147"/>
        <v>89500.002040069347</v>
      </c>
      <c r="AH55" s="9">
        <f t="shared" si="147"/>
        <v>97421.327537233868</v>
      </c>
      <c r="AI55" s="9">
        <f t="shared" si="147"/>
        <v>106348.68762231391</v>
      </c>
      <c r="AJ55" s="10">
        <f t="shared" ref="AJ55" si="148">IF($C$29=0,AJ54,AJ54*2)</f>
        <v>116991.32623849371</v>
      </c>
    </row>
    <row r="56" spans="3:36" x14ac:dyDescent="0.25">
      <c r="F56" s="29" t="s">
        <v>51</v>
      </c>
      <c r="G56" s="8">
        <f>G52/$C$31</f>
        <v>21600</v>
      </c>
      <c r="H56" s="9">
        <f t="shared" ref="H56:P56" si="149">H52/$C$31</f>
        <v>22896</v>
      </c>
      <c r="I56" s="9">
        <f t="shared" si="149"/>
        <v>24278.400000000001</v>
      </c>
      <c r="J56" s="9">
        <f t="shared" si="149"/>
        <v>25753.420800000004</v>
      </c>
      <c r="K56" s="9">
        <f t="shared" si="149"/>
        <v>27327.753216000005</v>
      </c>
      <c r="L56" s="9">
        <f t="shared" si="149"/>
        <v>29008.594575360003</v>
      </c>
      <c r="M56" s="9">
        <f t="shared" si="149"/>
        <v>30803.688087552011</v>
      </c>
      <c r="N56" s="9">
        <f t="shared" si="149"/>
        <v>32721.365318565899</v>
      </c>
      <c r="O56" s="9">
        <f t="shared" si="149"/>
        <v>34770.592015421294</v>
      </c>
      <c r="P56" s="9">
        <f t="shared" si="149"/>
        <v>36961.017546879921</v>
      </c>
      <c r="Q56" s="9">
        <f t="shared" ref="Q56:AI56" si="150">Q52/$C$31</f>
        <v>39303.028247664231</v>
      </c>
      <c r="R56" s="9">
        <f t="shared" si="150"/>
        <v>41807.804976392639</v>
      </c>
      <c r="S56" s="9">
        <f t="shared" si="150"/>
        <v>44487.385222175944</v>
      </c>
      <c r="T56" s="9">
        <f t="shared" si="150"/>
        <v>47354.730121528781</v>
      </c>
      <c r="U56" s="9">
        <f t="shared" si="150"/>
        <v>50423.796776093004</v>
      </c>
      <c r="V56" s="9">
        <f t="shared" si="150"/>
        <v>53709.616292816027</v>
      </c>
      <c r="W56" s="9">
        <f t="shared" si="150"/>
        <v>57228.378001862322</v>
      </c>
      <c r="X56" s="9">
        <f t="shared" si="150"/>
        <v>60997.520343857163</v>
      </c>
      <c r="Y56" s="9">
        <f t="shared" si="150"/>
        <v>65035.828957285441</v>
      </c>
      <c r="Z56" s="9">
        <f t="shared" si="150"/>
        <v>70846.470311983096</v>
      </c>
      <c r="AA56" s="9">
        <f t="shared" si="150"/>
        <v>77398.827452903512</v>
      </c>
      <c r="AB56" s="9">
        <f t="shared" si="150"/>
        <v>82601.631544527438</v>
      </c>
      <c r="AC56" s="9">
        <f t="shared" si="150"/>
        <v>88167.911657090168</v>
      </c>
      <c r="AD56" s="9">
        <f t="shared" si="150"/>
        <v>94125.007402590694</v>
      </c>
      <c r="AE56" s="9">
        <f t="shared" si="150"/>
        <v>100502.38161206618</v>
      </c>
      <c r="AF56" s="9">
        <f t="shared" si="150"/>
        <v>107581.08759619421</v>
      </c>
      <c r="AG56" s="9">
        <f t="shared" si="150"/>
        <v>114787.70930738472</v>
      </c>
      <c r="AH56" s="9">
        <f t="shared" si="150"/>
        <v>122515.8317436428</v>
      </c>
      <c r="AI56" s="9">
        <f t="shared" si="150"/>
        <v>130805.19788650125</v>
      </c>
      <c r="AJ56" s="10">
        <f t="shared" ref="AJ56" si="151">AJ52/$C$31</f>
        <v>140265.3211008833</v>
      </c>
    </row>
    <row r="57" spans="3:36" x14ac:dyDescent="0.25">
      <c r="F57" s="29" t="s">
        <v>52</v>
      </c>
      <c r="G57" s="8">
        <f>IF(G56&lt;10084,0,
IF(AND(G56&gt;10084,G56&lt;=25710),(G56-10084)*0.11,
IF(AND(G56&gt;25710,G56&lt;=73516),(G56-25710)*0.3+1721.06,
IF(AND(G56&gt;73516,G56&lt;=158122),(G56-73516)*0.41+16062.86,
IF(G56&gt;158122,(G56-158122)*0.45+50751.32,
0)))))</f>
        <v>1266.76</v>
      </c>
      <c r="H57" s="9">
        <f t="shared" ref="H57:P57" si="152">IF(H56&lt;10084,0,
IF(AND(H56&gt;10084,H56&lt;=25710),(H56-10084)*0.11,
IF(AND(H56&gt;25710,H56&lt;=73516),(H56-25710)*0.3+1721.06,
IF(AND(H56&gt;73516,H56&lt;=158122),(H56-73516)*0.41+16062.86,
IF(H56&gt;158122,(H56-158122)*0.45+50751.32,
0)))))</f>
        <v>1409.32</v>
      </c>
      <c r="I57" s="9">
        <f t="shared" si="152"/>
        <v>1561.3840000000002</v>
      </c>
      <c r="J57" s="9">
        <f t="shared" si="152"/>
        <v>1734.086240000001</v>
      </c>
      <c r="K57" s="9">
        <f t="shared" si="152"/>
        <v>2206.3859648000011</v>
      </c>
      <c r="L57" s="9">
        <f t="shared" si="152"/>
        <v>2710.6383726080007</v>
      </c>
      <c r="M57" s="9">
        <f t="shared" si="152"/>
        <v>3249.1664262656031</v>
      </c>
      <c r="N57" s="9">
        <f t="shared" si="152"/>
        <v>3824.4695955697694</v>
      </c>
      <c r="O57" s="9">
        <f t="shared" si="152"/>
        <v>4439.237604626388</v>
      </c>
      <c r="P57" s="9">
        <f t="shared" si="152"/>
        <v>5096.3652640639757</v>
      </c>
      <c r="Q57" s="9">
        <f t="shared" ref="Q57:AI57" si="153">IF(Q56&lt;10084,0,
IF(AND(Q56&gt;10084,Q56&lt;=25710),(Q56-10084)*0.11,
IF(AND(Q56&gt;25710,Q56&lt;=73516),(Q56-25710)*0.3+1721.06,
IF(AND(Q56&gt;73516,Q56&lt;=158122),(Q56-73516)*0.41+16062.86,
IF(Q56&gt;158122,(Q56-158122)*0.45+50751.32,
0)))))</f>
        <v>5798.9684742992686</v>
      </c>
      <c r="R57" s="9">
        <f t="shared" si="153"/>
        <v>6550.401492917792</v>
      </c>
      <c r="S57" s="9">
        <f t="shared" si="153"/>
        <v>7354.2755666527828</v>
      </c>
      <c r="T57" s="9">
        <f t="shared" si="153"/>
        <v>8214.4790364586333</v>
      </c>
      <c r="U57" s="9">
        <f t="shared" si="153"/>
        <v>9135.1990328279007</v>
      </c>
      <c r="V57" s="9">
        <f t="shared" si="153"/>
        <v>10120.944887844807</v>
      </c>
      <c r="W57" s="9">
        <f t="shared" si="153"/>
        <v>11176.573400558696</v>
      </c>
      <c r="X57" s="9">
        <f t="shared" si="153"/>
        <v>12307.316103157147</v>
      </c>
      <c r="Y57" s="9">
        <f t="shared" si="153"/>
        <v>13518.808687185632</v>
      </c>
      <c r="Z57" s="9">
        <f t="shared" si="153"/>
        <v>15262.001093594929</v>
      </c>
      <c r="AA57" s="9">
        <f t="shared" si="153"/>
        <v>17654.81925569044</v>
      </c>
      <c r="AB57" s="9">
        <f t="shared" si="153"/>
        <v>19787.968933256248</v>
      </c>
      <c r="AC57" s="9">
        <f t="shared" si="153"/>
        <v>22070.143779406968</v>
      </c>
      <c r="AD57" s="9">
        <f t="shared" si="153"/>
        <v>24512.553035062185</v>
      </c>
      <c r="AE57" s="9">
        <f t="shared" si="153"/>
        <v>27127.276460947134</v>
      </c>
      <c r="AF57" s="9">
        <f t="shared" si="153"/>
        <v>30029.545914439623</v>
      </c>
      <c r="AG57" s="9">
        <f t="shared" si="153"/>
        <v>32984.26081602773</v>
      </c>
      <c r="AH57" s="9">
        <f t="shared" si="153"/>
        <v>36152.791014893548</v>
      </c>
      <c r="AI57" s="9">
        <f t="shared" si="153"/>
        <v>39551.431133465507</v>
      </c>
      <c r="AJ57" s="10">
        <f t="shared" ref="AJ57" si="154">IF(AJ56&lt;10084,0,
IF(AND(AJ56&gt;10084,AJ56&lt;=25710),(AJ56-10084)*0.11,
IF(AND(AJ56&gt;25710,AJ56&lt;=73516),(AJ56-25710)*0.3+1721.06,
IF(AND(AJ56&gt;73516,AJ56&lt;=158122),(AJ56-73516)*0.41+16062.86,
IF(AJ56&gt;158122,(AJ56-158122)*0.45+50751.32,
0)))))</f>
        <v>43430.081651362154</v>
      </c>
    </row>
    <row r="58" spans="3:36" x14ac:dyDescent="0.25">
      <c r="F58" s="29" t="s">
        <v>53</v>
      </c>
      <c r="G58" s="8">
        <f>G57*$C$31</f>
        <v>3166.9</v>
      </c>
      <c r="H58" s="9">
        <f t="shared" ref="H58:P58" si="155">H57*$C$31</f>
        <v>3523.2999999999997</v>
      </c>
      <c r="I58" s="9">
        <f t="shared" si="155"/>
        <v>3903.4600000000005</v>
      </c>
      <c r="J58" s="9">
        <f t="shared" si="155"/>
        <v>4335.2156000000023</v>
      </c>
      <c r="K58" s="9">
        <f t="shared" si="155"/>
        <v>5515.9649120000031</v>
      </c>
      <c r="L58" s="9">
        <f t="shared" si="155"/>
        <v>6776.5959315200016</v>
      </c>
      <c r="M58" s="9">
        <f t="shared" si="155"/>
        <v>8122.9160656640079</v>
      </c>
      <c r="N58" s="9">
        <f t="shared" si="155"/>
        <v>9561.1739889244236</v>
      </c>
      <c r="O58" s="9">
        <f t="shared" si="155"/>
        <v>11098.094011565971</v>
      </c>
      <c r="P58" s="9">
        <f t="shared" si="155"/>
        <v>12740.91316015994</v>
      </c>
      <c r="Q58" s="9">
        <f t="shared" ref="Q58:AI58" si="156">Q57*$C$31</f>
        <v>14497.421185748171</v>
      </c>
      <c r="R58" s="9">
        <f t="shared" si="156"/>
        <v>16376.003732294481</v>
      </c>
      <c r="S58" s="9">
        <f t="shared" si="156"/>
        <v>18385.688916631956</v>
      </c>
      <c r="T58" s="9">
        <f t="shared" si="156"/>
        <v>20536.197591146585</v>
      </c>
      <c r="U58" s="9">
        <f t="shared" si="156"/>
        <v>22837.997582069751</v>
      </c>
      <c r="V58" s="9">
        <f t="shared" si="156"/>
        <v>25302.36221961202</v>
      </c>
      <c r="W58" s="9">
        <f t="shared" si="156"/>
        <v>27941.433501396743</v>
      </c>
      <c r="X58" s="9">
        <f t="shared" si="156"/>
        <v>30768.29025789287</v>
      </c>
      <c r="Y58" s="9">
        <f t="shared" si="156"/>
        <v>33797.021717964082</v>
      </c>
      <c r="Z58" s="9">
        <f t="shared" si="156"/>
        <v>38155.00273398732</v>
      </c>
      <c r="AA58" s="9">
        <f t="shared" si="156"/>
        <v>44137.048139226099</v>
      </c>
      <c r="AB58" s="9">
        <f t="shared" si="156"/>
        <v>49469.922333140625</v>
      </c>
      <c r="AC58" s="9">
        <f t="shared" si="156"/>
        <v>55175.359448517418</v>
      </c>
      <c r="AD58" s="9">
        <f t="shared" si="156"/>
        <v>61281.382587655462</v>
      </c>
      <c r="AE58" s="9">
        <f t="shared" si="156"/>
        <v>67818.191152367828</v>
      </c>
      <c r="AF58" s="9">
        <f t="shared" si="156"/>
        <v>75073.86478609906</v>
      </c>
      <c r="AG58" s="9">
        <f t="shared" si="156"/>
        <v>82460.652040069326</v>
      </c>
      <c r="AH58" s="9">
        <f t="shared" si="156"/>
        <v>90381.977537233877</v>
      </c>
      <c r="AI58" s="9">
        <f t="shared" si="156"/>
        <v>98878.57783366376</v>
      </c>
      <c r="AJ58" s="10">
        <f t="shared" ref="AJ58" si="157">AJ57*$C$31</f>
        <v>108575.20412840538</v>
      </c>
    </row>
    <row r="59" spans="3:36" x14ac:dyDescent="0.25">
      <c r="F59" s="29" t="s">
        <v>54</v>
      </c>
      <c r="G59" s="8">
        <f t="shared" ref="G59:P59" si="158">IF(G55-G38&gt;G58,G55-G38,G58)</f>
        <v>3166.9</v>
      </c>
      <c r="H59" s="9">
        <f t="shared" si="158"/>
        <v>3620.12</v>
      </c>
      <c r="I59" s="9">
        <f t="shared" si="158"/>
        <v>4656.92</v>
      </c>
      <c r="J59" s="9">
        <f t="shared" si="158"/>
        <v>5763.1856000000025</v>
      </c>
      <c r="K59" s="9">
        <f t="shared" si="158"/>
        <v>6943.9349120000043</v>
      </c>
      <c r="L59" s="9">
        <f t="shared" si="158"/>
        <v>8204.5659315200028</v>
      </c>
      <c r="M59" s="9">
        <f t="shared" si="158"/>
        <v>9550.8860656640081</v>
      </c>
      <c r="N59" s="9">
        <f t="shared" si="158"/>
        <v>10989.143988924421</v>
      </c>
      <c r="O59" s="9">
        <f t="shared" si="158"/>
        <v>12526.06401156597</v>
      </c>
      <c r="P59" s="9">
        <f t="shared" si="158"/>
        <v>14168.883160159938</v>
      </c>
      <c r="Q59" s="9">
        <f t="shared" ref="Q59:AI59" si="159">IF(Q55-Q38&gt;Q58,Q55-Q38,Q58)</f>
        <v>15925.391185748173</v>
      </c>
      <c r="R59" s="9">
        <f t="shared" si="159"/>
        <v>17803.973732294482</v>
      </c>
      <c r="S59" s="9">
        <f t="shared" si="159"/>
        <v>19813.658916631957</v>
      </c>
      <c r="T59" s="9">
        <f t="shared" si="159"/>
        <v>21964.167591146586</v>
      </c>
      <c r="U59" s="9">
        <f t="shared" si="159"/>
        <v>24265.967582069748</v>
      </c>
      <c r="V59" s="9">
        <f t="shared" si="159"/>
        <v>26730.332219612021</v>
      </c>
      <c r="W59" s="9">
        <f t="shared" si="159"/>
        <v>29369.40350139674</v>
      </c>
      <c r="X59" s="9">
        <f t="shared" si="159"/>
        <v>32797.058352453598</v>
      </c>
      <c r="Y59" s="9">
        <f t="shared" si="159"/>
        <v>36936.324681217578</v>
      </c>
      <c r="Z59" s="9">
        <f t="shared" si="159"/>
        <v>42892.232069782673</v>
      </c>
      <c r="AA59" s="9">
        <f t="shared" si="159"/>
        <v>49608.398139226098</v>
      </c>
      <c r="AB59" s="9">
        <f t="shared" si="159"/>
        <v>54941.272333140616</v>
      </c>
      <c r="AC59" s="9">
        <f t="shared" si="159"/>
        <v>60646.709448517424</v>
      </c>
      <c r="AD59" s="9">
        <f t="shared" si="159"/>
        <v>66752.732587655453</v>
      </c>
      <c r="AE59" s="9">
        <f t="shared" si="159"/>
        <v>73289.541152367834</v>
      </c>
      <c r="AF59" s="9">
        <f t="shared" si="159"/>
        <v>80545.214786099066</v>
      </c>
      <c r="AG59" s="9">
        <f t="shared" si="159"/>
        <v>87932.002040069347</v>
      </c>
      <c r="AH59" s="9">
        <f t="shared" si="159"/>
        <v>95853.327537233868</v>
      </c>
      <c r="AI59" s="9">
        <f t="shared" si="159"/>
        <v>104780.68762231391</v>
      </c>
      <c r="AJ59" s="10">
        <f t="shared" ref="AJ59" si="160">IF(AJ55-AJ38&gt;AJ58,AJ55-AJ38,AJ58)</f>
        <v>115423.32623849371</v>
      </c>
    </row>
    <row r="60" spans="3:36" x14ac:dyDescent="0.25">
      <c r="F60" s="29" t="s">
        <v>55</v>
      </c>
      <c r="G60" s="8">
        <f>G51*0.172</f>
        <v>0</v>
      </c>
      <c r="H60" s="9">
        <f t="shared" ref="H60:P60" si="161">H51*0.172</f>
        <v>0</v>
      </c>
      <c r="I60" s="9">
        <f t="shared" si="161"/>
        <v>0</v>
      </c>
      <c r="J60" s="9">
        <f t="shared" si="161"/>
        <v>0</v>
      </c>
      <c r="K60" s="9">
        <f t="shared" si="161"/>
        <v>0</v>
      </c>
      <c r="L60" s="9">
        <f t="shared" si="161"/>
        <v>0</v>
      </c>
      <c r="M60" s="9">
        <f t="shared" si="161"/>
        <v>0</v>
      </c>
      <c r="N60" s="9">
        <f t="shared" si="161"/>
        <v>0</v>
      </c>
      <c r="O60" s="9">
        <f t="shared" si="161"/>
        <v>0</v>
      </c>
      <c r="P60" s="9">
        <f t="shared" si="161"/>
        <v>0</v>
      </c>
      <c r="Q60" s="9">
        <f t="shared" ref="Q60:AI60" si="162">Q51*0.172</f>
        <v>0</v>
      </c>
      <c r="R60" s="9">
        <f t="shared" si="162"/>
        <v>0</v>
      </c>
      <c r="S60" s="9">
        <f t="shared" si="162"/>
        <v>0</v>
      </c>
      <c r="T60" s="9">
        <f t="shared" si="162"/>
        <v>0</v>
      </c>
      <c r="U60" s="9">
        <f t="shared" si="162"/>
        <v>0</v>
      </c>
      <c r="V60" s="9">
        <f t="shared" si="162"/>
        <v>0</v>
      </c>
      <c r="W60" s="9">
        <f t="shared" si="162"/>
        <v>0</v>
      </c>
      <c r="X60" s="9">
        <f t="shared" si="162"/>
        <v>0</v>
      </c>
      <c r="Y60" s="9">
        <f t="shared" si="162"/>
        <v>0</v>
      </c>
      <c r="Z60" s="9">
        <f t="shared" si="162"/>
        <v>637.65894228608897</v>
      </c>
      <c r="AA60" s="9">
        <f t="shared" si="162"/>
        <v>1460.4349524651229</v>
      </c>
      <c r="AB60" s="9">
        <f t="shared" si="162"/>
        <v>1558.9788787306252</v>
      </c>
      <c r="AC60" s="9">
        <f t="shared" si="162"/>
        <v>1659.0054687511883</v>
      </c>
      <c r="AD60" s="9">
        <f t="shared" si="162"/>
        <v>1760.5370305225611</v>
      </c>
      <c r="AE60" s="9">
        <f t="shared" si="162"/>
        <v>1863.5962076880633</v>
      </c>
      <c r="AF60" s="9">
        <f t="shared" si="162"/>
        <v>2075.4049316933756</v>
      </c>
      <c r="AG60" s="9">
        <f t="shared" si="162"/>
        <v>2134.7010056687759</v>
      </c>
      <c r="AH60" s="9">
        <f t="shared" si="162"/>
        <v>2194.8865207538079</v>
      </c>
      <c r="AI60" s="9">
        <f t="shared" si="162"/>
        <v>2255.9748185651124</v>
      </c>
      <c r="AJ60" s="10">
        <f t="shared" ref="AJ60" si="163">AJ51*0.172</f>
        <v>2561.6461075102557</v>
      </c>
    </row>
    <row r="61" spans="3:36" x14ac:dyDescent="0.25">
      <c r="F61" s="29" t="s">
        <v>56</v>
      </c>
      <c r="G61" s="8">
        <f t="shared" ref="G61:P61" si="164">G59+G60-G42</f>
        <v>0</v>
      </c>
      <c r="H61" s="9">
        <f t="shared" si="164"/>
        <v>0</v>
      </c>
      <c r="I61" s="9">
        <f t="shared" si="164"/>
        <v>0</v>
      </c>
      <c r="J61" s="9">
        <f t="shared" si="164"/>
        <v>0</v>
      </c>
      <c r="K61" s="9">
        <f t="shared" si="164"/>
        <v>0</v>
      </c>
      <c r="L61" s="9">
        <f t="shared" si="164"/>
        <v>0</v>
      </c>
      <c r="M61" s="9">
        <f t="shared" si="164"/>
        <v>0</v>
      </c>
      <c r="N61" s="9">
        <f t="shared" si="164"/>
        <v>0</v>
      </c>
      <c r="O61" s="9">
        <f t="shared" si="164"/>
        <v>0</v>
      </c>
      <c r="P61" s="9">
        <f t="shared" si="164"/>
        <v>0</v>
      </c>
      <c r="Q61" s="9">
        <f t="shared" ref="Q61:AI61" si="165">Q59+Q60-Q42</f>
        <v>0</v>
      </c>
      <c r="R61" s="9">
        <f t="shared" si="165"/>
        <v>0</v>
      </c>
      <c r="S61" s="9">
        <f t="shared" si="165"/>
        <v>0</v>
      </c>
      <c r="T61" s="9">
        <f t="shared" si="165"/>
        <v>0</v>
      </c>
      <c r="U61" s="9">
        <f t="shared" si="165"/>
        <v>0</v>
      </c>
      <c r="V61" s="9">
        <f t="shared" si="165"/>
        <v>0</v>
      </c>
      <c r="W61" s="9">
        <f t="shared" si="165"/>
        <v>0</v>
      </c>
      <c r="X61" s="9">
        <f t="shared" si="165"/>
        <v>0</v>
      </c>
      <c r="Y61" s="9">
        <f t="shared" si="165"/>
        <v>0</v>
      </c>
      <c r="Z61" s="9">
        <f t="shared" si="165"/>
        <v>2157.6599093633995</v>
      </c>
      <c r="AA61" s="9">
        <f t="shared" si="165"/>
        <v>4941.7043158994347</v>
      </c>
      <c r="AB61" s="9">
        <f t="shared" si="165"/>
        <v>5275.1494617512944</v>
      </c>
      <c r="AC61" s="9">
        <f t="shared" si="165"/>
        <v>5613.611527983674</v>
      </c>
      <c r="AD61" s="9">
        <f t="shared" si="165"/>
        <v>5957.1659986286686</v>
      </c>
      <c r="AE61" s="9">
        <f t="shared" si="165"/>
        <v>6305.8894934561249</v>
      </c>
      <c r="AF61" s="9">
        <f t="shared" si="165"/>
        <v>7022.5911060787475</v>
      </c>
      <c r="AG61" s="9">
        <f t="shared" si="165"/>
        <v>7223.2324726699444</v>
      </c>
      <c r="AH61" s="9">
        <f t="shared" si="165"/>
        <v>7426.883459759978</v>
      </c>
      <c r="AI61" s="9">
        <f t="shared" si="165"/>
        <v>8064.3490003064944</v>
      </c>
      <c r="AJ61" s="10">
        <f t="shared" ref="AJ61" si="166">AJ59+AJ60-AJ42</f>
        <v>9263.6272027405648</v>
      </c>
    </row>
    <row r="62" spans="3:36" x14ac:dyDescent="0.25">
      <c r="F62" s="32" t="s">
        <v>94</v>
      </c>
      <c r="G62" s="11">
        <f t="shared" ref="G62:P62" si="167">G9-G14-G20-G10-G61</f>
        <v>-3332.1461419131665</v>
      </c>
      <c r="H62" s="12">
        <f t="shared" si="167"/>
        <v>-3094.5461419131698</v>
      </c>
      <c r="I62" s="12">
        <f t="shared" si="167"/>
        <v>-2853.3821419131709</v>
      </c>
      <c r="J62" s="12">
        <f t="shared" si="167"/>
        <v>-2608.6006819131726</v>
      </c>
      <c r="K62" s="12">
        <f t="shared" si="167"/>
        <v>-2360.1475000131722</v>
      </c>
      <c r="L62" s="12">
        <f t="shared" si="167"/>
        <v>-2107.9675203846782</v>
      </c>
      <c r="M62" s="12">
        <f t="shared" si="167"/>
        <v>-1852.0048410617528</v>
      </c>
      <c r="N62" s="12">
        <f t="shared" si="167"/>
        <v>-1592.2027215489816</v>
      </c>
      <c r="O62" s="12">
        <f t="shared" si="167"/>
        <v>-1328.5035702435234</v>
      </c>
      <c r="P62" s="12">
        <f t="shared" si="167"/>
        <v>-1060.8489316684845</v>
      </c>
      <c r="Q62" s="12">
        <f t="shared" ref="Q62:AI62" si="168">Q9-Q14-Q20-Q10-Q61</f>
        <v>-789.17947351481416</v>
      </c>
      <c r="R62" s="12">
        <f t="shared" si="168"/>
        <v>-513.43497348884193</v>
      </c>
      <c r="S62" s="12">
        <f t="shared" si="168"/>
        <v>-233.5543059624797</v>
      </c>
      <c r="T62" s="12">
        <f t="shared" si="168"/>
        <v>50.524571576777817</v>
      </c>
      <c r="U62" s="12">
        <f t="shared" si="168"/>
        <v>338.86463227912645</v>
      </c>
      <c r="V62" s="12">
        <f t="shared" si="168"/>
        <v>631.52979389200482</v>
      </c>
      <c r="W62" s="12">
        <f t="shared" si="168"/>
        <v>928.58493292908133</v>
      </c>
      <c r="X62" s="12">
        <f t="shared" si="168"/>
        <v>1230.0958990517083</v>
      </c>
      <c r="Y62" s="12">
        <f t="shared" si="168"/>
        <v>1536.1295296661847</v>
      </c>
      <c r="Z62" s="12">
        <f t="shared" si="168"/>
        <v>-310.90624462352935</v>
      </c>
      <c r="AA62" s="12">
        <f t="shared" si="168"/>
        <v>-2779.6671540597708</v>
      </c>
      <c r="AB62" s="12">
        <f t="shared" si="168"/>
        <v>-2793.0995503553459</v>
      </c>
      <c r="AC62" s="12">
        <f t="shared" si="168"/>
        <v>-2806.7486757880906</v>
      </c>
      <c r="AD62" s="12">
        <f t="shared" si="168"/>
        <v>-2820.6180115214556</v>
      </c>
      <c r="AE62" s="12">
        <f t="shared" si="168"/>
        <v>-2834.7110944136075</v>
      </c>
      <c r="AF62" s="12">
        <f t="shared" si="168"/>
        <v>15460.383302991268</v>
      </c>
      <c r="AG62" s="12">
        <f t="shared" si="168"/>
        <v>15604.486552536117</v>
      </c>
      <c r="AH62" s="12">
        <f t="shared" si="168"/>
        <v>15750.751350824175</v>
      </c>
      <c r="AI62" s="12">
        <f t="shared" si="168"/>
        <v>15468.450332436409</v>
      </c>
      <c r="AJ62" s="13">
        <f t="shared" ref="AJ62" si="169">AJ9-AJ14-AJ20-AJ10-AJ61</f>
        <v>14629.664119993482</v>
      </c>
    </row>
    <row r="63" spans="3:36" x14ac:dyDescent="0.25">
      <c r="F63" s="32" t="s">
        <v>106</v>
      </c>
      <c r="G63" s="52">
        <f>IF(AND(G8=1,$C$35&gt;$C$15),(G10+G62)/($C$15),
IF(AND(G8&lt;&gt;1,$C$35&gt;$C$15),(G10+G62)/($C$15+F11),
G62/($C$35)))</f>
        <v>0.30251907264910183</v>
      </c>
      <c r="H63" s="39">
        <f t="shared" ref="H63:AJ63" si="170">IF(AND(H8=1,$C$35&gt;$C$15),(H10+H62)/($C$15),
IF(AND(H8&lt;&gt;1,$C$35&gt;$C$15),(H10+H62)/($C$15+G11),
H62/($C$35)))</f>
        <v>0.2240293329320851</v>
      </c>
      <c r="I63" s="39">
        <f t="shared" si="170"/>
        <v>0.18057191985250659</v>
      </c>
      <c r="J63" s="39">
        <f t="shared" si="170"/>
        <v>0.152974346126346</v>
      </c>
      <c r="K63" s="39">
        <f t="shared" si="170"/>
        <v>0.13389596749287261</v>
      </c>
      <c r="L63" s="39">
        <f t="shared" si="170"/>
        <v>0.11992074836600673</v>
      </c>
      <c r="M63" s="39">
        <f t="shared" si="170"/>
        <v>0.10924367577436374</v>
      </c>
      <c r="N63" s="39">
        <f t="shared" si="170"/>
        <v>0.10082121237996972</v>
      </c>
      <c r="O63" s="39">
        <f t="shared" si="170"/>
        <v>9.4008054467086294E-2</v>
      </c>
      <c r="P63" s="39">
        <f t="shared" si="170"/>
        <v>8.8383710274009403E-2</v>
      </c>
      <c r="Q63" s="39">
        <f t="shared" si="170"/>
        <v>8.3662443058448263E-2</v>
      </c>
      <c r="R63" s="39">
        <f t="shared" si="170"/>
        <v>7.9643293925237196E-2</v>
      </c>
      <c r="S63" s="39">
        <f t="shared" si="170"/>
        <v>7.6180811057615289E-2</v>
      </c>
      <c r="T63" s="39">
        <f t="shared" si="170"/>
        <v>7.3167122993438569E-2</v>
      </c>
      <c r="U63" s="39">
        <f t="shared" si="170"/>
        <v>7.0520537965063246E-2</v>
      </c>
      <c r="V63" s="39">
        <f t="shared" si="170"/>
        <v>6.8178056138385124E-2</v>
      </c>
      <c r="W63" s="39">
        <f t="shared" si="170"/>
        <v>6.6090312725147871E-2</v>
      </c>
      <c r="X63" s="39">
        <f t="shared" si="170"/>
        <v>6.4218078525727681E-2</v>
      </c>
      <c r="Y63" s="39">
        <f t="shared" si="170"/>
        <v>6.252978562059007E-2</v>
      </c>
      <c r="Z63" s="39">
        <f t="shared" si="170"/>
        <v>5.3824485536533941E-2</v>
      </c>
      <c r="AA63" s="39">
        <f t="shared" si="170"/>
        <v>4.4027921828700418E-2</v>
      </c>
      <c r="AB63" s="39">
        <f t="shared" si="170"/>
        <v>4.2537321683555007E-2</v>
      </c>
      <c r="AC63" s="39">
        <f t="shared" si="170"/>
        <v>4.1169655705165294E-2</v>
      </c>
      <c r="AD63" s="39">
        <f t="shared" si="170"/>
        <v>3.991044916920862E-2</v>
      </c>
      <c r="AE63" s="39">
        <f t="shared" si="170"/>
        <v>3.8747413681153128E-2</v>
      </c>
      <c r="AF63" s="39">
        <f t="shared" si="170"/>
        <v>3.8315695918193976E-2</v>
      </c>
      <c r="AG63" s="39">
        <f t="shared" si="170"/>
        <v>0.52014955175120392</v>
      </c>
      <c r="AH63" s="39">
        <f t="shared" si="170"/>
        <v>0.52502504502747249</v>
      </c>
      <c r="AI63" s="39">
        <f t="shared" si="170"/>
        <v>0.51561501108121366</v>
      </c>
      <c r="AJ63" s="40">
        <f t="shared" si="170"/>
        <v>0.48765547066644938</v>
      </c>
    </row>
    <row r="64" spans="3:36" x14ac:dyDescent="0.25">
      <c r="F64" s="30" t="s">
        <v>107</v>
      </c>
      <c r="G64" s="38">
        <f t="shared" ref="G64:P64" si="171">(G10+G62)/$C$35</f>
        <v>2.2492124360528016E-2</v>
      </c>
      <c r="H64" s="39">
        <f t="shared" si="171"/>
        <v>2.3545409781194345E-2</v>
      </c>
      <c r="I64" s="39">
        <f t="shared" si="171"/>
        <v>2.4614542578448133E-2</v>
      </c>
      <c r="J64" s="39">
        <f t="shared" si="171"/>
        <v>2.5699761189347928E-2</v>
      </c>
      <c r="K64" s="39">
        <f t="shared" si="171"/>
        <v>2.6801307638479478E-2</v>
      </c>
      <c r="L64" s="39">
        <f t="shared" si="171"/>
        <v>2.7919427591934408E-2</v>
      </c>
      <c r="M64" s="39">
        <f t="shared" si="171"/>
        <v>2.9054370412101033E-2</v>
      </c>
      <c r="N64" s="39">
        <f t="shared" si="171"/>
        <v>3.0206389213279516E-2</v>
      </c>
      <c r="O64" s="39">
        <f t="shared" si="171"/>
        <v>3.1375740918133853E-2</v>
      </c>
      <c r="P64" s="39">
        <f t="shared" si="171"/>
        <v>3.2562686314993344E-2</v>
      </c>
      <c r="Q64" s="39">
        <f t="shared" ref="Q64:AI64" si="172">(Q10+Q62)/$C$35</f>
        <v>3.3767490116016166E-2</v>
      </c>
      <c r="R64" s="39">
        <f t="shared" si="172"/>
        <v>3.4990421016228027E-2</v>
      </c>
      <c r="S64" s="39">
        <f t="shared" si="172"/>
        <v>3.6231751753449316E-2</v>
      </c>
      <c r="T64" s="39">
        <f t="shared" si="172"/>
        <v>3.7491759169123819E-2</v>
      </c>
      <c r="U64" s="39">
        <f t="shared" si="172"/>
        <v>3.8770724270062652E-2</v>
      </c>
      <c r="V64" s="39">
        <f t="shared" si="172"/>
        <v>4.0068932291117361E-2</v>
      </c>
      <c r="W64" s="39">
        <f t="shared" si="172"/>
        <v>4.1386672758795894E-2</v>
      </c>
      <c r="X64" s="39">
        <f t="shared" si="172"/>
        <v>4.2724239555835798E-2</v>
      </c>
      <c r="Y64" s="39">
        <f t="shared" si="172"/>
        <v>4.4081930986749111E-2</v>
      </c>
      <c r="Z64" s="39">
        <f t="shared" si="172"/>
        <v>4.0112689474183699E-2</v>
      </c>
      <c r="AA64" s="39">
        <f t="shared" si="172"/>
        <v>3.4611804800972409E-2</v>
      </c>
      <c r="AB64" s="39">
        <f t="shared" si="172"/>
        <v>3.5205323160371012E-2</v>
      </c>
      <c r="AC64" s="39">
        <f t="shared" si="172"/>
        <v>3.580777142740358E-2</v>
      </c>
      <c r="AD64" s="39">
        <f t="shared" si="172"/>
        <v>3.6419283960478041E-2</v>
      </c>
      <c r="AE64" s="39">
        <f t="shared" si="172"/>
        <v>3.7039997139567682E-2</v>
      </c>
      <c r="AF64" s="39">
        <f t="shared" si="172"/>
        <v>3.8315695918193969E-2</v>
      </c>
      <c r="AG64" s="39">
        <f t="shared" si="172"/>
        <v>3.8672829126483559E-2</v>
      </c>
      <c r="AH64" s="39">
        <f t="shared" si="172"/>
        <v>3.9035319332897583E-2</v>
      </c>
      <c r="AI64" s="39">
        <f t="shared" si="172"/>
        <v>3.833568855622406E-2</v>
      </c>
      <c r="AJ64" s="40">
        <f t="shared" ref="AJ64" si="173">(AJ10+AJ62)/$C$35</f>
        <v>3.6256912317208137E-2</v>
      </c>
    </row>
    <row r="65" spans="3:36" x14ac:dyDescent="0.25">
      <c r="F65" s="19" t="s">
        <v>59</v>
      </c>
      <c r="G65" s="17">
        <f t="shared" ref="G65:P65" si="174">G9*0.5</f>
        <v>11000</v>
      </c>
      <c r="H65" s="3">
        <f t="shared" si="174"/>
        <v>11164.999999999998</v>
      </c>
      <c r="I65" s="3">
        <f t="shared" si="174"/>
        <v>11332.474999999997</v>
      </c>
      <c r="J65" s="3">
        <f t="shared" si="174"/>
        <v>11502.462124999996</v>
      </c>
      <c r="K65" s="3">
        <f t="shared" si="174"/>
        <v>11674.999056874994</v>
      </c>
      <c r="L65" s="3">
        <f t="shared" si="174"/>
        <v>11850.124042728117</v>
      </c>
      <c r="M65" s="3">
        <f t="shared" si="174"/>
        <v>12027.875903369037</v>
      </c>
      <c r="N65" s="3">
        <f t="shared" si="174"/>
        <v>12208.294041919571</v>
      </c>
      <c r="O65" s="3">
        <f t="shared" si="174"/>
        <v>12391.418452548363</v>
      </c>
      <c r="P65" s="3">
        <f t="shared" si="174"/>
        <v>12577.289729336586</v>
      </c>
      <c r="Q65" s="3">
        <f t="shared" ref="Q65:AI65" si="175">Q9*0.5</f>
        <v>12765.949075276634</v>
      </c>
      <c r="R65" s="3">
        <f t="shared" si="175"/>
        <v>12957.438311405782</v>
      </c>
      <c r="S65" s="3">
        <f t="shared" si="175"/>
        <v>13151.799886076866</v>
      </c>
      <c r="T65" s="3">
        <f t="shared" si="175"/>
        <v>13349.076884368018</v>
      </c>
      <c r="U65" s="3">
        <f t="shared" si="175"/>
        <v>13549.313037633536</v>
      </c>
      <c r="V65" s="3">
        <f t="shared" si="175"/>
        <v>13752.552733198036</v>
      </c>
      <c r="W65" s="3">
        <f t="shared" si="175"/>
        <v>13958.841024196005</v>
      </c>
      <c r="X65" s="3">
        <f t="shared" si="175"/>
        <v>14168.223639558943</v>
      </c>
      <c r="Y65" s="3">
        <f t="shared" si="175"/>
        <v>14380.746994152327</v>
      </c>
      <c r="Z65" s="3">
        <f t="shared" si="175"/>
        <v>14596.458199064609</v>
      </c>
      <c r="AA65" s="3">
        <f t="shared" si="175"/>
        <v>14815.405072050575</v>
      </c>
      <c r="AB65" s="3">
        <f t="shared" si="175"/>
        <v>15037.636148131331</v>
      </c>
      <c r="AC65" s="3">
        <f t="shared" si="175"/>
        <v>15263.200690353298</v>
      </c>
      <c r="AD65" s="3">
        <f t="shared" si="175"/>
        <v>15492.148700708596</v>
      </c>
      <c r="AE65" s="3">
        <f t="shared" si="175"/>
        <v>15724.530931219224</v>
      </c>
      <c r="AF65" s="3">
        <f t="shared" si="175"/>
        <v>15960.398895187511</v>
      </c>
      <c r="AG65" s="3">
        <f t="shared" si="175"/>
        <v>16199.804878615321</v>
      </c>
      <c r="AH65" s="3">
        <f t="shared" si="175"/>
        <v>16442.80195179455</v>
      </c>
      <c r="AI65" s="3">
        <f t="shared" si="175"/>
        <v>16689.443981071461</v>
      </c>
      <c r="AJ65" s="18">
        <f t="shared" ref="AJ65" si="176">AJ9*0.5</f>
        <v>16939.785640787533</v>
      </c>
    </row>
    <row r="66" spans="3:36" x14ac:dyDescent="0.25">
      <c r="F66" s="29" t="s">
        <v>60</v>
      </c>
      <c r="G66" s="8">
        <f t="shared" ref="G66:P66" si="177">G65+G34</f>
        <v>65000</v>
      </c>
      <c r="H66" s="9">
        <f t="shared" si="177"/>
        <v>68405</v>
      </c>
      <c r="I66" s="9">
        <f t="shared" si="177"/>
        <v>72028.474999999991</v>
      </c>
      <c r="J66" s="9">
        <f t="shared" si="177"/>
        <v>75886.014125000002</v>
      </c>
      <c r="K66" s="9">
        <f t="shared" si="177"/>
        <v>79994.382096875008</v>
      </c>
      <c r="L66" s="9">
        <f t="shared" si="177"/>
        <v>84371.610481128126</v>
      </c>
      <c r="M66" s="9">
        <f t="shared" si="177"/>
        <v>89037.096122249059</v>
      </c>
      <c r="N66" s="9">
        <f t="shared" si="177"/>
        <v>94011.707338334309</v>
      </c>
      <c r="O66" s="9">
        <f t="shared" si="177"/>
        <v>99317.898491101587</v>
      </c>
      <c r="P66" s="9">
        <f t="shared" si="177"/>
        <v>104979.83359653638</v>
      </c>
      <c r="Q66" s="9">
        <f t="shared" ref="Q66:AI66" si="178">Q65+Q34</f>
        <v>111023.5196944372</v>
      </c>
      <c r="R66" s="9">
        <f t="shared" si="178"/>
        <v>117476.95075238739</v>
      </c>
      <c r="S66" s="9">
        <f t="shared" si="178"/>
        <v>124370.26294151673</v>
      </c>
      <c r="T66" s="9">
        <f t="shared" si="178"/>
        <v>131735.90218818997</v>
      </c>
      <c r="U66" s="9">
        <f t="shared" si="178"/>
        <v>139608.80497786604</v>
      </c>
      <c r="V66" s="9">
        <f t="shared" si="178"/>
        <v>148026.59346523811</v>
      </c>
      <c r="W66" s="9">
        <f t="shared" si="178"/>
        <v>157029.78602885181</v>
      </c>
      <c r="X66" s="9">
        <f t="shared" si="178"/>
        <v>166662.02449920186</v>
      </c>
      <c r="Y66" s="9">
        <f t="shared" si="178"/>
        <v>176970.31938736592</v>
      </c>
      <c r="Z66" s="9">
        <f t="shared" si="178"/>
        <v>188005.31454712647</v>
      </c>
      <c r="AA66" s="9">
        <f t="shared" si="178"/>
        <v>199821.57281788421</v>
      </c>
      <c r="AB66" s="9">
        <f t="shared" si="178"/>
        <v>212477.88431915559</v>
      </c>
      <c r="AC66" s="9">
        <f t="shared" si="178"/>
        <v>226037.59920080437</v>
      </c>
      <c r="AD66" s="9">
        <f t="shared" si="178"/>
        <v>240568.98679717042</v>
      </c>
      <c r="AE66" s="9">
        <f t="shared" si="178"/>
        <v>256145.62328877967</v>
      </c>
      <c r="AF66" s="9">
        <f t="shared" si="178"/>
        <v>272846.81014326971</v>
      </c>
      <c r="AG66" s="9">
        <f t="shared" si="178"/>
        <v>290758.02578853769</v>
      </c>
      <c r="AH66" s="9">
        <f t="shared" si="178"/>
        <v>309971.41316698404</v>
      </c>
      <c r="AI66" s="9">
        <f t="shared" si="178"/>
        <v>330586.30603124836</v>
      </c>
      <c r="AJ66" s="10">
        <f t="shared" ref="AJ66" si="179">AJ65+AJ34</f>
        <v>352709.79707026173</v>
      </c>
    </row>
    <row r="67" spans="3:36" x14ac:dyDescent="0.25">
      <c r="F67" s="29" t="s">
        <v>61</v>
      </c>
      <c r="G67" s="8">
        <f t="shared" ref="G67:P67" si="180">IF($C$29=0,G66,G66/2)</f>
        <v>32500</v>
      </c>
      <c r="H67" s="9">
        <f t="shared" si="180"/>
        <v>34202.5</v>
      </c>
      <c r="I67" s="9">
        <f t="shared" si="180"/>
        <v>36014.237499999996</v>
      </c>
      <c r="J67" s="9">
        <f t="shared" si="180"/>
        <v>37943.007062500001</v>
      </c>
      <c r="K67" s="9">
        <f t="shared" si="180"/>
        <v>39997.191048437504</v>
      </c>
      <c r="L67" s="9">
        <f t="shared" si="180"/>
        <v>42185.805240564063</v>
      </c>
      <c r="M67" s="9">
        <f t="shared" si="180"/>
        <v>44518.548061124529</v>
      </c>
      <c r="N67" s="9">
        <f t="shared" si="180"/>
        <v>47005.853669167154</v>
      </c>
      <c r="O67" s="9">
        <f t="shared" si="180"/>
        <v>49658.949245550793</v>
      </c>
      <c r="P67" s="9">
        <f t="shared" si="180"/>
        <v>52489.91679826819</v>
      </c>
      <c r="Q67" s="9">
        <f t="shared" ref="Q67:AI67" si="181">IF($C$29=0,Q66,Q66/2)</f>
        <v>55511.7598472186</v>
      </c>
      <c r="R67" s="9">
        <f t="shared" si="181"/>
        <v>58738.475376193695</v>
      </c>
      <c r="S67" s="9">
        <f t="shared" si="181"/>
        <v>62185.131470758366</v>
      </c>
      <c r="T67" s="9">
        <f t="shared" si="181"/>
        <v>65867.951094094984</v>
      </c>
      <c r="U67" s="9">
        <f t="shared" si="181"/>
        <v>69804.402488933018</v>
      </c>
      <c r="V67" s="9">
        <f t="shared" si="181"/>
        <v>74013.296732619056</v>
      </c>
      <c r="W67" s="9">
        <f t="shared" si="181"/>
        <v>78514.893014425907</v>
      </c>
      <c r="X67" s="9">
        <f t="shared" si="181"/>
        <v>83331.012249600928</v>
      </c>
      <c r="Y67" s="9">
        <f t="shared" si="181"/>
        <v>88485.159693682959</v>
      </c>
      <c r="Z67" s="9">
        <f t="shared" si="181"/>
        <v>94002.657273563236</v>
      </c>
      <c r="AA67" s="9">
        <f t="shared" si="181"/>
        <v>99910.786408942105</v>
      </c>
      <c r="AB67" s="9">
        <f t="shared" si="181"/>
        <v>106238.9421595778</v>
      </c>
      <c r="AC67" s="9">
        <f t="shared" si="181"/>
        <v>113018.79960040218</v>
      </c>
      <c r="AD67" s="9">
        <f t="shared" si="181"/>
        <v>120284.49339858521</v>
      </c>
      <c r="AE67" s="9">
        <f t="shared" si="181"/>
        <v>128072.81164438983</v>
      </c>
      <c r="AF67" s="9">
        <f t="shared" si="181"/>
        <v>136423.40507163486</v>
      </c>
      <c r="AG67" s="9">
        <f t="shared" si="181"/>
        <v>145379.01289426885</v>
      </c>
      <c r="AH67" s="9">
        <f t="shared" si="181"/>
        <v>154985.70658349202</v>
      </c>
      <c r="AI67" s="9">
        <f t="shared" si="181"/>
        <v>165293.15301562418</v>
      </c>
      <c r="AJ67" s="10">
        <f t="shared" ref="AJ67" si="182">IF($C$29=0,AJ66,AJ66/2)</f>
        <v>176354.89853513087</v>
      </c>
    </row>
    <row r="68" spans="3:36" x14ac:dyDescent="0.25">
      <c r="F68" s="29" t="s">
        <v>62</v>
      </c>
      <c r="G68" s="8">
        <f>IF(G67&lt;10084,0,
IF(AND(G67&gt;10084,G67&lt;=25710),(G67-10084)*0.11,
IF(AND(G67&gt;25710,G67&lt;=73516),(G67-25710)*0.3+1721.06,
IF(AND(G67&gt;73516,G67&lt;=158122),(G67-73516)*0.41+16062.86,
IF(G67&gt;158122,(G67-158122)*0.45+50751.32,
0)))))</f>
        <v>3758.06</v>
      </c>
      <c r="H68" s="9">
        <f t="shared" ref="H68:P68" si="183">IF(H67&lt;10084,0,
IF(AND(H67&gt;10084,H67&lt;=25710),(H67-10084)*0.11,
IF(AND(H67&gt;25710,H67&lt;=73516),(H67-25710)*0.3+1721.06,
IF(AND(H67&gt;73516,H67&lt;=158122),(H67-73516)*0.41+16062.86,
IF(H67&gt;158122,(H67-158122)*0.45+50751.32,
0)))))</f>
        <v>4268.8099999999995</v>
      </c>
      <c r="I68" s="9">
        <f t="shared" si="183"/>
        <v>4812.3312499999984</v>
      </c>
      <c r="J68" s="9">
        <f t="shared" si="183"/>
        <v>5390.9621187499997</v>
      </c>
      <c r="K68" s="9">
        <f t="shared" si="183"/>
        <v>6007.2173145312518</v>
      </c>
      <c r="L68" s="9">
        <f t="shared" si="183"/>
        <v>6663.8015721692191</v>
      </c>
      <c r="M68" s="9">
        <f t="shared" si="183"/>
        <v>7363.6244183373583</v>
      </c>
      <c r="N68" s="9">
        <f t="shared" si="183"/>
        <v>8109.8161007501458</v>
      </c>
      <c r="O68" s="9">
        <f t="shared" si="183"/>
        <v>8905.7447736652375</v>
      </c>
      <c r="P68" s="9">
        <f t="shared" si="183"/>
        <v>9755.0350394804573</v>
      </c>
      <c r="Q68" s="9">
        <f t="shared" ref="Q68:AI68" si="184">IF(Q67&lt;10084,0,
IF(AND(Q67&gt;10084,Q67&lt;=25710),(Q67-10084)*0.11,
IF(AND(Q67&gt;25710,Q67&lt;=73516),(Q67-25710)*0.3+1721.06,
IF(AND(Q67&gt;73516,Q67&lt;=158122),(Q67-73516)*0.41+16062.86,
IF(Q67&gt;158122,(Q67-158122)*0.45+50751.32,
0)))))</f>
        <v>10661.58795416558</v>
      </c>
      <c r="R68" s="9">
        <f t="shared" si="184"/>
        <v>11629.602612858107</v>
      </c>
      <c r="S68" s="9">
        <f t="shared" si="184"/>
        <v>12663.599441227509</v>
      </c>
      <c r="T68" s="9">
        <f t="shared" si="184"/>
        <v>13768.445328228494</v>
      </c>
      <c r="U68" s="9">
        <f t="shared" si="184"/>
        <v>14949.380746679904</v>
      </c>
      <c r="V68" s="9">
        <f t="shared" si="184"/>
        <v>16266.751660373813</v>
      </c>
      <c r="W68" s="9">
        <f t="shared" si="184"/>
        <v>18112.406135914622</v>
      </c>
      <c r="X68" s="9">
        <f t="shared" si="184"/>
        <v>20087.015022336382</v>
      </c>
      <c r="Y68" s="9">
        <f t="shared" si="184"/>
        <v>22200.215474410012</v>
      </c>
      <c r="Z68" s="9">
        <f t="shared" si="184"/>
        <v>24462.389482160928</v>
      </c>
      <c r="AA68" s="9">
        <f t="shared" si="184"/>
        <v>26884.722427666264</v>
      </c>
      <c r="AB68" s="9">
        <f t="shared" si="184"/>
        <v>29479.266285426897</v>
      </c>
      <c r="AC68" s="9">
        <f t="shared" si="184"/>
        <v>32259.007836164896</v>
      </c>
      <c r="AD68" s="9">
        <f t="shared" si="184"/>
        <v>35237.942293419939</v>
      </c>
      <c r="AE68" s="9">
        <f t="shared" si="184"/>
        <v>38431.152774199829</v>
      </c>
      <c r="AF68" s="9">
        <f t="shared" si="184"/>
        <v>41854.896079370286</v>
      </c>
      <c r="AG68" s="9">
        <f t="shared" si="184"/>
        <v>45526.695286650225</v>
      </c>
      <c r="AH68" s="9">
        <f t="shared" si="184"/>
        <v>49465.439699231727</v>
      </c>
      <c r="AI68" s="9">
        <f t="shared" si="184"/>
        <v>53978.338857030882</v>
      </c>
      <c r="AJ68" s="10">
        <f t="shared" ref="AJ68" si="185">IF(AJ67&lt;10084,0,
IF(AND(AJ67&gt;10084,AJ67&lt;=25710),(AJ67-10084)*0.11,
IF(AND(AJ67&gt;25710,AJ67&lt;=73516),(AJ67-25710)*0.3+1721.06,
IF(AND(AJ67&gt;73516,AJ67&lt;=158122),(AJ67-73516)*0.41+16062.86,
IF(AJ67&gt;158122,(AJ67-158122)*0.45+50751.32,
0)))))</f>
        <v>58956.124340808892</v>
      </c>
    </row>
    <row r="69" spans="3:36" x14ac:dyDescent="0.25">
      <c r="F69" s="29" t="s">
        <v>63</v>
      </c>
      <c r="G69" s="8">
        <f t="shared" ref="G69:P69" si="186">IF($C$29=0,G68,G68*2)</f>
        <v>7516.12</v>
      </c>
      <c r="H69" s="9">
        <f t="shared" si="186"/>
        <v>8537.619999999999</v>
      </c>
      <c r="I69" s="9">
        <f t="shared" si="186"/>
        <v>9624.6624999999967</v>
      </c>
      <c r="J69" s="9">
        <f t="shared" si="186"/>
        <v>10781.924237499999</v>
      </c>
      <c r="K69" s="9">
        <f t="shared" si="186"/>
        <v>12014.434629062504</v>
      </c>
      <c r="L69" s="9">
        <f t="shared" si="186"/>
        <v>13327.603144338438</v>
      </c>
      <c r="M69" s="9">
        <f t="shared" si="186"/>
        <v>14727.248836674717</v>
      </c>
      <c r="N69" s="9">
        <f t="shared" si="186"/>
        <v>16219.632201500292</v>
      </c>
      <c r="O69" s="9">
        <f t="shared" si="186"/>
        <v>17811.489547330475</v>
      </c>
      <c r="P69" s="9">
        <f t="shared" si="186"/>
        <v>19510.070078960915</v>
      </c>
      <c r="Q69" s="9">
        <f t="shared" ref="Q69:AI69" si="187">IF($C$29=0,Q68,Q68*2)</f>
        <v>21323.175908331159</v>
      </c>
      <c r="R69" s="9">
        <f t="shared" si="187"/>
        <v>23259.205225716214</v>
      </c>
      <c r="S69" s="9">
        <f t="shared" si="187"/>
        <v>25327.198882455017</v>
      </c>
      <c r="T69" s="9">
        <f t="shared" si="187"/>
        <v>27536.890656456988</v>
      </c>
      <c r="U69" s="9">
        <f t="shared" si="187"/>
        <v>29898.761493359809</v>
      </c>
      <c r="V69" s="9">
        <f t="shared" si="187"/>
        <v>32533.503320747626</v>
      </c>
      <c r="W69" s="9">
        <f t="shared" si="187"/>
        <v>36224.812271829243</v>
      </c>
      <c r="X69" s="9">
        <f t="shared" si="187"/>
        <v>40174.030044672763</v>
      </c>
      <c r="Y69" s="9">
        <f t="shared" si="187"/>
        <v>44400.430948820023</v>
      </c>
      <c r="Z69" s="9">
        <f t="shared" si="187"/>
        <v>48924.778964321857</v>
      </c>
      <c r="AA69" s="9">
        <f t="shared" si="187"/>
        <v>53769.444855332527</v>
      </c>
      <c r="AB69" s="9">
        <f t="shared" si="187"/>
        <v>58958.532570853793</v>
      </c>
      <c r="AC69" s="9">
        <f t="shared" si="187"/>
        <v>64518.015672329791</v>
      </c>
      <c r="AD69" s="9">
        <f t="shared" si="187"/>
        <v>70475.884586839878</v>
      </c>
      <c r="AE69" s="9">
        <f t="shared" si="187"/>
        <v>76862.305548399658</v>
      </c>
      <c r="AF69" s="9">
        <f t="shared" si="187"/>
        <v>83709.792158740573</v>
      </c>
      <c r="AG69" s="9">
        <f t="shared" si="187"/>
        <v>91053.39057330045</v>
      </c>
      <c r="AH69" s="9">
        <f t="shared" si="187"/>
        <v>98930.879398463454</v>
      </c>
      <c r="AI69" s="9">
        <f t="shared" si="187"/>
        <v>107956.67771406176</v>
      </c>
      <c r="AJ69" s="10">
        <f t="shared" ref="AJ69" si="188">IF($C$29=0,AJ68,AJ68*2)</f>
        <v>117912.24868161778</v>
      </c>
    </row>
    <row r="70" spans="3:36" x14ac:dyDescent="0.25">
      <c r="F70" s="29" t="s">
        <v>64</v>
      </c>
      <c r="G70" s="8">
        <f t="shared" ref="G70:P70" si="189">G66/$C$31</f>
        <v>26000</v>
      </c>
      <c r="H70" s="9">
        <f t="shared" si="189"/>
        <v>27362</v>
      </c>
      <c r="I70" s="9">
        <f t="shared" si="189"/>
        <v>28811.389999999996</v>
      </c>
      <c r="J70" s="9">
        <f t="shared" si="189"/>
        <v>30354.405650000001</v>
      </c>
      <c r="K70" s="9">
        <f t="shared" si="189"/>
        <v>31997.752838750002</v>
      </c>
      <c r="L70" s="9">
        <f t="shared" si="189"/>
        <v>33748.644192451247</v>
      </c>
      <c r="M70" s="9">
        <f t="shared" si="189"/>
        <v>35614.838448899623</v>
      </c>
      <c r="N70" s="9">
        <f t="shared" si="189"/>
        <v>37604.682935333723</v>
      </c>
      <c r="O70" s="9">
        <f t="shared" si="189"/>
        <v>39727.159396440635</v>
      </c>
      <c r="P70" s="9">
        <f t="shared" si="189"/>
        <v>41991.933438614549</v>
      </c>
      <c r="Q70" s="9">
        <f t="shared" ref="Q70:AI70" si="190">Q66/$C$31</f>
        <v>44409.40787777488</v>
      </c>
      <c r="R70" s="9">
        <f t="shared" si="190"/>
        <v>46990.780300954953</v>
      </c>
      <c r="S70" s="9">
        <f t="shared" si="190"/>
        <v>49748.105176606696</v>
      </c>
      <c r="T70" s="9">
        <f t="shared" si="190"/>
        <v>52694.36087527599</v>
      </c>
      <c r="U70" s="9">
        <f t="shared" si="190"/>
        <v>55843.521991146416</v>
      </c>
      <c r="V70" s="9">
        <f t="shared" si="190"/>
        <v>59210.637386095244</v>
      </c>
      <c r="W70" s="9">
        <f t="shared" si="190"/>
        <v>62811.914411540725</v>
      </c>
      <c r="X70" s="9">
        <f t="shared" si="190"/>
        <v>66664.809799680748</v>
      </c>
      <c r="Y70" s="9">
        <f t="shared" si="190"/>
        <v>70788.12775494637</v>
      </c>
      <c r="Z70" s="9">
        <f t="shared" si="190"/>
        <v>75202.125818850589</v>
      </c>
      <c r="AA70" s="9">
        <f t="shared" si="190"/>
        <v>79928.62912715369</v>
      </c>
      <c r="AB70" s="9">
        <f t="shared" si="190"/>
        <v>84991.15372766224</v>
      </c>
      <c r="AC70" s="9">
        <f t="shared" si="190"/>
        <v>90415.039680321745</v>
      </c>
      <c r="AD70" s="9">
        <f t="shared" si="190"/>
        <v>96227.594718868175</v>
      </c>
      <c r="AE70" s="9">
        <f t="shared" si="190"/>
        <v>102458.24931551187</v>
      </c>
      <c r="AF70" s="9">
        <f t="shared" si="190"/>
        <v>109138.72405730789</v>
      </c>
      <c r="AG70" s="9">
        <f t="shared" si="190"/>
        <v>116303.21031541508</v>
      </c>
      <c r="AH70" s="9">
        <f t="shared" si="190"/>
        <v>123988.56526679362</v>
      </c>
      <c r="AI70" s="9">
        <f t="shared" si="190"/>
        <v>132234.52241249935</v>
      </c>
      <c r="AJ70" s="10">
        <f t="shared" ref="AJ70" si="191">AJ66/$C$31</f>
        <v>141083.91882810468</v>
      </c>
    </row>
    <row r="71" spans="3:36" x14ac:dyDescent="0.25">
      <c r="F71" s="29" t="s">
        <v>110</v>
      </c>
      <c r="G71" s="8">
        <f>IF(G70&lt;10084,0,
IF(AND(G70&gt;10084,G70&lt;=25710),(G70-10084)*0.11,
IF(AND(G70&gt;25710,G70&lt;=73516),(G70-25710)*0.3+1721.06,
IF(AND(G70&gt;73516,G70&lt;=158122),(G70-73516)*0.41+16062.86,
IF(G70&gt;158122,(G70-158122)*0.45+50751.32,
0)))))</f>
        <v>1808.06</v>
      </c>
      <c r="H71" s="9">
        <f t="shared" ref="H71:P71" si="192">IF(H70&lt;10084,0,
IF(AND(H70&gt;10084,H70&lt;=25710),(H70-10084)*0.11,
IF(AND(H70&gt;25710,H70&lt;=73516),(H70-25710)*0.3+1721.06,
IF(AND(H70&gt;73516,H70&lt;=158122),(H70-73516)*0.41+16062.86,
IF(H70&gt;158122,(H70-158122)*0.45+50751.32,
0)))))</f>
        <v>2216.66</v>
      </c>
      <c r="I71" s="9">
        <f t="shared" si="192"/>
        <v>2651.4769999999985</v>
      </c>
      <c r="J71" s="9">
        <f t="shared" si="192"/>
        <v>3114.381695</v>
      </c>
      <c r="K71" s="9">
        <f t="shared" si="192"/>
        <v>3607.3858516250007</v>
      </c>
      <c r="L71" s="9">
        <f t="shared" si="192"/>
        <v>4132.6532577353737</v>
      </c>
      <c r="M71" s="9">
        <f t="shared" si="192"/>
        <v>4692.5115346698867</v>
      </c>
      <c r="N71" s="9">
        <f t="shared" si="192"/>
        <v>5289.4648806001169</v>
      </c>
      <c r="O71" s="9">
        <f t="shared" si="192"/>
        <v>5926.207818932191</v>
      </c>
      <c r="P71" s="9">
        <f t="shared" si="192"/>
        <v>6605.6400315843639</v>
      </c>
      <c r="Q71" s="9">
        <f t="shared" ref="Q71:AI71" si="193">IF(Q70&lt;10084,0,
IF(AND(Q70&gt;10084,Q70&lt;=25710),(Q70-10084)*0.11,
IF(AND(Q70&gt;25710,Q70&lt;=73516),(Q70-25710)*0.3+1721.06,
IF(AND(Q70&gt;73516,Q70&lt;=158122),(Q70-73516)*0.41+16062.86,
IF(Q70&gt;158122,(Q70-158122)*0.45+50751.32,
0)))))</f>
        <v>7330.8823633324646</v>
      </c>
      <c r="R71" s="9">
        <f t="shared" si="193"/>
        <v>8105.2940902864866</v>
      </c>
      <c r="S71" s="9">
        <f t="shared" si="193"/>
        <v>8932.4915529820082</v>
      </c>
      <c r="T71" s="9">
        <f t="shared" si="193"/>
        <v>9816.3682625827969</v>
      </c>
      <c r="U71" s="9">
        <f t="shared" si="193"/>
        <v>10761.116597343924</v>
      </c>
      <c r="V71" s="9">
        <f t="shared" si="193"/>
        <v>11771.251215828572</v>
      </c>
      <c r="W71" s="9">
        <f t="shared" si="193"/>
        <v>12851.634323462216</v>
      </c>
      <c r="X71" s="9">
        <f t="shared" si="193"/>
        <v>14007.502939904223</v>
      </c>
      <c r="Y71" s="9">
        <f t="shared" si="193"/>
        <v>15244.49832648391</v>
      </c>
      <c r="Z71" s="9">
        <f t="shared" si="193"/>
        <v>16754.171585728742</v>
      </c>
      <c r="AA71" s="9">
        <f t="shared" si="193"/>
        <v>18692.037942133014</v>
      </c>
      <c r="AB71" s="9">
        <f t="shared" si="193"/>
        <v>20767.67302834152</v>
      </c>
      <c r="AC71" s="9">
        <f t="shared" si="193"/>
        <v>22991.466268931916</v>
      </c>
      <c r="AD71" s="9">
        <f t="shared" si="193"/>
        <v>25374.613834735952</v>
      </c>
      <c r="AE71" s="9">
        <f t="shared" si="193"/>
        <v>27929.182219359867</v>
      </c>
      <c r="AF71" s="9">
        <f t="shared" si="193"/>
        <v>30668.176863496235</v>
      </c>
      <c r="AG71" s="9">
        <f t="shared" si="193"/>
        <v>33605.616229320185</v>
      </c>
      <c r="AH71" s="9">
        <f t="shared" si="193"/>
        <v>36756.611759385385</v>
      </c>
      <c r="AI71" s="9">
        <f t="shared" si="193"/>
        <v>40137.454189124735</v>
      </c>
      <c r="AJ71" s="10">
        <f t="shared" ref="AJ71" si="194">IF(AJ70&lt;10084,0,
IF(AND(AJ70&gt;10084,AJ70&lt;=25710),(AJ70-10084)*0.11,
IF(AND(AJ70&gt;25710,AJ70&lt;=73516),(AJ70-25710)*0.3+1721.06,
IF(AND(AJ70&gt;73516,AJ70&lt;=158122),(AJ70-73516)*0.41+16062.86,
IF(AJ70&gt;158122,(AJ70-158122)*0.45+50751.32,
0)))))</f>
        <v>43765.706719522917</v>
      </c>
    </row>
    <row r="72" spans="3:36" x14ac:dyDescent="0.25">
      <c r="F72" s="29" t="s">
        <v>65</v>
      </c>
      <c r="G72" s="8">
        <f t="shared" ref="G72:P72" si="195">G71*$C$31</f>
        <v>4520.1499999999996</v>
      </c>
      <c r="H72" s="9">
        <f t="shared" si="195"/>
        <v>5541.65</v>
      </c>
      <c r="I72" s="9">
        <f t="shared" si="195"/>
        <v>6628.6924999999965</v>
      </c>
      <c r="J72" s="9">
        <f t="shared" si="195"/>
        <v>7785.9542375000001</v>
      </c>
      <c r="K72" s="9">
        <f t="shared" si="195"/>
        <v>9018.4646290625024</v>
      </c>
      <c r="L72" s="9">
        <f t="shared" si="195"/>
        <v>10331.633144338433</v>
      </c>
      <c r="M72" s="9">
        <f t="shared" si="195"/>
        <v>11731.278836674717</v>
      </c>
      <c r="N72" s="9">
        <f t="shared" si="195"/>
        <v>13223.662201500292</v>
      </c>
      <c r="O72" s="9">
        <f t="shared" si="195"/>
        <v>14815.519547330478</v>
      </c>
      <c r="P72" s="9">
        <f t="shared" si="195"/>
        <v>16514.10007896091</v>
      </c>
      <c r="Q72" s="9">
        <f t="shared" ref="Q72:AI72" si="196">Q71*$C$31</f>
        <v>18327.205908331161</v>
      </c>
      <c r="R72" s="9">
        <f t="shared" si="196"/>
        <v>20263.235225716217</v>
      </c>
      <c r="S72" s="9">
        <f t="shared" si="196"/>
        <v>22331.22888245502</v>
      </c>
      <c r="T72" s="9">
        <f t="shared" si="196"/>
        <v>24540.92065645699</v>
      </c>
      <c r="U72" s="9">
        <f t="shared" si="196"/>
        <v>26902.791493359808</v>
      </c>
      <c r="V72" s="9">
        <f t="shared" si="196"/>
        <v>29428.128039571428</v>
      </c>
      <c r="W72" s="9">
        <f t="shared" si="196"/>
        <v>32129.085808655542</v>
      </c>
      <c r="X72" s="9">
        <f t="shared" si="196"/>
        <v>35018.757349760555</v>
      </c>
      <c r="Y72" s="9">
        <f t="shared" si="196"/>
        <v>38111.245816209776</v>
      </c>
      <c r="Z72" s="9">
        <f t="shared" si="196"/>
        <v>41885.428964321851</v>
      </c>
      <c r="AA72" s="9">
        <f t="shared" si="196"/>
        <v>46730.094855332536</v>
      </c>
      <c r="AB72" s="9">
        <f t="shared" si="196"/>
        <v>51919.182570853802</v>
      </c>
      <c r="AC72" s="9">
        <f t="shared" si="196"/>
        <v>57478.665672329793</v>
      </c>
      <c r="AD72" s="9">
        <f t="shared" si="196"/>
        <v>63436.53458683988</v>
      </c>
      <c r="AE72" s="9">
        <f t="shared" si="196"/>
        <v>69822.955548399666</v>
      </c>
      <c r="AF72" s="9">
        <f t="shared" si="196"/>
        <v>76670.442158740596</v>
      </c>
      <c r="AG72" s="9">
        <f t="shared" si="196"/>
        <v>84014.040573300459</v>
      </c>
      <c r="AH72" s="9">
        <f t="shared" si="196"/>
        <v>91891.529398463463</v>
      </c>
      <c r="AI72" s="9">
        <f t="shared" si="196"/>
        <v>100343.63547281185</v>
      </c>
      <c r="AJ72" s="10">
        <f t="shared" ref="AJ72" si="197">AJ71*$C$31</f>
        <v>109414.26679880729</v>
      </c>
    </row>
    <row r="73" spans="3:36" x14ac:dyDescent="0.25">
      <c r="F73" s="29" t="s">
        <v>66</v>
      </c>
      <c r="G73" s="8">
        <f t="shared" ref="G73:P73" si="198">IF(G69-G38&gt;G72,G69-G38,G72)</f>
        <v>5948.12</v>
      </c>
      <c r="H73" s="9">
        <f t="shared" si="198"/>
        <v>6969.619999999999</v>
      </c>
      <c r="I73" s="9">
        <f t="shared" si="198"/>
        <v>8056.6624999999967</v>
      </c>
      <c r="J73" s="9">
        <f t="shared" si="198"/>
        <v>9213.9242374999994</v>
      </c>
      <c r="K73" s="9">
        <f t="shared" si="198"/>
        <v>10446.434629062504</v>
      </c>
      <c r="L73" s="9">
        <f t="shared" si="198"/>
        <v>11759.603144338438</v>
      </c>
      <c r="M73" s="9">
        <f t="shared" si="198"/>
        <v>13159.248836674717</v>
      </c>
      <c r="N73" s="9">
        <f t="shared" si="198"/>
        <v>14651.632201500292</v>
      </c>
      <c r="O73" s="9">
        <f t="shared" si="198"/>
        <v>16243.489547330475</v>
      </c>
      <c r="P73" s="9">
        <f t="shared" si="198"/>
        <v>17942.070078960915</v>
      </c>
      <c r="Q73" s="9">
        <f t="shared" ref="Q73:AI73" si="199">IF(Q69-Q38&gt;Q72,Q69-Q38,Q72)</f>
        <v>19755.175908331159</v>
      </c>
      <c r="R73" s="9">
        <f t="shared" si="199"/>
        <v>21691.205225716214</v>
      </c>
      <c r="S73" s="9">
        <f t="shared" si="199"/>
        <v>23759.198882455017</v>
      </c>
      <c r="T73" s="9">
        <f t="shared" si="199"/>
        <v>25968.890656456988</v>
      </c>
      <c r="U73" s="9">
        <f t="shared" si="199"/>
        <v>28330.761493359809</v>
      </c>
      <c r="V73" s="9">
        <f t="shared" si="199"/>
        <v>30965.503320747626</v>
      </c>
      <c r="W73" s="9">
        <f t="shared" si="199"/>
        <v>34656.812271829243</v>
      </c>
      <c r="X73" s="9">
        <f t="shared" si="199"/>
        <v>38606.030044672763</v>
      </c>
      <c r="Y73" s="9">
        <f t="shared" si="199"/>
        <v>42832.430948820023</v>
      </c>
      <c r="Z73" s="9">
        <f t="shared" si="199"/>
        <v>47356.778964321857</v>
      </c>
      <c r="AA73" s="9">
        <f t="shared" si="199"/>
        <v>52201.444855332527</v>
      </c>
      <c r="AB73" s="9">
        <f t="shared" si="199"/>
        <v>57390.532570853793</v>
      </c>
      <c r="AC73" s="9">
        <f t="shared" si="199"/>
        <v>62950.015672329791</v>
      </c>
      <c r="AD73" s="9">
        <f t="shared" si="199"/>
        <v>68907.884586839878</v>
      </c>
      <c r="AE73" s="9">
        <f t="shared" si="199"/>
        <v>75294.305548399658</v>
      </c>
      <c r="AF73" s="9">
        <f t="shared" si="199"/>
        <v>82141.792158740573</v>
      </c>
      <c r="AG73" s="9">
        <f t="shared" si="199"/>
        <v>89485.39057330045</v>
      </c>
      <c r="AH73" s="9">
        <f t="shared" si="199"/>
        <v>97362.879398463454</v>
      </c>
      <c r="AI73" s="9">
        <f t="shared" si="199"/>
        <v>106388.67771406176</v>
      </c>
      <c r="AJ73" s="10">
        <f t="shared" ref="AJ73" si="200">IF(AJ69-AJ38&gt;AJ72,AJ69-AJ38,AJ72)</f>
        <v>116344.24868161778</v>
      </c>
    </row>
    <row r="74" spans="3:36" x14ac:dyDescent="0.25">
      <c r="C74" s="5"/>
      <c r="F74" s="29" t="s">
        <v>67</v>
      </c>
      <c r="G74" s="8">
        <f>G65*0.172</f>
        <v>1891.9999999999998</v>
      </c>
      <c r="H74" s="9">
        <f t="shared" ref="H74:P74" si="201">H65*0.172</f>
        <v>1920.3799999999994</v>
      </c>
      <c r="I74" s="9">
        <f t="shared" si="201"/>
        <v>1949.1856999999993</v>
      </c>
      <c r="J74" s="9">
        <f t="shared" si="201"/>
        <v>1978.4234854999993</v>
      </c>
      <c r="K74" s="9">
        <f t="shared" si="201"/>
        <v>2008.099837782499</v>
      </c>
      <c r="L74" s="9">
        <f t="shared" si="201"/>
        <v>2038.2213353492359</v>
      </c>
      <c r="M74" s="9">
        <f t="shared" si="201"/>
        <v>2068.7946553794741</v>
      </c>
      <c r="N74" s="9">
        <f t="shared" si="201"/>
        <v>2099.8265752101661</v>
      </c>
      <c r="O74" s="9">
        <f t="shared" si="201"/>
        <v>2131.3239738383181</v>
      </c>
      <c r="P74" s="9">
        <f t="shared" si="201"/>
        <v>2163.2938334458927</v>
      </c>
      <c r="Q74" s="9">
        <f t="shared" ref="Q74:AI74" si="202">Q65*0.172</f>
        <v>2195.7432409475809</v>
      </c>
      <c r="R74" s="9">
        <f t="shared" si="202"/>
        <v>2228.6793895617943</v>
      </c>
      <c r="S74" s="9">
        <f t="shared" si="202"/>
        <v>2262.1095804052206</v>
      </c>
      <c r="T74" s="9">
        <f t="shared" si="202"/>
        <v>2296.041224111299</v>
      </c>
      <c r="U74" s="9">
        <f t="shared" si="202"/>
        <v>2330.4818424729679</v>
      </c>
      <c r="V74" s="9">
        <f t="shared" si="202"/>
        <v>2365.4390701100619</v>
      </c>
      <c r="W74" s="9">
        <f t="shared" si="202"/>
        <v>2400.9206561617125</v>
      </c>
      <c r="X74" s="9">
        <f t="shared" si="202"/>
        <v>2436.9344660041379</v>
      </c>
      <c r="Y74" s="9">
        <f t="shared" si="202"/>
        <v>2473.4884829942002</v>
      </c>
      <c r="Z74" s="9">
        <f t="shared" si="202"/>
        <v>2510.5908102391127</v>
      </c>
      <c r="AA74" s="9">
        <f t="shared" si="202"/>
        <v>2548.2496723926988</v>
      </c>
      <c r="AB74" s="9">
        <f t="shared" si="202"/>
        <v>2586.4734174785885</v>
      </c>
      <c r="AC74" s="9">
        <f t="shared" si="202"/>
        <v>2625.2705187407673</v>
      </c>
      <c r="AD74" s="9">
        <f t="shared" si="202"/>
        <v>2664.6495765218783</v>
      </c>
      <c r="AE74" s="9">
        <f t="shared" si="202"/>
        <v>2704.6193201697065</v>
      </c>
      <c r="AF74" s="9">
        <f t="shared" si="202"/>
        <v>2745.1886099722515</v>
      </c>
      <c r="AG74" s="9">
        <f t="shared" si="202"/>
        <v>2786.3664391218349</v>
      </c>
      <c r="AH74" s="9">
        <f t="shared" si="202"/>
        <v>2828.1619357086624</v>
      </c>
      <c r="AI74" s="9">
        <f t="shared" si="202"/>
        <v>2870.5843647442912</v>
      </c>
      <c r="AJ74" s="10">
        <f t="shared" ref="AJ74" si="203">AJ65*0.172</f>
        <v>2913.6431302154556</v>
      </c>
    </row>
    <row r="75" spans="3:36" x14ac:dyDescent="0.25">
      <c r="F75" s="29" t="s">
        <v>68</v>
      </c>
      <c r="G75" s="8">
        <f t="shared" ref="G75:P75" si="204">G73+G74-G42</f>
        <v>4673.2199999999993</v>
      </c>
      <c r="H75" s="9">
        <f t="shared" si="204"/>
        <v>5269.8799999999983</v>
      </c>
      <c r="I75" s="9">
        <f t="shared" si="204"/>
        <v>5348.9281999999967</v>
      </c>
      <c r="J75" s="9">
        <f t="shared" si="204"/>
        <v>5429.1621229999964</v>
      </c>
      <c r="K75" s="9">
        <f t="shared" si="204"/>
        <v>5510.5995548449973</v>
      </c>
      <c r="L75" s="9">
        <f t="shared" si="204"/>
        <v>5593.2585481676706</v>
      </c>
      <c r="M75" s="9">
        <f t="shared" si="204"/>
        <v>5677.1574263901821</v>
      </c>
      <c r="N75" s="9">
        <f t="shared" si="204"/>
        <v>5762.3147877860356</v>
      </c>
      <c r="O75" s="9">
        <f t="shared" si="204"/>
        <v>5848.7495096028215</v>
      </c>
      <c r="P75" s="9">
        <f t="shared" si="204"/>
        <v>5936.4807522468691</v>
      </c>
      <c r="Q75" s="9">
        <f t="shared" ref="Q75:AI75" si="205">Q73+Q74-Q42</f>
        <v>6025.5279635305669</v>
      </c>
      <c r="R75" s="9">
        <f t="shared" si="205"/>
        <v>6115.9108829835277</v>
      </c>
      <c r="S75" s="9">
        <f t="shared" si="205"/>
        <v>6207.6495462282801</v>
      </c>
      <c r="T75" s="9">
        <f t="shared" si="205"/>
        <v>6300.7642894216988</v>
      </c>
      <c r="U75" s="9">
        <f t="shared" si="205"/>
        <v>6395.2757537630278</v>
      </c>
      <c r="V75" s="9">
        <f t="shared" si="205"/>
        <v>6600.6101712456657</v>
      </c>
      <c r="W75" s="9">
        <f t="shared" si="205"/>
        <v>7688.3294265942131</v>
      </c>
      <c r="X75" s="9">
        <f t="shared" si="205"/>
        <v>8245.9061582233044</v>
      </c>
      <c r="Y75" s="9">
        <f t="shared" si="205"/>
        <v>8369.5947505966469</v>
      </c>
      <c r="Z75" s="9">
        <f t="shared" si="205"/>
        <v>8495.1386718556023</v>
      </c>
      <c r="AA75" s="9">
        <f t="shared" si="205"/>
        <v>8622.5657519334345</v>
      </c>
      <c r="AB75" s="9">
        <f t="shared" si="205"/>
        <v>8751.9042382124389</v>
      </c>
      <c r="AC75" s="9">
        <f t="shared" si="205"/>
        <v>8883.1828017856169</v>
      </c>
      <c r="AD75" s="9">
        <f t="shared" si="205"/>
        <v>9016.4305438123993</v>
      </c>
      <c r="AE75" s="9">
        <f t="shared" si="205"/>
        <v>9151.6770019695832</v>
      </c>
      <c r="AF75" s="9">
        <f t="shared" si="205"/>
        <v>9288.9521569991193</v>
      </c>
      <c r="AG75" s="9">
        <f t="shared" si="205"/>
        <v>9428.2864393541095</v>
      </c>
      <c r="AH75" s="9">
        <f t="shared" si="205"/>
        <v>9569.7107359444199</v>
      </c>
      <c r="AI75" s="9">
        <f t="shared" si="205"/>
        <v>10286.948638233531</v>
      </c>
      <c r="AJ75" s="10">
        <f t="shared" ref="AJ75" si="206">AJ73+AJ74-AJ42</f>
        <v>10536.546668569834</v>
      </c>
    </row>
    <row r="76" spans="3:36" x14ac:dyDescent="0.25">
      <c r="F76" s="32" t="s">
        <v>95</v>
      </c>
      <c r="G76" s="11">
        <f>G9-G14-G20-G10-G75</f>
        <v>-8005.3661419131658</v>
      </c>
      <c r="H76" s="12">
        <f t="shared" ref="H76:P76" si="207">H9-H14-H20-H10-H75</f>
        <v>-8364.426141913169</v>
      </c>
      <c r="I76" s="12">
        <f t="shared" si="207"/>
        <v>-8202.3103419131676</v>
      </c>
      <c r="J76" s="12">
        <f t="shared" si="207"/>
        <v>-8037.762804913169</v>
      </c>
      <c r="K76" s="12">
        <f t="shared" si="207"/>
        <v>-7870.7470548581696</v>
      </c>
      <c r="L76" s="12">
        <f t="shared" si="207"/>
        <v>-7701.2260685523488</v>
      </c>
      <c r="M76" s="12">
        <f t="shared" si="207"/>
        <v>-7529.1622674519349</v>
      </c>
      <c r="N76" s="12">
        <f t="shared" si="207"/>
        <v>-7354.5175093350172</v>
      </c>
      <c r="O76" s="12">
        <f t="shared" si="207"/>
        <v>-7177.2530798463449</v>
      </c>
      <c r="P76" s="12">
        <f t="shared" si="207"/>
        <v>-6997.3296839153536</v>
      </c>
      <c r="Q76" s="12">
        <f t="shared" ref="Q76:AI76" si="208">Q9-Q14-Q20-Q10-Q75</f>
        <v>-6814.7074370453811</v>
      </c>
      <c r="R76" s="12">
        <f t="shared" si="208"/>
        <v>-6629.3458564723696</v>
      </c>
      <c r="S76" s="12">
        <f t="shared" si="208"/>
        <v>-6441.2038521907598</v>
      </c>
      <c r="T76" s="12">
        <f t="shared" si="208"/>
        <v>-6250.239717844921</v>
      </c>
      <c r="U76" s="12">
        <f t="shared" si="208"/>
        <v>-6056.4111214839013</v>
      </c>
      <c r="V76" s="12">
        <f t="shared" si="208"/>
        <v>-5969.0803773536609</v>
      </c>
      <c r="W76" s="12">
        <f t="shared" si="208"/>
        <v>-6759.7444936651318</v>
      </c>
      <c r="X76" s="12">
        <f t="shared" si="208"/>
        <v>-7015.810259171596</v>
      </c>
      <c r="Y76" s="12">
        <f t="shared" si="208"/>
        <v>-6833.4652209304622</v>
      </c>
      <c r="Z76" s="12">
        <f t="shared" si="208"/>
        <v>-6648.3850071157322</v>
      </c>
      <c r="AA76" s="12">
        <f t="shared" si="208"/>
        <v>-6460.5285900937706</v>
      </c>
      <c r="AB76" s="12">
        <f t="shared" si="208"/>
        <v>-6269.8543268164904</v>
      </c>
      <c r="AC76" s="12">
        <f t="shared" si="208"/>
        <v>-6076.3199495900335</v>
      </c>
      <c r="AD76" s="12">
        <f t="shared" si="208"/>
        <v>-5879.8825567051863</v>
      </c>
      <c r="AE76" s="12">
        <f t="shared" si="208"/>
        <v>-5680.4986029270658</v>
      </c>
      <c r="AF76" s="12">
        <f t="shared" si="208"/>
        <v>13194.022252070896</v>
      </c>
      <c r="AG76" s="12">
        <f t="shared" si="208"/>
        <v>13399.432585851951</v>
      </c>
      <c r="AH76" s="12">
        <f t="shared" si="208"/>
        <v>13607.924074639734</v>
      </c>
      <c r="AI76" s="12">
        <f t="shared" si="208"/>
        <v>13245.850694509372</v>
      </c>
      <c r="AJ76" s="13">
        <f t="shared" ref="AJ76" si="209">AJ9-AJ14-AJ20-AJ10-AJ75</f>
        <v>13356.744654164213</v>
      </c>
    </row>
    <row r="77" spans="3:36" x14ac:dyDescent="0.25">
      <c r="F77" s="32" t="s">
        <v>109</v>
      </c>
      <c r="G77" s="52">
        <f>IF(AND(G8=1,$C$35&gt;$C$15),(G10+G76)/($C$15),
IF(AND(G8&lt;&gt;1,$C$35&gt;$C$15),(G10+G76)/($C$15+F11),
G76/($C$35)))</f>
        <v>0.14674507264910183</v>
      </c>
      <c r="H77" s="53">
        <f t="shared" ref="H77:AJ77" si="210">IF(AND(H8=1,$C$35&gt;$C$15),(H10+H76)/($C$15),
IF(AND(H8&lt;&gt;1,$C$35&gt;$C$15),(H10+H76)/($C$15+G11),
H76/($C$35)))</f>
        <v>9.9762331343782304E-2</v>
      </c>
      <c r="I77" s="39">
        <f t="shared" si="210"/>
        <v>8.3323696640821218E-2</v>
      </c>
      <c r="J77" s="39">
        <f t="shared" si="210"/>
        <v>7.2884254730638823E-2</v>
      </c>
      <c r="K77" s="39">
        <f t="shared" si="210"/>
        <v>6.5667309737968083E-2</v>
      </c>
      <c r="L77" s="39">
        <f t="shared" si="210"/>
        <v>6.0380700977434719E-2</v>
      </c>
      <c r="M77" s="39">
        <f t="shared" si="210"/>
        <v>5.6341658396372632E-2</v>
      </c>
      <c r="N77" s="39">
        <f t="shared" si="210"/>
        <v>5.3155450181838516E-2</v>
      </c>
      <c r="O77" s="39">
        <f t="shared" si="210"/>
        <v>5.0577981660854927E-2</v>
      </c>
      <c r="P77" s="39">
        <f t="shared" si="210"/>
        <v>4.8450196258450297E-2</v>
      </c>
      <c r="Q77" s="39">
        <f t="shared" si="210"/>
        <v>4.6664010269857933E-2</v>
      </c>
      <c r="R77" s="39">
        <f t="shared" si="210"/>
        <v>4.5143408333439966E-2</v>
      </c>
      <c r="S77" s="39">
        <f t="shared" si="210"/>
        <v>4.3833371374898067E-2</v>
      </c>
      <c r="T77" s="39">
        <f t="shared" si="210"/>
        <v>4.2693095586664905E-2</v>
      </c>
      <c r="U77" s="39">
        <f t="shared" si="210"/>
        <v>4.1691679977279288E-2</v>
      </c>
      <c r="V77" s="39">
        <f t="shared" si="210"/>
        <v>4.0343942892926588E-2</v>
      </c>
      <c r="W77" s="39">
        <f t="shared" si="210"/>
        <v>3.5662850059061273E-2</v>
      </c>
      <c r="X77" s="39">
        <f t="shared" si="210"/>
        <v>3.3501148077706502E-2</v>
      </c>
      <c r="Y77" s="39">
        <f t="shared" si="210"/>
        <v>3.310676740381837E-2</v>
      </c>
      <c r="Z77" s="39">
        <f t="shared" si="210"/>
        <v>3.2749315664104529E-2</v>
      </c>
      <c r="AA77" s="39">
        <f t="shared" si="210"/>
        <v>3.2423864362606913E-2</v>
      </c>
      <c r="AB77" s="39">
        <f t="shared" si="210"/>
        <v>3.2126324541342399E-2</v>
      </c>
      <c r="AC77" s="39">
        <f t="shared" si="210"/>
        <v>3.1853275317712058E-2</v>
      </c>
      <c r="AD77" s="39">
        <f t="shared" si="210"/>
        <v>3.1601832795092107E-2</v>
      </c>
      <c r="AE77" s="39">
        <f t="shared" si="210"/>
        <v>3.1369548674606333E-2</v>
      </c>
      <c r="AF77" s="39">
        <f t="shared" si="210"/>
        <v>3.2698939905999744E-2</v>
      </c>
      <c r="AG77" s="39">
        <f t="shared" si="210"/>
        <v>0.44664775286173169</v>
      </c>
      <c r="AH77" s="39">
        <f t="shared" si="210"/>
        <v>0.45359746915465776</v>
      </c>
      <c r="AI77" s="39">
        <f t="shared" si="210"/>
        <v>0.44152835648364575</v>
      </c>
      <c r="AJ77" s="40">
        <f t="shared" si="210"/>
        <v>0.44522482180547379</v>
      </c>
    </row>
    <row r="78" spans="3:36" x14ac:dyDescent="0.25">
      <c r="F78" s="30" t="s">
        <v>108</v>
      </c>
      <c r="G78" s="35">
        <f t="shared" ref="G78:P78" si="211">(G10+G76)/$C$35</f>
        <v>1.0910414323353296E-2</v>
      </c>
      <c r="H78" s="36">
        <f t="shared" si="211"/>
        <v>1.0484988467687533E-2</v>
      </c>
      <c r="I78" s="36">
        <f t="shared" si="211"/>
        <v>1.1358214945238724E-2</v>
      </c>
      <c r="J78" s="36">
        <f t="shared" si="211"/>
        <v>1.2244588641640377E-2</v>
      </c>
      <c r="K78" s="36">
        <f t="shared" si="211"/>
        <v>1.3144307502556312E-2</v>
      </c>
      <c r="L78" s="36">
        <f t="shared" si="211"/>
        <v>1.4057572453972399E-2</v>
      </c>
      <c r="M78" s="36">
        <f t="shared" si="211"/>
        <v>1.4984587447069604E-2</v>
      </c>
      <c r="N78" s="36">
        <f t="shared" si="211"/>
        <v>1.5925559503772609E-2</v>
      </c>
      <c r="O78" s="36">
        <f t="shared" si="211"/>
        <v>1.6880698762984356E-2</v>
      </c>
      <c r="P78" s="36">
        <f t="shared" si="211"/>
        <v>1.7850218527516594E-2</v>
      </c>
      <c r="Q78" s="36">
        <f t="shared" ref="Q78:AI78" si="212">(Q10+Q76)/$C$35</f>
        <v>1.8834335311727277E-2</v>
      </c>
      <c r="R78" s="36">
        <f t="shared" si="212"/>
        <v>1.9833268889874796E-2</v>
      </c>
      <c r="S78" s="36">
        <f t="shared" si="212"/>
        <v>2.0847242345200794E-2</v>
      </c>
      <c r="T78" s="36">
        <f t="shared" si="212"/>
        <v>2.1876482119751579E-2</v>
      </c>
      <c r="U78" s="36">
        <f t="shared" si="212"/>
        <v>2.2921218064949823E-2</v>
      </c>
      <c r="V78" s="36">
        <f t="shared" si="212"/>
        <v>2.3710542771301583E-2</v>
      </c>
      <c r="W78" s="36">
        <f t="shared" si="212"/>
        <v>2.2332572568971323E-2</v>
      </c>
      <c r="X78" s="36">
        <f t="shared" si="212"/>
        <v>2.2288288730003568E-2</v>
      </c>
      <c r="Y78" s="36">
        <f t="shared" si="212"/>
        <v>2.3339440898529417E-2</v>
      </c>
      <c r="Z78" s="36">
        <f t="shared" si="212"/>
        <v>2.440642240481021E-2</v>
      </c>
      <c r="AA78" s="36">
        <f t="shared" si="212"/>
        <v>2.5489471626166958E-2</v>
      </c>
      <c r="AB78" s="36">
        <f t="shared" si="212"/>
        <v>2.6588830529736204E-2</v>
      </c>
      <c r="AC78" s="36">
        <f t="shared" si="212"/>
        <v>2.7704744726531356E-2</v>
      </c>
      <c r="AD78" s="36">
        <f t="shared" si="212"/>
        <v>2.8837463526317619E-2</v>
      </c>
      <c r="AE78" s="36">
        <f t="shared" si="212"/>
        <v>2.998723999331376E-2</v>
      </c>
      <c r="AF78" s="36">
        <f t="shared" si="212"/>
        <v>3.2698939905999744E-2</v>
      </c>
      <c r="AG78" s="36">
        <f t="shared" si="212"/>
        <v>3.3208011365184517E-2</v>
      </c>
      <c r="AH78" s="36">
        <f t="shared" si="212"/>
        <v>3.3724718896257083E-2</v>
      </c>
      <c r="AI78" s="36">
        <f t="shared" si="212"/>
        <v>3.2827387099155815E-2</v>
      </c>
      <c r="AJ78" s="37">
        <f t="shared" ref="AJ78" si="213">(AJ10+AJ76)/$C$35</f>
        <v>3.3102217234607718E-2</v>
      </c>
    </row>
    <row r="79" spans="3:36" x14ac:dyDescent="0.25">
      <c r="F79" s="29" t="s">
        <v>69</v>
      </c>
      <c r="G79" s="8">
        <f t="shared" ref="G79:P79" si="214">IF(G9-G32-G33&lt;0,0,G9-G32-G33)</f>
        <v>0</v>
      </c>
      <c r="H79" s="9">
        <f t="shared" si="214"/>
        <v>0</v>
      </c>
      <c r="I79" s="9">
        <f t="shared" si="214"/>
        <v>0</v>
      </c>
      <c r="J79" s="9">
        <f t="shared" si="214"/>
        <v>0</v>
      </c>
      <c r="K79" s="9">
        <f t="shared" si="214"/>
        <v>10392.294228617156</v>
      </c>
      <c r="L79" s="9">
        <f t="shared" si="214"/>
        <v>11265.489033345533</v>
      </c>
      <c r="M79" s="9">
        <f t="shared" si="214"/>
        <v>11723.438461282767</v>
      </c>
      <c r="N79" s="9">
        <f t="shared" si="214"/>
        <v>12188.278047558282</v>
      </c>
      <c r="O79" s="9">
        <f t="shared" si="214"/>
        <v>12660.111460467011</v>
      </c>
      <c r="P79" s="9">
        <f t="shared" si="214"/>
        <v>13139.043928099816</v>
      </c>
      <c r="Q79" s="9">
        <f t="shared" ref="Q79:AI79" si="215">IF(Q9-Q32-Q33&lt;0,0,Q9-Q32-Q33)</f>
        <v>13625.182261812522</v>
      </c>
      <c r="R79" s="9">
        <f t="shared" si="215"/>
        <v>14118.634880048008</v>
      </c>
      <c r="S79" s="9">
        <f t="shared" si="215"/>
        <v>14619.5118325168</v>
      </c>
      <c r="T79" s="9">
        <f t="shared" si="215"/>
        <v>15127.924824741462</v>
      </c>
      <c r="U79" s="9">
        <f t="shared" si="215"/>
        <v>15643.987242970279</v>
      </c>
      <c r="V79" s="9">
        <f t="shared" si="215"/>
        <v>16167.814179465855</v>
      </c>
      <c r="W79" s="9">
        <f t="shared" si="215"/>
        <v>16699.522458174142</v>
      </c>
      <c r="X79" s="9">
        <f t="shared" si="215"/>
        <v>17239.230660779744</v>
      </c>
      <c r="Y79" s="9">
        <f t="shared" si="215"/>
        <v>17787.059153153266</v>
      </c>
      <c r="Z79" s="9">
        <f t="shared" si="215"/>
        <v>18343.130112196523</v>
      </c>
      <c r="AA79" s="9">
        <f t="shared" si="215"/>
        <v>18907.567553091802</v>
      </c>
      <c r="AB79" s="9">
        <f t="shared" si="215"/>
        <v>19480.497356960997</v>
      </c>
      <c r="AC79" s="9">
        <f t="shared" si="215"/>
        <v>20062.047298941019</v>
      </c>
      <c r="AD79" s="9">
        <f t="shared" si="215"/>
        <v>20652.347076681559</v>
      </c>
      <c r="AE79" s="9">
        <f t="shared" si="215"/>
        <v>21251.528339271685</v>
      </c>
      <c r="AF79" s="9">
        <f t="shared" si="215"/>
        <v>22482.974409070015</v>
      </c>
      <c r="AG79" s="9">
        <f t="shared" si="215"/>
        <v>22827.719025206061</v>
      </c>
      <c r="AH79" s="9">
        <f t="shared" si="215"/>
        <v>23177.634810584153</v>
      </c>
      <c r="AI79" s="9">
        <f t="shared" si="215"/>
        <v>23532.799332742903</v>
      </c>
      <c r="AJ79" s="10">
        <f t="shared" ref="AJ79" si="216">IF(AJ9-AJ32-AJ33&lt;0,0,AJ9-AJ32-AJ33)</f>
        <v>23893.291322734047</v>
      </c>
    </row>
    <row r="80" spans="3:36" x14ac:dyDescent="0.25">
      <c r="F80" s="29" t="s">
        <v>70</v>
      </c>
      <c r="G80" s="8">
        <f>G79+G34-G31</f>
        <v>43300</v>
      </c>
      <c r="H80" s="9">
        <f t="shared" ref="H80:P80" si="217">H79+H34-H31</f>
        <v>57240</v>
      </c>
      <c r="I80" s="9">
        <f t="shared" si="217"/>
        <v>60696</v>
      </c>
      <c r="J80" s="9">
        <f t="shared" si="217"/>
        <v>64383.552000000011</v>
      </c>
      <c r="K80" s="9">
        <f t="shared" si="217"/>
        <v>78711.677268617175</v>
      </c>
      <c r="L80" s="9">
        <f t="shared" si="217"/>
        <v>83786.975471745536</v>
      </c>
      <c r="M80" s="9">
        <f t="shared" si="217"/>
        <v>88732.6586801628</v>
      </c>
      <c r="N80" s="9">
        <f t="shared" si="217"/>
        <v>93991.691343973027</v>
      </c>
      <c r="O80" s="9">
        <f t="shared" si="217"/>
        <v>99586.591499020244</v>
      </c>
      <c r="P80" s="9">
        <f t="shared" si="217"/>
        <v>105541.58779529961</v>
      </c>
      <c r="Q80" s="9">
        <f t="shared" ref="Q80:AI80" si="218">Q79+Q34-Q31</f>
        <v>111882.7528809731</v>
      </c>
      <c r="R80" s="9">
        <f t="shared" si="218"/>
        <v>118638.14732102961</v>
      </c>
      <c r="S80" s="9">
        <f t="shared" si="218"/>
        <v>125837.97488795666</v>
      </c>
      <c r="T80" s="9">
        <f t="shared" si="218"/>
        <v>133514.75012856341</v>
      </c>
      <c r="U80" s="9">
        <f t="shared" si="218"/>
        <v>141703.47918320278</v>
      </c>
      <c r="V80" s="9">
        <f t="shared" si="218"/>
        <v>150441.85491150591</v>
      </c>
      <c r="W80" s="9">
        <f t="shared" si="218"/>
        <v>159770.46746282995</v>
      </c>
      <c r="X80" s="9">
        <f t="shared" si="218"/>
        <v>169733.03152042266</v>
      </c>
      <c r="Y80" s="9">
        <f t="shared" si="218"/>
        <v>180376.63154636687</v>
      </c>
      <c r="Z80" s="9">
        <f t="shared" si="218"/>
        <v>191751.9864602584</v>
      </c>
      <c r="AA80" s="9">
        <f t="shared" si="218"/>
        <v>203913.73529892543</v>
      </c>
      <c r="AB80" s="9">
        <f t="shared" si="218"/>
        <v>216920.74552798524</v>
      </c>
      <c r="AC80" s="9">
        <f t="shared" si="218"/>
        <v>230836.44580939208</v>
      </c>
      <c r="AD80" s="9">
        <f t="shared" si="218"/>
        <v>245729.1851731434</v>
      </c>
      <c r="AE80" s="9">
        <f t="shared" si="218"/>
        <v>261672.62069683213</v>
      </c>
      <c r="AF80" s="9">
        <f t="shared" si="218"/>
        <v>279369.38565715222</v>
      </c>
      <c r="AG80" s="9">
        <f t="shared" si="218"/>
        <v>297385.93993512844</v>
      </c>
      <c r="AH80" s="9">
        <f t="shared" si="218"/>
        <v>316706.24602577364</v>
      </c>
      <c r="AI80" s="9">
        <f t="shared" si="218"/>
        <v>337429.66138291982</v>
      </c>
      <c r="AJ80" s="10">
        <f t="shared" ref="AJ80" si="219">AJ79+AJ34-AJ31</f>
        <v>359663.30275220826</v>
      </c>
    </row>
    <row r="81" spans="3:36" x14ac:dyDescent="0.25">
      <c r="F81" s="29" t="s">
        <v>71</v>
      </c>
      <c r="G81" s="8">
        <f>IF($C$29=0,G80,G80/2)</f>
        <v>21650</v>
      </c>
      <c r="H81" s="9">
        <f t="shared" ref="H81:P81" si="220">IF($C$29=0,H80,H80/2)</f>
        <v>28620</v>
      </c>
      <c r="I81" s="9">
        <f t="shared" si="220"/>
        <v>30348</v>
      </c>
      <c r="J81" s="9">
        <f t="shared" si="220"/>
        <v>32191.776000000005</v>
      </c>
      <c r="K81" s="9">
        <f t="shared" si="220"/>
        <v>39355.838634308588</v>
      </c>
      <c r="L81" s="9">
        <f t="shared" si="220"/>
        <v>41893.487735872768</v>
      </c>
      <c r="M81" s="9">
        <f t="shared" si="220"/>
        <v>44366.3293400814</v>
      </c>
      <c r="N81" s="9">
        <f t="shared" si="220"/>
        <v>46995.845671986513</v>
      </c>
      <c r="O81" s="9">
        <f t="shared" si="220"/>
        <v>49793.295749510122</v>
      </c>
      <c r="P81" s="9">
        <f t="shared" si="220"/>
        <v>52770.793897649804</v>
      </c>
      <c r="Q81" s="9">
        <f t="shared" ref="Q81:AI81" si="221">IF($C$29=0,Q80,Q80/2)</f>
        <v>55941.376440486551</v>
      </c>
      <c r="R81" s="9">
        <f t="shared" si="221"/>
        <v>59319.073660514805</v>
      </c>
      <c r="S81" s="9">
        <f t="shared" si="221"/>
        <v>62918.987443978331</v>
      </c>
      <c r="T81" s="9">
        <f t="shared" si="221"/>
        <v>66757.375064281703</v>
      </c>
      <c r="U81" s="9">
        <f t="shared" si="221"/>
        <v>70851.739591601392</v>
      </c>
      <c r="V81" s="9">
        <f t="shared" si="221"/>
        <v>75220.927455752957</v>
      </c>
      <c r="W81" s="9">
        <f t="shared" si="221"/>
        <v>79885.233731414977</v>
      </c>
      <c r="X81" s="9">
        <f t="shared" si="221"/>
        <v>84866.515760211332</v>
      </c>
      <c r="Y81" s="9">
        <f t="shared" si="221"/>
        <v>90188.315773183436</v>
      </c>
      <c r="Z81" s="9">
        <f t="shared" si="221"/>
        <v>95875.993230129199</v>
      </c>
      <c r="AA81" s="9">
        <f t="shared" si="221"/>
        <v>101956.86764946271</v>
      </c>
      <c r="AB81" s="9">
        <f t="shared" si="221"/>
        <v>108460.37276399262</v>
      </c>
      <c r="AC81" s="9">
        <f t="shared" si="221"/>
        <v>115418.22290469604</v>
      </c>
      <c r="AD81" s="9">
        <f t="shared" si="221"/>
        <v>122864.5925865717</v>
      </c>
      <c r="AE81" s="9">
        <f t="shared" si="221"/>
        <v>130836.31034841607</v>
      </c>
      <c r="AF81" s="9">
        <f t="shared" si="221"/>
        <v>139684.69282857611</v>
      </c>
      <c r="AG81" s="9">
        <f t="shared" si="221"/>
        <v>148692.96996756422</v>
      </c>
      <c r="AH81" s="9">
        <f t="shared" si="221"/>
        <v>158353.12301288682</v>
      </c>
      <c r="AI81" s="9">
        <f t="shared" si="221"/>
        <v>168714.83069145991</v>
      </c>
      <c r="AJ81" s="10">
        <f t="shared" ref="AJ81" si="222">IF($C$29=0,AJ80,AJ80/2)</f>
        <v>179831.65137610413</v>
      </c>
    </row>
    <row r="82" spans="3:36" x14ac:dyDescent="0.25">
      <c r="F82" s="29" t="s">
        <v>72</v>
      </c>
      <c r="G82" s="8">
        <f>IF(G81&lt;10084,0,
IF(AND(G81&gt;10084,G81&lt;=25710),(G81-10084)*0.11,
IF(AND(G81&gt;25710,G81&lt;=73516),(G81-25710)*0.3+1721.06,
IF(AND(G81&gt;73516,G81&lt;=158122),(G81-73516)*0.41+16062.86,
IF(G81&gt;158122,(G81-158122)*0.45+50751.32,
0)))))</f>
        <v>1272.26</v>
      </c>
      <c r="H82" s="9">
        <f t="shared" ref="H82:P82" si="223">IF(H81&lt;10084,0,
IF(AND(H81&gt;10084,H81&lt;=25710),(H81-10084)*0.11,
IF(AND(H81&gt;25710,H81&lt;=73516),(H81-25710)*0.3+1721.06,
IF(AND(H81&gt;73516,H81&lt;=158122),(H81-73516)*0.41+16062.86,
IF(H81&gt;158122,(H81-158122)*0.45+50751.32,
0)))))</f>
        <v>2594.06</v>
      </c>
      <c r="I82" s="9">
        <f t="shared" si="223"/>
        <v>3112.46</v>
      </c>
      <c r="J82" s="9">
        <f t="shared" si="223"/>
        <v>3665.5928000000013</v>
      </c>
      <c r="K82" s="9">
        <f t="shared" si="223"/>
        <v>5814.8115902925765</v>
      </c>
      <c r="L82" s="9">
        <f t="shared" si="223"/>
        <v>6576.1063207618299</v>
      </c>
      <c r="M82" s="9">
        <f t="shared" si="223"/>
        <v>7317.9588020244191</v>
      </c>
      <c r="N82" s="9">
        <f t="shared" si="223"/>
        <v>8106.8137015959546</v>
      </c>
      <c r="O82" s="9">
        <f t="shared" si="223"/>
        <v>8946.0487248530371</v>
      </c>
      <c r="P82" s="9">
        <f t="shared" si="223"/>
        <v>9839.2981692949415</v>
      </c>
      <c r="Q82" s="9">
        <f t="shared" ref="Q82:AI82" si="224">IF(Q81&lt;10084,0,
IF(AND(Q81&gt;10084,Q81&lt;=25710),(Q81-10084)*0.11,
IF(AND(Q81&gt;25710,Q81&lt;=73516),(Q81-25710)*0.3+1721.06,
IF(AND(Q81&gt;73516,Q81&lt;=158122),(Q81-73516)*0.41+16062.86,
IF(Q81&gt;158122,(Q81-158122)*0.45+50751.32,
0)))))</f>
        <v>10790.472932145964</v>
      </c>
      <c r="R82" s="9">
        <f t="shared" si="224"/>
        <v>11803.782098154441</v>
      </c>
      <c r="S82" s="9">
        <f t="shared" si="224"/>
        <v>12883.756233193499</v>
      </c>
      <c r="T82" s="9">
        <f t="shared" si="224"/>
        <v>14035.27251928451</v>
      </c>
      <c r="U82" s="9">
        <f t="shared" si="224"/>
        <v>15263.581877480417</v>
      </c>
      <c r="V82" s="9">
        <f t="shared" si="224"/>
        <v>16761.880256858713</v>
      </c>
      <c r="W82" s="9">
        <f t="shared" si="224"/>
        <v>18674.245829880143</v>
      </c>
      <c r="X82" s="9">
        <f t="shared" si="224"/>
        <v>20716.571461686646</v>
      </c>
      <c r="Y82" s="9">
        <f t="shared" si="224"/>
        <v>22898.509467005209</v>
      </c>
      <c r="Z82" s="9">
        <f t="shared" si="224"/>
        <v>25230.457224352969</v>
      </c>
      <c r="AA82" s="9">
        <f t="shared" si="224"/>
        <v>27723.615736279713</v>
      </c>
      <c r="AB82" s="9">
        <f t="shared" si="224"/>
        <v>30390.052833236972</v>
      </c>
      <c r="AC82" s="9">
        <f t="shared" si="224"/>
        <v>33242.77139092538</v>
      </c>
      <c r="AD82" s="9">
        <f t="shared" si="224"/>
        <v>36295.782960494398</v>
      </c>
      <c r="AE82" s="9">
        <f t="shared" si="224"/>
        <v>39564.187242850589</v>
      </c>
      <c r="AF82" s="9">
        <f t="shared" si="224"/>
        <v>43192.024059716205</v>
      </c>
      <c r="AG82" s="9">
        <f t="shared" si="224"/>
        <v>46885.41768670133</v>
      </c>
      <c r="AH82" s="9">
        <f t="shared" si="224"/>
        <v>50855.325355799068</v>
      </c>
      <c r="AI82" s="9">
        <f t="shared" si="224"/>
        <v>55518.093811156956</v>
      </c>
      <c r="AJ82" s="10">
        <f t="shared" ref="AJ82" si="225">IF(AJ81&lt;10084,0,
IF(AND(AJ81&gt;10084,AJ81&lt;=25710),(AJ81-10084)*0.11,
IF(AND(AJ81&gt;25710,AJ81&lt;=73516),(AJ81-25710)*0.3+1721.06,
IF(AND(AJ81&gt;73516,AJ81&lt;=158122),(AJ81-73516)*0.41+16062.86,
IF(AJ81&gt;158122,(AJ81-158122)*0.45+50751.32,
0)))))</f>
        <v>60520.663119246856</v>
      </c>
    </row>
    <row r="83" spans="3:36" x14ac:dyDescent="0.25">
      <c r="F83" s="29" t="s">
        <v>73</v>
      </c>
      <c r="G83" s="8">
        <f>IF($C$29=0,G82,G82*2)</f>
        <v>2544.52</v>
      </c>
      <c r="H83" s="9">
        <f t="shared" ref="H83:P83" si="226">IF($C$29=0,H82,H82*2)</f>
        <v>5188.12</v>
      </c>
      <c r="I83" s="9">
        <f t="shared" si="226"/>
        <v>6224.92</v>
      </c>
      <c r="J83" s="9">
        <f t="shared" si="226"/>
        <v>7331.1856000000025</v>
      </c>
      <c r="K83" s="9">
        <f t="shared" si="226"/>
        <v>11629.623180585153</v>
      </c>
      <c r="L83" s="9">
        <f t="shared" si="226"/>
        <v>13152.21264152366</v>
      </c>
      <c r="M83" s="9">
        <f t="shared" si="226"/>
        <v>14635.917604048838</v>
      </c>
      <c r="N83" s="9">
        <f t="shared" si="226"/>
        <v>16213.627403191909</v>
      </c>
      <c r="O83" s="9">
        <f t="shared" si="226"/>
        <v>17892.097449706074</v>
      </c>
      <c r="P83" s="9">
        <f t="shared" si="226"/>
        <v>19678.596338589883</v>
      </c>
      <c r="Q83" s="9">
        <f t="shared" ref="Q83:AI83" si="227">IF($C$29=0,Q82,Q82*2)</f>
        <v>21580.945864291927</v>
      </c>
      <c r="R83" s="9">
        <f t="shared" si="227"/>
        <v>23607.564196308882</v>
      </c>
      <c r="S83" s="9">
        <f t="shared" si="227"/>
        <v>25767.512466386997</v>
      </c>
      <c r="T83" s="9">
        <f t="shared" si="227"/>
        <v>28070.54503856902</v>
      </c>
      <c r="U83" s="9">
        <f t="shared" si="227"/>
        <v>30527.163754960835</v>
      </c>
      <c r="V83" s="9">
        <f t="shared" si="227"/>
        <v>33523.760513717425</v>
      </c>
      <c r="W83" s="9">
        <f t="shared" si="227"/>
        <v>37348.491659760286</v>
      </c>
      <c r="X83" s="9">
        <f t="shared" si="227"/>
        <v>41433.142923373292</v>
      </c>
      <c r="Y83" s="9">
        <f t="shared" si="227"/>
        <v>45797.018934010419</v>
      </c>
      <c r="Z83" s="9">
        <f t="shared" si="227"/>
        <v>50460.914448705938</v>
      </c>
      <c r="AA83" s="9">
        <f t="shared" si="227"/>
        <v>55447.231472559426</v>
      </c>
      <c r="AB83" s="9">
        <f t="shared" si="227"/>
        <v>60780.105666473944</v>
      </c>
      <c r="AC83" s="9">
        <f t="shared" si="227"/>
        <v>66485.54278185076</v>
      </c>
      <c r="AD83" s="9">
        <f t="shared" si="227"/>
        <v>72591.565920988796</v>
      </c>
      <c r="AE83" s="9">
        <f t="shared" si="227"/>
        <v>79128.374485701177</v>
      </c>
      <c r="AF83" s="9">
        <f t="shared" si="227"/>
        <v>86384.048119432409</v>
      </c>
      <c r="AG83" s="9">
        <f t="shared" si="227"/>
        <v>93770.83537340266</v>
      </c>
      <c r="AH83" s="9">
        <f t="shared" si="227"/>
        <v>101710.65071159814</v>
      </c>
      <c r="AI83" s="9">
        <f t="shared" si="227"/>
        <v>111036.18762231391</v>
      </c>
      <c r="AJ83" s="10">
        <f t="shared" ref="AJ83" si="228">IF($C$29=0,AJ82,AJ82*2)</f>
        <v>121041.32623849371</v>
      </c>
    </row>
    <row r="84" spans="3:36" x14ac:dyDescent="0.25">
      <c r="F84" s="29" t="s">
        <v>74</v>
      </c>
      <c r="G84" s="8">
        <f>G80/$C$31</f>
        <v>17320</v>
      </c>
      <c r="H84" s="9">
        <f t="shared" ref="H84:P84" si="229">H80/$C$31</f>
        <v>22896</v>
      </c>
      <c r="I84" s="9">
        <f t="shared" si="229"/>
        <v>24278.400000000001</v>
      </c>
      <c r="J84" s="9">
        <f t="shared" si="229"/>
        <v>25753.420800000004</v>
      </c>
      <c r="K84" s="9">
        <f t="shared" si="229"/>
        <v>31484.670907446871</v>
      </c>
      <c r="L84" s="9">
        <f t="shared" si="229"/>
        <v>33514.790188698214</v>
      </c>
      <c r="M84" s="9">
        <f t="shared" si="229"/>
        <v>35493.063472065121</v>
      </c>
      <c r="N84" s="9">
        <f t="shared" si="229"/>
        <v>37596.676537589214</v>
      </c>
      <c r="O84" s="9">
        <f t="shared" si="229"/>
        <v>39834.6365996081</v>
      </c>
      <c r="P84" s="9">
        <f t="shared" si="229"/>
        <v>42216.635118119841</v>
      </c>
      <c r="Q84" s="9">
        <f t="shared" ref="Q84:AI84" si="230">Q80/$C$31</f>
        <v>44753.101152389238</v>
      </c>
      <c r="R84" s="9">
        <f t="shared" si="230"/>
        <v>47455.258928411844</v>
      </c>
      <c r="S84" s="9">
        <f t="shared" si="230"/>
        <v>50335.189955182665</v>
      </c>
      <c r="T84" s="9">
        <f t="shared" si="230"/>
        <v>53405.900051425364</v>
      </c>
      <c r="U84" s="9">
        <f t="shared" si="230"/>
        <v>56681.391673281112</v>
      </c>
      <c r="V84" s="9">
        <f t="shared" si="230"/>
        <v>60176.741964602363</v>
      </c>
      <c r="W84" s="9">
        <f t="shared" si="230"/>
        <v>63908.186985131979</v>
      </c>
      <c r="X84" s="9">
        <f t="shared" si="230"/>
        <v>67893.212608169066</v>
      </c>
      <c r="Y84" s="9">
        <f t="shared" si="230"/>
        <v>72150.652618546752</v>
      </c>
      <c r="Z84" s="9">
        <f t="shared" si="230"/>
        <v>76700.794584103365</v>
      </c>
      <c r="AA84" s="9">
        <f t="shared" si="230"/>
        <v>81565.494119570169</v>
      </c>
      <c r="AB84" s="9">
        <f t="shared" si="230"/>
        <v>86768.298211194095</v>
      </c>
      <c r="AC84" s="9">
        <f t="shared" si="230"/>
        <v>92334.578323756839</v>
      </c>
      <c r="AD84" s="9">
        <f t="shared" si="230"/>
        <v>98291.674069257366</v>
      </c>
      <c r="AE84" s="9">
        <f t="shared" si="230"/>
        <v>104669.04827873285</v>
      </c>
      <c r="AF84" s="9">
        <f t="shared" si="230"/>
        <v>111747.75426286089</v>
      </c>
      <c r="AG84" s="9">
        <f t="shared" si="230"/>
        <v>118954.37597405138</v>
      </c>
      <c r="AH84" s="9">
        <f t="shared" si="230"/>
        <v>126682.49841030946</v>
      </c>
      <c r="AI84" s="9">
        <f t="shared" si="230"/>
        <v>134971.86455316792</v>
      </c>
      <c r="AJ84" s="10">
        <f t="shared" ref="AJ84" si="231">AJ80/$C$31</f>
        <v>143865.3211008833</v>
      </c>
    </row>
    <row r="85" spans="3:36" x14ac:dyDescent="0.25">
      <c r="F85" s="29" t="s">
        <v>75</v>
      </c>
      <c r="G85" s="8">
        <f>IF(G84&lt;10084,0,
IF(AND(G84&gt;10084,G84&lt;=25710),(G84-10084)*0.11,
IF(AND(G84&gt;25710,G84&lt;=73516),(G84-25710)*0.3+1721.06,
IF(AND(G84&gt;73516,G84&lt;=158122),(G84-73516)*0.41+16062.86,
IF(G84&gt;158122,(G84-158122)*0.45+50751.32,
0)))))</f>
        <v>795.96</v>
      </c>
      <c r="H85" s="9">
        <f t="shared" ref="H85:P85" si="232">IF(H84&lt;10084,0,
IF(AND(H84&gt;10084,H84&lt;=25710),(H84-10084)*0.11,
IF(AND(H84&gt;25710,H84&lt;=73516),(H84-25710)*0.3+1721.06,
IF(AND(H84&gt;73516,H84&lt;=158122),(H84-73516)*0.41+16062.86,
IF(H84&gt;158122,(H84-158122)*0.45+50751.32,
0)))))</f>
        <v>1409.32</v>
      </c>
      <c r="I85" s="9">
        <f t="shared" si="232"/>
        <v>1561.3840000000002</v>
      </c>
      <c r="J85" s="9">
        <f t="shared" si="232"/>
        <v>1734.086240000001</v>
      </c>
      <c r="K85" s="9">
        <f t="shared" si="232"/>
        <v>3453.4612722340612</v>
      </c>
      <c r="L85" s="9">
        <f t="shared" si="232"/>
        <v>4062.4970566094644</v>
      </c>
      <c r="M85" s="9">
        <f t="shared" si="232"/>
        <v>4655.9790416195365</v>
      </c>
      <c r="N85" s="9">
        <f t="shared" si="232"/>
        <v>5287.0629612767643</v>
      </c>
      <c r="O85" s="9">
        <f t="shared" si="232"/>
        <v>5958.4509798824292</v>
      </c>
      <c r="P85" s="9">
        <f t="shared" si="232"/>
        <v>6673.050535435952</v>
      </c>
      <c r="Q85" s="9">
        <f t="shared" ref="Q85:AI85" si="233">IF(Q84&lt;10084,0,
IF(AND(Q84&gt;10084,Q84&lt;=25710),(Q84-10084)*0.11,
IF(AND(Q84&gt;25710,Q84&lt;=73516),(Q84-25710)*0.3+1721.06,
IF(AND(Q84&gt;73516,Q84&lt;=158122),(Q84-73516)*0.41+16062.86,
IF(Q84&gt;158122,(Q84-158122)*0.45+50751.32,
0)))))</f>
        <v>7433.9903457167711</v>
      </c>
      <c r="R85" s="9">
        <f t="shared" si="233"/>
        <v>8244.6376785235534</v>
      </c>
      <c r="S85" s="9">
        <f t="shared" si="233"/>
        <v>9108.6169865547981</v>
      </c>
      <c r="T85" s="9">
        <f t="shared" si="233"/>
        <v>10029.830015427608</v>
      </c>
      <c r="U85" s="9">
        <f t="shared" si="233"/>
        <v>11012.477501984333</v>
      </c>
      <c r="V85" s="9">
        <f t="shared" si="233"/>
        <v>12061.082589380709</v>
      </c>
      <c r="W85" s="9">
        <f t="shared" si="233"/>
        <v>13180.516095539593</v>
      </c>
      <c r="X85" s="9">
        <f t="shared" si="233"/>
        <v>14376.023782450718</v>
      </c>
      <c r="Y85" s="9">
        <f t="shared" si="233"/>
        <v>15653.255785564024</v>
      </c>
      <c r="Z85" s="9">
        <f t="shared" si="233"/>
        <v>17368.62577948238</v>
      </c>
      <c r="AA85" s="9">
        <f t="shared" si="233"/>
        <v>19363.152589023768</v>
      </c>
      <c r="AB85" s="9">
        <f t="shared" si="233"/>
        <v>21496.302266589577</v>
      </c>
      <c r="AC85" s="9">
        <f t="shared" si="233"/>
        <v>23778.477112740304</v>
      </c>
      <c r="AD85" s="9">
        <f t="shared" si="233"/>
        <v>26220.886368395521</v>
      </c>
      <c r="AE85" s="9">
        <f t="shared" si="233"/>
        <v>28835.60979428047</v>
      </c>
      <c r="AF85" s="9">
        <f t="shared" si="233"/>
        <v>31737.879247772966</v>
      </c>
      <c r="AG85" s="9">
        <f t="shared" si="233"/>
        <v>34692.594149361059</v>
      </c>
      <c r="AH85" s="9">
        <f t="shared" si="233"/>
        <v>37861.124348226876</v>
      </c>
      <c r="AI85" s="9">
        <f t="shared" si="233"/>
        <v>41259.76446679885</v>
      </c>
      <c r="AJ85" s="10">
        <f t="shared" ref="AJ85" si="234">IF(AJ84&lt;10084,0,
IF(AND(AJ84&gt;10084,AJ84&lt;=25710),(AJ84-10084)*0.11,
IF(AND(AJ84&gt;25710,AJ84&lt;=73516),(AJ84-25710)*0.3+1721.06,
IF(AND(AJ84&gt;73516,AJ84&lt;=158122),(AJ84-73516)*0.41+16062.86,
IF(AJ84&gt;158122,(AJ84-158122)*0.45+50751.32,
0)))))</f>
        <v>44906.081651362154</v>
      </c>
    </row>
    <row r="86" spans="3:36" x14ac:dyDescent="0.25">
      <c r="F86" s="29" t="s">
        <v>76</v>
      </c>
      <c r="G86" s="8">
        <f>G85*$C$31</f>
        <v>1989.9</v>
      </c>
      <c r="H86" s="9">
        <f t="shared" ref="H86:P86" si="235">H85*$C$31</f>
        <v>3523.2999999999997</v>
      </c>
      <c r="I86" s="9">
        <f t="shared" si="235"/>
        <v>3903.4600000000005</v>
      </c>
      <c r="J86" s="9">
        <f t="shared" si="235"/>
        <v>4335.2156000000023</v>
      </c>
      <c r="K86" s="9">
        <f t="shared" si="235"/>
        <v>8633.6531805851537</v>
      </c>
      <c r="L86" s="9">
        <f t="shared" si="235"/>
        <v>10156.24264152366</v>
      </c>
      <c r="M86" s="9">
        <f t="shared" si="235"/>
        <v>11639.947604048841</v>
      </c>
      <c r="N86" s="9">
        <f t="shared" si="235"/>
        <v>13217.657403191912</v>
      </c>
      <c r="O86" s="9">
        <f t="shared" si="235"/>
        <v>14896.127449706073</v>
      </c>
      <c r="P86" s="9">
        <f t="shared" si="235"/>
        <v>16682.626338589878</v>
      </c>
      <c r="Q86" s="9">
        <f t="shared" ref="Q86:AI86" si="236">Q85*$C$31</f>
        <v>18584.975864291926</v>
      </c>
      <c r="R86" s="9">
        <f t="shared" si="236"/>
        <v>20611.594196308884</v>
      </c>
      <c r="S86" s="9">
        <f t="shared" si="236"/>
        <v>22771.542466386996</v>
      </c>
      <c r="T86" s="9">
        <f t="shared" si="236"/>
        <v>25074.575038569019</v>
      </c>
      <c r="U86" s="9">
        <f t="shared" si="236"/>
        <v>27531.193754960834</v>
      </c>
      <c r="V86" s="9">
        <f t="shared" si="236"/>
        <v>30152.70647345177</v>
      </c>
      <c r="W86" s="9">
        <f t="shared" si="236"/>
        <v>32951.290238848982</v>
      </c>
      <c r="X86" s="9">
        <f t="shared" si="236"/>
        <v>35940.059456126794</v>
      </c>
      <c r="Y86" s="9">
        <f t="shared" si="236"/>
        <v>39133.139463910062</v>
      </c>
      <c r="Z86" s="9">
        <f t="shared" si="236"/>
        <v>43421.564448705947</v>
      </c>
      <c r="AA86" s="9">
        <f t="shared" si="236"/>
        <v>48407.88147255942</v>
      </c>
      <c r="AB86" s="9">
        <f t="shared" si="236"/>
        <v>53740.755666473939</v>
      </c>
      <c r="AC86" s="9">
        <f t="shared" si="236"/>
        <v>59446.192781850761</v>
      </c>
      <c r="AD86" s="9">
        <f t="shared" si="236"/>
        <v>65552.215920988805</v>
      </c>
      <c r="AE86" s="9">
        <f t="shared" si="236"/>
        <v>72089.024485701171</v>
      </c>
      <c r="AF86" s="9">
        <f t="shared" si="236"/>
        <v>79344.698119432418</v>
      </c>
      <c r="AG86" s="9">
        <f t="shared" si="236"/>
        <v>86731.485373402655</v>
      </c>
      <c r="AH86" s="9">
        <f t="shared" si="236"/>
        <v>94652.810870567191</v>
      </c>
      <c r="AI86" s="9">
        <f t="shared" si="236"/>
        <v>103149.41116699713</v>
      </c>
      <c r="AJ86" s="10">
        <f t="shared" ref="AJ86" si="237">AJ85*$C$31</f>
        <v>112265.20412840538</v>
      </c>
    </row>
    <row r="87" spans="3:36" x14ac:dyDescent="0.25">
      <c r="F87" s="29" t="s">
        <v>77</v>
      </c>
      <c r="G87" s="8">
        <f t="shared" ref="G87:P87" si="238">IF(G83-G38&gt;G86,G83-G38,G86)</f>
        <v>1989.9</v>
      </c>
      <c r="H87" s="9">
        <f t="shared" si="238"/>
        <v>3620.12</v>
      </c>
      <c r="I87" s="9">
        <f t="shared" si="238"/>
        <v>4656.92</v>
      </c>
      <c r="J87" s="9">
        <f t="shared" si="238"/>
        <v>5763.1856000000025</v>
      </c>
      <c r="K87" s="9">
        <f t="shared" si="238"/>
        <v>10061.623180585153</v>
      </c>
      <c r="L87" s="9">
        <f t="shared" si="238"/>
        <v>11584.21264152366</v>
      </c>
      <c r="M87" s="9">
        <f t="shared" si="238"/>
        <v>13067.917604048838</v>
      </c>
      <c r="N87" s="9">
        <f t="shared" si="238"/>
        <v>14645.627403191909</v>
      </c>
      <c r="O87" s="9">
        <f t="shared" si="238"/>
        <v>16324.097449706074</v>
      </c>
      <c r="P87" s="9">
        <f t="shared" si="238"/>
        <v>18110.596338589883</v>
      </c>
      <c r="Q87" s="9">
        <f t="shared" ref="Q87:AI87" si="239">IF(Q83-Q38&gt;Q86,Q83-Q38,Q86)</f>
        <v>20012.945864291927</v>
      </c>
      <c r="R87" s="9">
        <f t="shared" si="239"/>
        <v>22039.564196308882</v>
      </c>
      <c r="S87" s="9">
        <f t="shared" si="239"/>
        <v>24199.512466386997</v>
      </c>
      <c r="T87" s="9">
        <f t="shared" si="239"/>
        <v>26502.54503856902</v>
      </c>
      <c r="U87" s="9">
        <f t="shared" si="239"/>
        <v>28959.163754960835</v>
      </c>
      <c r="V87" s="9">
        <f t="shared" si="239"/>
        <v>31955.760513717425</v>
      </c>
      <c r="W87" s="9">
        <f t="shared" si="239"/>
        <v>35780.491659760286</v>
      </c>
      <c r="X87" s="9">
        <f t="shared" si="239"/>
        <v>39865.142923373292</v>
      </c>
      <c r="Y87" s="9">
        <f t="shared" si="239"/>
        <v>44229.018934010419</v>
      </c>
      <c r="Z87" s="9">
        <f t="shared" si="239"/>
        <v>48892.914448705938</v>
      </c>
      <c r="AA87" s="9">
        <f t="shared" si="239"/>
        <v>53879.231472559426</v>
      </c>
      <c r="AB87" s="9">
        <f t="shared" si="239"/>
        <v>59212.105666473944</v>
      </c>
      <c r="AC87" s="9">
        <f t="shared" si="239"/>
        <v>64917.54278185076</v>
      </c>
      <c r="AD87" s="9">
        <f t="shared" si="239"/>
        <v>71023.565920988796</v>
      </c>
      <c r="AE87" s="9">
        <f t="shared" si="239"/>
        <v>77560.374485701177</v>
      </c>
      <c r="AF87" s="9">
        <f t="shared" si="239"/>
        <v>84816.048119432409</v>
      </c>
      <c r="AG87" s="9">
        <f t="shared" si="239"/>
        <v>92202.83537340266</v>
      </c>
      <c r="AH87" s="9">
        <f t="shared" si="239"/>
        <v>100142.65071159814</v>
      </c>
      <c r="AI87" s="9">
        <f t="shared" si="239"/>
        <v>109468.18762231391</v>
      </c>
      <c r="AJ87" s="10">
        <f t="shared" ref="AJ87" si="240">IF(AJ83-AJ38&gt;AJ86,AJ83-AJ38,AJ86)</f>
        <v>119473.32623849371</v>
      </c>
    </row>
    <row r="88" spans="3:36" x14ac:dyDescent="0.25">
      <c r="F88" s="29" t="s">
        <v>78</v>
      </c>
      <c r="G88" s="8">
        <f>G79*0.172</f>
        <v>0</v>
      </c>
      <c r="H88" s="9">
        <f t="shared" ref="H88:P88" si="241">H79*0.172</f>
        <v>0</v>
      </c>
      <c r="I88" s="9">
        <f t="shared" si="241"/>
        <v>0</v>
      </c>
      <c r="J88" s="9">
        <f t="shared" si="241"/>
        <v>0</v>
      </c>
      <c r="K88" s="9">
        <f t="shared" si="241"/>
        <v>1787.4746073221509</v>
      </c>
      <c r="L88" s="9">
        <f t="shared" si="241"/>
        <v>1937.6641137354316</v>
      </c>
      <c r="M88" s="9">
        <f t="shared" si="241"/>
        <v>2016.4314153406358</v>
      </c>
      <c r="N88" s="9">
        <f t="shared" si="241"/>
        <v>2096.3838241800245</v>
      </c>
      <c r="O88" s="9">
        <f t="shared" si="241"/>
        <v>2177.5391712003257</v>
      </c>
      <c r="P88" s="9">
        <f t="shared" si="241"/>
        <v>2259.9155556331684</v>
      </c>
      <c r="Q88" s="9">
        <f t="shared" ref="Q88:AI88" si="242">Q79*0.172</f>
        <v>2343.5313490317535</v>
      </c>
      <c r="R88" s="9">
        <f t="shared" si="242"/>
        <v>2428.4051993682574</v>
      </c>
      <c r="S88" s="9">
        <f t="shared" si="242"/>
        <v>2514.5560351928893</v>
      </c>
      <c r="T88" s="9">
        <f t="shared" si="242"/>
        <v>2602.0030698555311</v>
      </c>
      <c r="U88" s="9">
        <f t="shared" si="242"/>
        <v>2690.765805790888</v>
      </c>
      <c r="V88" s="9">
        <f t="shared" si="242"/>
        <v>2780.864038868127</v>
      </c>
      <c r="W88" s="9">
        <f t="shared" si="242"/>
        <v>2872.3178628059522</v>
      </c>
      <c r="X88" s="9">
        <f t="shared" si="242"/>
        <v>2965.1476736541158</v>
      </c>
      <c r="Y88" s="9">
        <f t="shared" si="242"/>
        <v>3059.3741743423616</v>
      </c>
      <c r="Z88" s="9">
        <f t="shared" si="242"/>
        <v>3155.0183792978014</v>
      </c>
      <c r="AA88" s="9">
        <f t="shared" si="242"/>
        <v>3252.1016191317894</v>
      </c>
      <c r="AB88" s="9">
        <f t="shared" si="242"/>
        <v>3350.6455453972912</v>
      </c>
      <c r="AC88" s="9">
        <f t="shared" si="242"/>
        <v>3450.6721354178549</v>
      </c>
      <c r="AD88" s="9">
        <f t="shared" si="242"/>
        <v>3552.203697189228</v>
      </c>
      <c r="AE88" s="9">
        <f t="shared" si="242"/>
        <v>3655.2628743547293</v>
      </c>
      <c r="AF88" s="9">
        <f t="shared" si="242"/>
        <v>3867.0715983600421</v>
      </c>
      <c r="AG88" s="9">
        <f t="shared" si="242"/>
        <v>3926.367672335442</v>
      </c>
      <c r="AH88" s="9">
        <f t="shared" si="242"/>
        <v>3986.5531874204739</v>
      </c>
      <c r="AI88" s="9">
        <f t="shared" si="242"/>
        <v>4047.6414852317789</v>
      </c>
      <c r="AJ88" s="10">
        <f t="shared" ref="AJ88" si="243">AJ79*0.172</f>
        <v>4109.6461075102561</v>
      </c>
    </row>
    <row r="89" spans="3:36" x14ac:dyDescent="0.25">
      <c r="F89" s="29" t="s">
        <v>79</v>
      </c>
      <c r="G89" s="8">
        <f>IF(G87+G88-G42&gt;0,G87+G88-G42,0)</f>
        <v>0</v>
      </c>
      <c r="H89" s="9">
        <f t="shared" ref="H89:P89" si="244">IF(H87+H88-H42&gt;0,H87+H88-H42,0)</f>
        <v>0</v>
      </c>
      <c r="I89" s="9">
        <f t="shared" si="244"/>
        <v>0</v>
      </c>
      <c r="J89" s="9">
        <f t="shared" si="244"/>
        <v>0</v>
      </c>
      <c r="K89" s="9">
        <f t="shared" si="244"/>
        <v>4905.1628759072992</v>
      </c>
      <c r="L89" s="9">
        <f t="shared" si="244"/>
        <v>5317.3108237390879</v>
      </c>
      <c r="M89" s="9">
        <f t="shared" si="244"/>
        <v>5533.4629537254659</v>
      </c>
      <c r="N89" s="9">
        <f t="shared" si="244"/>
        <v>5752.867238447514</v>
      </c>
      <c r="O89" s="9">
        <f t="shared" si="244"/>
        <v>5975.5726093404301</v>
      </c>
      <c r="P89" s="9">
        <f t="shared" si="244"/>
        <v>6201.6287340631134</v>
      </c>
      <c r="Q89" s="9">
        <f t="shared" ref="Q89:AI89" si="245">IF(Q87+Q88-Q42&gt;0,Q87+Q88-Q42,0)</f>
        <v>6431.0860275755076</v>
      </c>
      <c r="R89" s="9">
        <f t="shared" si="245"/>
        <v>6663.9956633826587</v>
      </c>
      <c r="S89" s="9">
        <f t="shared" si="245"/>
        <v>6900.4095849479309</v>
      </c>
      <c r="T89" s="9">
        <f t="shared" si="245"/>
        <v>7140.3805172779648</v>
      </c>
      <c r="U89" s="9">
        <f t="shared" si="245"/>
        <v>7383.9619786819749</v>
      </c>
      <c r="V89" s="9">
        <f t="shared" si="245"/>
        <v>8006.2923329735277</v>
      </c>
      <c r="W89" s="9">
        <f t="shared" si="245"/>
        <v>9283.4060211694996</v>
      </c>
      <c r="X89" s="9">
        <f t="shared" si="245"/>
        <v>10033.23224457381</v>
      </c>
      <c r="Y89" s="9">
        <f t="shared" si="245"/>
        <v>10352.0684271352</v>
      </c>
      <c r="Z89" s="9">
        <f t="shared" si="245"/>
        <v>10675.701725298371</v>
      </c>
      <c r="AA89" s="9">
        <f t="shared" si="245"/>
        <v>11004.204315899427</v>
      </c>
      <c r="AB89" s="9">
        <f t="shared" si="245"/>
        <v>11337.649461751287</v>
      </c>
      <c r="AC89" s="9">
        <f t="shared" si="245"/>
        <v>11676.111527983681</v>
      </c>
      <c r="AD89" s="9">
        <f t="shared" si="245"/>
        <v>12019.665998628669</v>
      </c>
      <c r="AE89" s="9">
        <f t="shared" si="245"/>
        <v>12368.389493456125</v>
      </c>
      <c r="AF89" s="9">
        <f t="shared" si="245"/>
        <v>13085.091106078748</v>
      </c>
      <c r="AG89" s="9">
        <f t="shared" si="245"/>
        <v>13285.73247266993</v>
      </c>
      <c r="AH89" s="9">
        <f t="shared" si="245"/>
        <v>13507.873300790918</v>
      </c>
      <c r="AI89" s="9">
        <f t="shared" si="245"/>
        <v>14543.515666973166</v>
      </c>
      <c r="AJ89" s="10">
        <f t="shared" ref="AJ89" si="246">IF(AJ87+AJ88-AJ42&gt;0,AJ87+AJ88-AJ42,0)</f>
        <v>14861.627202740565</v>
      </c>
    </row>
    <row r="90" spans="3:36" x14ac:dyDescent="0.25">
      <c r="C90" s="34"/>
      <c r="F90" s="29" t="s">
        <v>115</v>
      </c>
      <c r="G90" s="8">
        <f>IF(G31&lt;&gt;0,G42-G87,0)</f>
        <v>1177</v>
      </c>
      <c r="H90" s="9">
        <f t="shared" ref="H90:P90" si="247">IF(H31&lt;&gt;0,H42-H87,0)</f>
        <v>0</v>
      </c>
      <c r="I90" s="9">
        <f t="shared" si="247"/>
        <v>0</v>
      </c>
      <c r="J90" s="9">
        <f t="shared" si="247"/>
        <v>0</v>
      </c>
      <c r="K90" s="9">
        <f t="shared" si="247"/>
        <v>0</v>
      </c>
      <c r="L90" s="9">
        <f t="shared" si="247"/>
        <v>0</v>
      </c>
      <c r="M90" s="9">
        <f t="shared" si="247"/>
        <v>0</v>
      </c>
      <c r="N90" s="9">
        <f t="shared" si="247"/>
        <v>0</v>
      </c>
      <c r="O90" s="9">
        <f t="shared" si="247"/>
        <v>0</v>
      </c>
      <c r="P90" s="9">
        <f t="shared" si="247"/>
        <v>0</v>
      </c>
      <c r="Q90" s="9">
        <f t="shared" ref="Q90:AI90" si="248">IF(Q31&lt;&gt;0,Q42-Q87,0)</f>
        <v>0</v>
      </c>
      <c r="R90" s="9">
        <f t="shared" si="248"/>
        <v>0</v>
      </c>
      <c r="S90" s="9">
        <f t="shared" si="248"/>
        <v>0</v>
      </c>
      <c r="T90" s="9">
        <f t="shared" si="248"/>
        <v>0</v>
      </c>
      <c r="U90" s="9">
        <f t="shared" si="248"/>
        <v>0</v>
      </c>
      <c r="V90" s="9">
        <f t="shared" si="248"/>
        <v>0</v>
      </c>
      <c r="W90" s="9">
        <f t="shared" si="248"/>
        <v>0</v>
      </c>
      <c r="X90" s="9">
        <f t="shared" si="248"/>
        <v>0</v>
      </c>
      <c r="Y90" s="9">
        <f t="shared" si="248"/>
        <v>0</v>
      </c>
      <c r="Z90" s="9">
        <f t="shared" si="248"/>
        <v>0</v>
      </c>
      <c r="AA90" s="9">
        <f t="shared" si="248"/>
        <v>0</v>
      </c>
      <c r="AB90" s="9">
        <f t="shared" si="248"/>
        <v>0</v>
      </c>
      <c r="AC90" s="9">
        <f t="shared" si="248"/>
        <v>0</v>
      </c>
      <c r="AD90" s="9">
        <f t="shared" si="248"/>
        <v>0</v>
      </c>
      <c r="AE90" s="9">
        <f t="shared" si="248"/>
        <v>0</v>
      </c>
      <c r="AF90" s="9">
        <f t="shared" si="248"/>
        <v>0</v>
      </c>
      <c r="AG90" s="9">
        <f t="shared" si="248"/>
        <v>0</v>
      </c>
      <c r="AH90" s="9">
        <f t="shared" si="248"/>
        <v>0</v>
      </c>
      <c r="AI90" s="9">
        <f t="shared" si="248"/>
        <v>0</v>
      </c>
      <c r="AJ90" s="10">
        <f t="shared" ref="AJ90" si="249">IF(AJ31&lt;&gt;0,AJ42-AJ87,0)</f>
        <v>0</v>
      </c>
    </row>
    <row r="91" spans="3:36" x14ac:dyDescent="0.25">
      <c r="F91" s="32" t="s">
        <v>96</v>
      </c>
      <c r="G91" s="11">
        <f>G9+G90-G14-G20-G10-G89</f>
        <v>-2155.1461419131647</v>
      </c>
      <c r="H91" s="12">
        <f t="shared" ref="H91:P91" si="250">H9+H90-H14-H20-H10-H89</f>
        <v>-3094.5461419131698</v>
      </c>
      <c r="I91" s="12">
        <f t="shared" si="250"/>
        <v>-2853.3821419131709</v>
      </c>
      <c r="J91" s="12">
        <f t="shared" si="250"/>
        <v>-2608.6006819131726</v>
      </c>
      <c r="K91" s="12">
        <f t="shared" si="250"/>
        <v>-7265.3103759204714</v>
      </c>
      <c r="L91" s="12">
        <f t="shared" si="250"/>
        <v>-7425.2783441237661</v>
      </c>
      <c r="M91" s="12">
        <f t="shared" si="250"/>
        <v>-7385.4677947872187</v>
      </c>
      <c r="N91" s="12">
        <f t="shared" si="250"/>
        <v>-7345.0699599964955</v>
      </c>
      <c r="O91" s="12">
        <f t="shared" si="250"/>
        <v>-7304.0761795839535</v>
      </c>
      <c r="P91" s="12">
        <f t="shared" si="250"/>
        <v>-7262.4776657315979</v>
      </c>
      <c r="Q91" s="12">
        <f t="shared" ref="Q91:AI91" si="251">Q9+Q90-Q14-Q20-Q10-Q89</f>
        <v>-7220.2655010903218</v>
      </c>
      <c r="R91" s="12">
        <f t="shared" si="251"/>
        <v>-7177.4306368715006</v>
      </c>
      <c r="S91" s="12">
        <f t="shared" si="251"/>
        <v>-7133.9638909104106</v>
      </c>
      <c r="T91" s="12">
        <f t="shared" si="251"/>
        <v>-7089.855945701187</v>
      </c>
      <c r="U91" s="12">
        <f t="shared" si="251"/>
        <v>-7045.0973464028484</v>
      </c>
      <c r="V91" s="12">
        <f t="shared" si="251"/>
        <v>-7374.7625390815228</v>
      </c>
      <c r="W91" s="12">
        <f t="shared" si="251"/>
        <v>-8354.8210882404182</v>
      </c>
      <c r="X91" s="12">
        <f t="shared" si="251"/>
        <v>-8803.1363455221017</v>
      </c>
      <c r="Y91" s="12">
        <f t="shared" si="251"/>
        <v>-8815.9388974690155</v>
      </c>
      <c r="Z91" s="12">
        <f t="shared" si="251"/>
        <v>-8828.9480605585013</v>
      </c>
      <c r="AA91" s="12">
        <f t="shared" si="251"/>
        <v>-8842.1671540597636</v>
      </c>
      <c r="AB91" s="12">
        <f t="shared" si="251"/>
        <v>-8855.5995503553386</v>
      </c>
      <c r="AC91" s="12">
        <f t="shared" si="251"/>
        <v>-8869.2486757880979</v>
      </c>
      <c r="AD91" s="12">
        <f t="shared" si="251"/>
        <v>-8883.1180115214556</v>
      </c>
      <c r="AE91" s="12">
        <f t="shared" si="251"/>
        <v>-8897.2110944136075</v>
      </c>
      <c r="AF91" s="12">
        <f t="shared" si="251"/>
        <v>9397.8833029912676</v>
      </c>
      <c r="AG91" s="12">
        <f t="shared" si="251"/>
        <v>9541.9865525361311</v>
      </c>
      <c r="AH91" s="12">
        <f t="shared" si="251"/>
        <v>9669.7615097932357</v>
      </c>
      <c r="AI91" s="12">
        <f t="shared" si="251"/>
        <v>8989.2836657697371</v>
      </c>
      <c r="AJ91" s="13">
        <f t="shared" ref="AJ91" si="252">AJ9+AJ90-AJ14-AJ20-AJ10-AJ89</f>
        <v>9031.664119993482</v>
      </c>
    </row>
    <row r="92" spans="3:36" x14ac:dyDescent="0.25">
      <c r="F92" s="32" t="s">
        <v>111</v>
      </c>
      <c r="G92" s="52">
        <f>IF(AND(G8=1,$C$35&gt;$C$15),(G10+G91)/($C$15),
IF(AND(G8&lt;&gt;1,$C$35&gt;$C$15),(G10+G91)/($C$15+F11),
G91/($C$35)))</f>
        <v>0.34175240598243523</v>
      </c>
      <c r="H92" s="39">
        <f t="shared" ref="H92:AJ92" si="253">IF(AND(H8=1,$C$35&gt;$C$15),(H10+H91)/($C$15),
IF(AND(H8&lt;&gt;1,$C$35&gt;$C$15),(H10+H91)/($C$15+G11),
H91/($C$35)))</f>
        <v>0.2240293329320851</v>
      </c>
      <c r="I92" s="39">
        <f t="shared" si="253"/>
        <v>0.18057191985250659</v>
      </c>
      <c r="J92" s="39">
        <f t="shared" si="253"/>
        <v>0.152974346126346</v>
      </c>
      <c r="K92" s="39">
        <f t="shared" si="253"/>
        <v>7.3163432718486146E-2</v>
      </c>
      <c r="L92" s="39">
        <f t="shared" si="253"/>
        <v>6.33181551372516E-2</v>
      </c>
      <c r="M92" s="39">
        <f t="shared" si="253"/>
        <v>5.7680660808864061E-2</v>
      </c>
      <c r="N92" s="39">
        <f t="shared" si="253"/>
        <v>5.3233600136623982E-2</v>
      </c>
      <c r="O92" s="39">
        <f t="shared" si="253"/>
        <v>4.9636252758621553E-2</v>
      </c>
      <c r="P92" s="39">
        <f t="shared" si="253"/>
        <v>4.6666599024676958E-2</v>
      </c>
      <c r="Q92" s="39">
        <f t="shared" si="253"/>
        <v>4.4173769934860704E-2</v>
      </c>
      <c r="R92" s="39">
        <f t="shared" si="253"/>
        <v>4.2051659192525244E-2</v>
      </c>
      <c r="S92" s="39">
        <f t="shared" si="253"/>
        <v>4.0223468238420865E-2</v>
      </c>
      <c r="T92" s="39">
        <f t="shared" si="253"/>
        <v>3.8632240940535592E-2</v>
      </c>
      <c r="U92" s="39">
        <f t="shared" si="253"/>
        <v>3.7234844045553384E-2</v>
      </c>
      <c r="V92" s="39">
        <f t="shared" si="253"/>
        <v>3.4416321739491551E-2</v>
      </c>
      <c r="W92" s="39">
        <f t="shared" si="253"/>
        <v>2.9350147931196315E-2</v>
      </c>
      <c r="X92" s="39">
        <f t="shared" si="253"/>
        <v>2.6843156823754172E-2</v>
      </c>
      <c r="Y92" s="39">
        <f t="shared" si="253"/>
        <v>2.6137450389406649E-2</v>
      </c>
      <c r="Z92" s="39">
        <f t="shared" si="253"/>
        <v>2.5497893057241587E-2</v>
      </c>
      <c r="AA92" s="39">
        <f t="shared" si="253"/>
        <v>2.4915657047554232E-2</v>
      </c>
      <c r="AB92" s="39">
        <f t="shared" si="253"/>
        <v>2.4383418336104114E-2</v>
      </c>
      <c r="AC92" s="39">
        <f t="shared" si="253"/>
        <v>2.389504953539117E-2</v>
      </c>
      <c r="AD92" s="39">
        <f t="shared" si="253"/>
        <v>2.3445385091183216E-2</v>
      </c>
      <c r="AE92" s="39">
        <f t="shared" si="253"/>
        <v>2.3030039678919745E-2</v>
      </c>
      <c r="AF92" s="39">
        <f t="shared" si="253"/>
        <v>2.3290912770734248E-2</v>
      </c>
      <c r="AG92" s="39">
        <f t="shared" si="253"/>
        <v>0.31806621841787103</v>
      </c>
      <c r="AH92" s="39">
        <f t="shared" si="253"/>
        <v>0.32232538365977453</v>
      </c>
      <c r="AI92" s="39">
        <f t="shared" si="253"/>
        <v>0.29964278885899126</v>
      </c>
      <c r="AJ92" s="40">
        <f t="shared" si="253"/>
        <v>0.30105547066644939</v>
      </c>
    </row>
    <row r="93" spans="3:36" x14ac:dyDescent="0.25">
      <c r="F93" s="30" t="s">
        <v>112</v>
      </c>
      <c r="G93" s="35">
        <f t="shared" ref="G93:P93" si="254">(G10+G91)/$C$35</f>
        <v>2.5409100816537935E-2</v>
      </c>
      <c r="H93" s="36">
        <f t="shared" si="254"/>
        <v>2.3545409781194345E-2</v>
      </c>
      <c r="I93" s="36">
        <f t="shared" si="254"/>
        <v>2.4614542578448133E-2</v>
      </c>
      <c r="J93" s="36">
        <f t="shared" si="254"/>
        <v>2.5699761189347928E-2</v>
      </c>
      <c r="K93" s="36">
        <f t="shared" si="254"/>
        <v>1.4644770151720372E-2</v>
      </c>
      <c r="L93" s="36">
        <f t="shared" si="254"/>
        <v>1.4741457768541376E-2</v>
      </c>
      <c r="M93" s="36">
        <f t="shared" si="254"/>
        <v>1.5340707577589346E-2</v>
      </c>
      <c r="N93" s="36">
        <f t="shared" si="254"/>
        <v>1.5948973504611573E-2</v>
      </c>
      <c r="O93" s="36">
        <f t="shared" si="254"/>
        <v>1.6566391204774669E-2</v>
      </c>
      <c r="P93" s="36">
        <f t="shared" si="254"/>
        <v>1.7193098374316484E-2</v>
      </c>
      <c r="Q93" s="36">
        <f t="shared" ref="Q93:AI93" si="255">(Q10+Q91)/$C$35</f>
        <v>1.7829234781256541E-2</v>
      </c>
      <c r="R93" s="36">
        <f t="shared" si="255"/>
        <v>1.8474942296568399E-2</v>
      </c>
      <c r="S93" s="36">
        <f t="shared" si="255"/>
        <v>1.913036492582124E-2</v>
      </c>
      <c r="T93" s="36">
        <f t="shared" si="255"/>
        <v>1.9795648841297388E-2</v>
      </c>
      <c r="U93" s="36">
        <f t="shared" si="255"/>
        <v>2.0470942414593074E-2</v>
      </c>
      <c r="V93" s="36">
        <f t="shared" si="255"/>
        <v>2.0226819941740588E-2</v>
      </c>
      <c r="W93" s="36">
        <f t="shared" si="255"/>
        <v>1.8379470723679413E-2</v>
      </c>
      <c r="X93" s="36">
        <f t="shared" si="255"/>
        <v>1.7858732134339365E-2</v>
      </c>
      <c r="Y93" s="36">
        <f t="shared" si="255"/>
        <v>1.842624715246113E-2</v>
      </c>
      <c r="Z93" s="36">
        <f t="shared" si="255"/>
        <v>1.9002300834939655E-2</v>
      </c>
      <c r="AA93" s="36">
        <f t="shared" si="255"/>
        <v>1.9587021653512698E-2</v>
      </c>
      <c r="AB93" s="36">
        <f t="shared" si="255"/>
        <v>2.0180540012911301E-2</v>
      </c>
      <c r="AC93" s="36">
        <f t="shared" si="255"/>
        <v>2.0782988279943834E-2</v>
      </c>
      <c r="AD93" s="36">
        <f t="shared" si="255"/>
        <v>2.1394500813018316E-2</v>
      </c>
      <c r="AE93" s="36">
        <f t="shared" si="255"/>
        <v>2.2015213992107954E-2</v>
      </c>
      <c r="AF93" s="36">
        <f t="shared" si="255"/>
        <v>2.3290912770734244E-2</v>
      </c>
      <c r="AG93" s="36">
        <f t="shared" si="255"/>
        <v>2.3648045979023868E-2</v>
      </c>
      <c r="AH93" s="36">
        <f t="shared" si="255"/>
        <v>2.3964712539760187E-2</v>
      </c>
      <c r="AI93" s="36">
        <f t="shared" si="255"/>
        <v>2.2278274264609012E-2</v>
      </c>
      <c r="AJ93" s="37">
        <f t="shared" ref="AJ93" si="256">(AJ10+AJ91)/$C$35</f>
        <v>2.2383306369252745E-2</v>
      </c>
    </row>
    <row r="94" spans="3:36" x14ac:dyDescent="0.25">
      <c r="F94" s="19" t="s">
        <v>80</v>
      </c>
      <c r="G94" s="17">
        <f t="shared" ref="G94:P94" si="257">G9*0.7</f>
        <v>15399.999999999998</v>
      </c>
      <c r="H94" s="3">
        <f t="shared" si="257"/>
        <v>15630.999999999996</v>
      </c>
      <c r="I94" s="3">
        <f t="shared" si="257"/>
        <v>15865.464999999995</v>
      </c>
      <c r="J94" s="3">
        <f t="shared" si="257"/>
        <v>16103.446974999993</v>
      </c>
      <c r="K94" s="3">
        <f t="shared" si="257"/>
        <v>16344.99867962499</v>
      </c>
      <c r="L94" s="3">
        <f t="shared" si="257"/>
        <v>16590.173659819364</v>
      </c>
      <c r="M94" s="3">
        <f t="shared" si="257"/>
        <v>16839.026264716649</v>
      </c>
      <c r="N94" s="3">
        <f t="shared" si="257"/>
        <v>17091.611658687398</v>
      </c>
      <c r="O94" s="3">
        <f t="shared" si="257"/>
        <v>17347.985833567709</v>
      </c>
      <c r="P94" s="3">
        <f t="shared" si="257"/>
        <v>17608.205621071218</v>
      </c>
      <c r="Q94" s="3">
        <f t="shared" ref="Q94:AI94" si="258">Q9*0.7</f>
        <v>17872.328705387288</v>
      </c>
      <c r="R94" s="3">
        <f t="shared" si="258"/>
        <v>18140.413635968092</v>
      </c>
      <c r="S94" s="3">
        <f t="shared" si="258"/>
        <v>18412.519840507612</v>
      </c>
      <c r="T94" s="3">
        <f t="shared" si="258"/>
        <v>18688.707638115226</v>
      </c>
      <c r="U94" s="3">
        <f t="shared" si="258"/>
        <v>18969.038252686947</v>
      </c>
      <c r="V94" s="3">
        <f t="shared" si="258"/>
        <v>19253.573826477248</v>
      </c>
      <c r="W94" s="3">
        <f t="shared" si="258"/>
        <v>19542.377433874404</v>
      </c>
      <c r="X94" s="3">
        <f t="shared" si="258"/>
        <v>19835.513095382517</v>
      </c>
      <c r="Y94" s="3">
        <f t="shared" si="258"/>
        <v>20133.045791813256</v>
      </c>
      <c r="Z94" s="3">
        <f t="shared" si="258"/>
        <v>20435.041478690451</v>
      </c>
      <c r="AA94" s="3">
        <f t="shared" si="258"/>
        <v>20741.567100870805</v>
      </c>
      <c r="AB94" s="3">
        <f t="shared" si="258"/>
        <v>21052.690607383862</v>
      </c>
      <c r="AC94" s="3">
        <f t="shared" si="258"/>
        <v>21368.480966494615</v>
      </c>
      <c r="AD94" s="3">
        <f t="shared" si="258"/>
        <v>21689.008180992034</v>
      </c>
      <c r="AE94" s="3">
        <f t="shared" si="258"/>
        <v>22014.343303706912</v>
      </c>
      <c r="AF94" s="3">
        <f t="shared" si="258"/>
        <v>22344.558453262514</v>
      </c>
      <c r="AG94" s="3">
        <f t="shared" si="258"/>
        <v>22679.726830061449</v>
      </c>
      <c r="AH94" s="3">
        <f t="shared" si="258"/>
        <v>23019.922732512368</v>
      </c>
      <c r="AI94" s="3">
        <f t="shared" si="258"/>
        <v>23365.221573500043</v>
      </c>
      <c r="AJ94" s="18">
        <f t="shared" ref="AJ94" si="259">AJ9*0.7</f>
        <v>23715.699897102546</v>
      </c>
    </row>
    <row r="95" spans="3:36" x14ac:dyDescent="0.25">
      <c r="F95" s="29" t="s">
        <v>81</v>
      </c>
      <c r="G95" s="8">
        <f t="shared" ref="G95:P95" si="260">G94+G34</f>
        <v>69400</v>
      </c>
      <c r="H95" s="9">
        <f t="shared" si="260"/>
        <v>72871</v>
      </c>
      <c r="I95" s="9">
        <f t="shared" si="260"/>
        <v>76561.464999999997</v>
      </c>
      <c r="J95" s="9">
        <f t="shared" si="260"/>
        <v>80486.99897500001</v>
      </c>
      <c r="K95" s="9">
        <f t="shared" si="260"/>
        <v>84664.381719625002</v>
      </c>
      <c r="L95" s="9">
        <f t="shared" si="260"/>
        <v>89111.660098219378</v>
      </c>
      <c r="M95" s="9">
        <f t="shared" si="260"/>
        <v>93848.246483596682</v>
      </c>
      <c r="N95" s="9">
        <f t="shared" si="260"/>
        <v>98895.024955102141</v>
      </c>
      <c r="O95" s="9">
        <f t="shared" si="260"/>
        <v>104274.46587212094</v>
      </c>
      <c r="P95" s="9">
        <f t="shared" si="260"/>
        <v>110010.74948827102</v>
      </c>
      <c r="Q95" s="9">
        <f t="shared" ref="Q95:AI95" si="261">Q94+Q34</f>
        <v>116129.89932454786</v>
      </c>
      <c r="R95" s="9">
        <f t="shared" si="261"/>
        <v>122659.92607694969</v>
      </c>
      <c r="S95" s="9">
        <f t="shared" si="261"/>
        <v>129630.98289594747</v>
      </c>
      <c r="T95" s="9">
        <f t="shared" si="261"/>
        <v>137075.53294193718</v>
      </c>
      <c r="U95" s="9">
        <f t="shared" si="261"/>
        <v>145028.53019291945</v>
      </c>
      <c r="V95" s="9">
        <f t="shared" si="261"/>
        <v>153527.61455851732</v>
      </c>
      <c r="W95" s="9">
        <f t="shared" si="261"/>
        <v>162613.32243853022</v>
      </c>
      <c r="X95" s="9">
        <f t="shared" si="261"/>
        <v>172329.31395502543</v>
      </c>
      <c r="Y95" s="9">
        <f t="shared" si="261"/>
        <v>182722.61818502686</v>
      </c>
      <c r="Z95" s="9">
        <f t="shared" si="261"/>
        <v>193843.89782675233</v>
      </c>
      <c r="AA95" s="9">
        <f t="shared" si="261"/>
        <v>205747.73484670444</v>
      </c>
      <c r="AB95" s="9">
        <f t="shared" si="261"/>
        <v>218492.9387784081</v>
      </c>
      <c r="AC95" s="9">
        <f t="shared" si="261"/>
        <v>232142.8794769457</v>
      </c>
      <c r="AD95" s="9">
        <f t="shared" si="261"/>
        <v>246765.84627745388</v>
      </c>
      <c r="AE95" s="9">
        <f t="shared" si="261"/>
        <v>262435.43566126737</v>
      </c>
      <c r="AF95" s="9">
        <f t="shared" si="261"/>
        <v>279230.96970134473</v>
      </c>
      <c r="AG95" s="9">
        <f t="shared" si="261"/>
        <v>297237.94773998385</v>
      </c>
      <c r="AH95" s="9">
        <f t="shared" si="261"/>
        <v>316548.53394770186</v>
      </c>
      <c r="AI95" s="9">
        <f t="shared" si="261"/>
        <v>337262.08362367691</v>
      </c>
      <c r="AJ95" s="10">
        <f t="shared" ref="AJ95" si="262">AJ94+AJ34</f>
        <v>359485.71132657677</v>
      </c>
    </row>
    <row r="96" spans="3:36" x14ac:dyDescent="0.25">
      <c r="F96" s="29" t="s">
        <v>82</v>
      </c>
      <c r="G96" s="8">
        <f>IF($C$29=0,G95,G95/2)</f>
        <v>34700</v>
      </c>
      <c r="H96" s="9">
        <f t="shared" ref="H96:P96" si="263">IF($C$29=0,H95,H95/2)</f>
        <v>36435.5</v>
      </c>
      <c r="I96" s="9">
        <f t="shared" si="263"/>
        <v>38280.732499999998</v>
      </c>
      <c r="J96" s="9">
        <f t="shared" si="263"/>
        <v>40243.499487500005</v>
      </c>
      <c r="K96" s="9">
        <f t="shared" si="263"/>
        <v>42332.190859812501</v>
      </c>
      <c r="L96" s="9">
        <f t="shared" si="263"/>
        <v>44555.830049109689</v>
      </c>
      <c r="M96" s="9">
        <f t="shared" si="263"/>
        <v>46924.123241798341</v>
      </c>
      <c r="N96" s="9">
        <f t="shared" si="263"/>
        <v>49447.51247755107</v>
      </c>
      <c r="O96" s="9">
        <f t="shared" si="263"/>
        <v>52137.232936060471</v>
      </c>
      <c r="P96" s="9">
        <f t="shared" si="263"/>
        <v>55005.374744135508</v>
      </c>
      <c r="Q96" s="9">
        <f t="shared" ref="Q96:AI96" si="264">IF($C$29=0,Q95,Q95/2)</f>
        <v>58064.949662273932</v>
      </c>
      <c r="R96" s="9">
        <f t="shared" si="264"/>
        <v>61329.963038474845</v>
      </c>
      <c r="S96" s="9">
        <f t="shared" si="264"/>
        <v>64815.491447973734</v>
      </c>
      <c r="T96" s="9">
        <f t="shared" si="264"/>
        <v>68537.766470968592</v>
      </c>
      <c r="U96" s="9">
        <f t="shared" si="264"/>
        <v>72514.265096459727</v>
      </c>
      <c r="V96" s="9">
        <f t="shared" si="264"/>
        <v>76763.807279258661</v>
      </c>
      <c r="W96" s="9">
        <f t="shared" si="264"/>
        <v>81306.661219265108</v>
      </c>
      <c r="X96" s="9">
        <f t="shared" si="264"/>
        <v>86164.656977512714</v>
      </c>
      <c r="Y96" s="9">
        <f t="shared" si="264"/>
        <v>91361.309092513431</v>
      </c>
      <c r="Z96" s="9">
        <f t="shared" si="264"/>
        <v>96921.948913376167</v>
      </c>
      <c r="AA96" s="9">
        <f t="shared" si="264"/>
        <v>102873.86742335222</v>
      </c>
      <c r="AB96" s="9">
        <f t="shared" si="264"/>
        <v>109246.46938920405</v>
      </c>
      <c r="AC96" s="9">
        <f t="shared" si="264"/>
        <v>116071.43973847285</v>
      </c>
      <c r="AD96" s="9">
        <f t="shared" si="264"/>
        <v>123382.92313872694</v>
      </c>
      <c r="AE96" s="9">
        <f t="shared" si="264"/>
        <v>131217.71783063369</v>
      </c>
      <c r="AF96" s="9">
        <f t="shared" si="264"/>
        <v>139615.48485067236</v>
      </c>
      <c r="AG96" s="9">
        <f t="shared" si="264"/>
        <v>148618.97386999193</v>
      </c>
      <c r="AH96" s="9">
        <f t="shared" si="264"/>
        <v>158274.26697385093</v>
      </c>
      <c r="AI96" s="9">
        <f t="shared" si="264"/>
        <v>168631.04181183846</v>
      </c>
      <c r="AJ96" s="10">
        <f t="shared" ref="AJ96" si="265">IF($C$29=0,AJ95,AJ95/2)</f>
        <v>179742.85566328838</v>
      </c>
    </row>
    <row r="97" spans="3:36" x14ac:dyDescent="0.25">
      <c r="F97" s="29" t="s">
        <v>83</v>
      </c>
      <c r="G97" s="8">
        <f>IF(G96&lt;10084,0,
IF(AND(G96&gt;10084,G96&lt;=25710),(G96-10084)*0.11,
IF(AND(G96&gt;25710,G96&lt;=73516),(G96-25710)*0.3+1721.06,
IF(AND(G96&gt;73516,G96&lt;=158122),(G96-73516)*0.41+16062.86,
IF(G96&gt;158122,(G96-158122)*0.45+50751.32,
0)))))</f>
        <v>4418.0599999999995</v>
      </c>
      <c r="H97" s="9">
        <f t="shared" ref="H97:P97" si="266">IF(H96&lt;10084,0,
IF(AND(H96&gt;10084,H96&lt;=25710),(H96-10084)*0.11,
IF(AND(H96&gt;25710,H96&lt;=73516),(H96-25710)*0.3+1721.06,
IF(AND(H96&gt;73516,H96&lt;=158122),(H96-73516)*0.41+16062.86,
IF(H96&gt;158122,(H96-158122)*0.45+50751.32,
0)))))</f>
        <v>4938.71</v>
      </c>
      <c r="I97" s="9">
        <f t="shared" si="266"/>
        <v>5492.2797499999997</v>
      </c>
      <c r="J97" s="9">
        <f t="shared" si="266"/>
        <v>6081.1098462500013</v>
      </c>
      <c r="K97" s="9">
        <f t="shared" si="266"/>
        <v>6707.7172579437502</v>
      </c>
      <c r="L97" s="9">
        <f t="shared" si="266"/>
        <v>7374.8090147329058</v>
      </c>
      <c r="M97" s="9">
        <f t="shared" si="266"/>
        <v>8085.2969725395014</v>
      </c>
      <c r="N97" s="9">
        <f t="shared" si="266"/>
        <v>8842.3137432653202</v>
      </c>
      <c r="O97" s="9">
        <f t="shared" si="266"/>
        <v>9649.2298808181404</v>
      </c>
      <c r="P97" s="9">
        <f t="shared" si="266"/>
        <v>10509.672423240652</v>
      </c>
      <c r="Q97" s="9">
        <f t="shared" ref="Q97:AI97" si="267">IF(Q96&lt;10084,0,
IF(AND(Q96&gt;10084,Q96&lt;=25710),(Q96-10084)*0.11,
IF(AND(Q96&gt;25710,Q96&lt;=73516),(Q96-25710)*0.3+1721.06,
IF(AND(Q96&gt;73516,Q96&lt;=158122),(Q96-73516)*0.41+16062.86,
IF(Q96&gt;158122,(Q96-158122)*0.45+50751.32,
0)))))</f>
        <v>11427.544898682179</v>
      </c>
      <c r="R97" s="9">
        <f t="shared" si="267"/>
        <v>12407.048911542453</v>
      </c>
      <c r="S97" s="9">
        <f t="shared" si="267"/>
        <v>13452.707434392119</v>
      </c>
      <c r="T97" s="9">
        <f t="shared" si="267"/>
        <v>14569.389941290578</v>
      </c>
      <c r="U97" s="9">
        <f t="shared" si="267"/>
        <v>15762.339528937917</v>
      </c>
      <c r="V97" s="9">
        <f t="shared" si="267"/>
        <v>17394.460984496051</v>
      </c>
      <c r="W97" s="9">
        <f t="shared" si="267"/>
        <v>19257.031099898693</v>
      </c>
      <c r="X97" s="9">
        <f t="shared" si="267"/>
        <v>21248.809360780215</v>
      </c>
      <c r="Y97" s="9">
        <f t="shared" si="267"/>
        <v>23379.436727930508</v>
      </c>
      <c r="Z97" s="9">
        <f t="shared" si="267"/>
        <v>25659.299054484229</v>
      </c>
      <c r="AA97" s="9">
        <f t="shared" si="267"/>
        <v>28099.58564357441</v>
      </c>
      <c r="AB97" s="9">
        <f t="shared" si="267"/>
        <v>30712.352449573664</v>
      </c>
      <c r="AC97" s="9">
        <f t="shared" si="267"/>
        <v>33510.590292773864</v>
      </c>
      <c r="AD97" s="9">
        <f t="shared" si="267"/>
        <v>36508.298486878048</v>
      </c>
      <c r="AE97" s="9">
        <f t="shared" si="267"/>
        <v>39720.564310559814</v>
      </c>
      <c r="AF97" s="9">
        <f t="shared" si="267"/>
        <v>43163.648788775667</v>
      </c>
      <c r="AG97" s="9">
        <f t="shared" si="267"/>
        <v>46855.079286696688</v>
      </c>
      <c r="AH97" s="9">
        <f t="shared" si="267"/>
        <v>50819.840138232918</v>
      </c>
      <c r="AI97" s="9">
        <f t="shared" si="267"/>
        <v>55480.388815327307</v>
      </c>
      <c r="AJ97" s="10">
        <f t="shared" ref="AJ97" si="268">IF(AJ96&lt;10084,0,
IF(AND(AJ96&gt;10084,AJ96&lt;=25710),(AJ96-10084)*0.11,
IF(AND(AJ96&gt;25710,AJ96&lt;=73516),(AJ96-25710)*0.3+1721.06,
IF(AND(AJ96&gt;73516,AJ96&lt;=158122),(AJ96-73516)*0.41+16062.86,
IF(AJ96&gt;158122,(AJ96-158122)*0.45+50751.32,
0)))))</f>
        <v>60480.705048479773</v>
      </c>
    </row>
    <row r="98" spans="3:36" x14ac:dyDescent="0.25">
      <c r="F98" s="29" t="s">
        <v>84</v>
      </c>
      <c r="G98" s="8">
        <f>IF($C$29=0,G97,G97*2)</f>
        <v>8836.119999999999</v>
      </c>
      <c r="H98" s="9">
        <f t="shared" ref="H98:P98" si="269">IF($C$29=0,H97,H97*2)</f>
        <v>9877.42</v>
      </c>
      <c r="I98" s="9">
        <f t="shared" si="269"/>
        <v>10984.559499999999</v>
      </c>
      <c r="J98" s="9">
        <f t="shared" si="269"/>
        <v>12162.219692500003</v>
      </c>
      <c r="K98" s="9">
        <f t="shared" si="269"/>
        <v>13415.4345158875</v>
      </c>
      <c r="L98" s="9">
        <f t="shared" si="269"/>
        <v>14749.618029465812</v>
      </c>
      <c r="M98" s="9">
        <f t="shared" si="269"/>
        <v>16170.593945079003</v>
      </c>
      <c r="N98" s="9">
        <f t="shared" si="269"/>
        <v>17684.62748653064</v>
      </c>
      <c r="O98" s="9">
        <f t="shared" si="269"/>
        <v>19298.459761636281</v>
      </c>
      <c r="P98" s="9">
        <f t="shared" si="269"/>
        <v>21019.344846481305</v>
      </c>
      <c r="Q98" s="9">
        <f t="shared" ref="Q98:AI98" si="270">IF($C$29=0,Q97,Q97*2)</f>
        <v>22855.089797364359</v>
      </c>
      <c r="R98" s="9">
        <f t="shared" si="270"/>
        <v>24814.097823084907</v>
      </c>
      <c r="S98" s="9">
        <f t="shared" si="270"/>
        <v>26905.414868784239</v>
      </c>
      <c r="T98" s="9">
        <f t="shared" si="270"/>
        <v>29138.779882581155</v>
      </c>
      <c r="U98" s="9">
        <f t="shared" si="270"/>
        <v>31524.679057875834</v>
      </c>
      <c r="V98" s="9">
        <f t="shared" si="270"/>
        <v>34788.921968992101</v>
      </c>
      <c r="W98" s="9">
        <f t="shared" si="270"/>
        <v>38514.062199797387</v>
      </c>
      <c r="X98" s="9">
        <f t="shared" si="270"/>
        <v>42497.61872156043</v>
      </c>
      <c r="Y98" s="9">
        <f t="shared" si="270"/>
        <v>46758.873455861016</v>
      </c>
      <c r="Z98" s="9">
        <f t="shared" si="270"/>
        <v>51318.598108968457</v>
      </c>
      <c r="AA98" s="9">
        <f t="shared" si="270"/>
        <v>56199.17128714882</v>
      </c>
      <c r="AB98" s="9">
        <f t="shared" si="270"/>
        <v>61424.704899147328</v>
      </c>
      <c r="AC98" s="9">
        <f t="shared" si="270"/>
        <v>67021.180585547729</v>
      </c>
      <c r="AD98" s="9">
        <f t="shared" si="270"/>
        <v>73016.596973756095</v>
      </c>
      <c r="AE98" s="9">
        <f t="shared" si="270"/>
        <v>79441.128621119627</v>
      </c>
      <c r="AF98" s="9">
        <f t="shared" si="270"/>
        <v>86327.297577551333</v>
      </c>
      <c r="AG98" s="9">
        <f t="shared" si="270"/>
        <v>93710.158573393375</v>
      </c>
      <c r="AH98" s="9">
        <f t="shared" si="270"/>
        <v>101639.68027646584</v>
      </c>
      <c r="AI98" s="9">
        <f t="shared" si="270"/>
        <v>110960.77763065461</v>
      </c>
      <c r="AJ98" s="10">
        <f t="shared" ref="AJ98" si="271">IF($C$29=0,AJ97,AJ97*2)</f>
        <v>120961.41009695955</v>
      </c>
    </row>
    <row r="99" spans="3:36" x14ac:dyDescent="0.25">
      <c r="F99" s="29" t="s">
        <v>85</v>
      </c>
      <c r="G99" s="8">
        <f>G95/$C$31</f>
        <v>27760</v>
      </c>
      <c r="H99" s="9">
        <f t="shared" ref="H99:P99" si="272">H95/$C$31</f>
        <v>29148.400000000001</v>
      </c>
      <c r="I99" s="9">
        <f t="shared" si="272"/>
        <v>30624.585999999999</v>
      </c>
      <c r="J99" s="9">
        <f t="shared" si="272"/>
        <v>32194.799590000002</v>
      </c>
      <c r="K99" s="9">
        <f t="shared" si="272"/>
        <v>33865.752687849999</v>
      </c>
      <c r="L99" s="9">
        <f t="shared" si="272"/>
        <v>35644.664039287753</v>
      </c>
      <c r="M99" s="9">
        <f t="shared" si="272"/>
        <v>37539.298593438674</v>
      </c>
      <c r="N99" s="9">
        <f t="shared" si="272"/>
        <v>39558.009982040858</v>
      </c>
      <c r="O99" s="9">
        <f t="shared" si="272"/>
        <v>41709.786348848378</v>
      </c>
      <c r="P99" s="9">
        <f t="shared" si="272"/>
        <v>44004.299795308405</v>
      </c>
      <c r="Q99" s="9">
        <f t="shared" ref="Q99:AI99" si="273">Q95/$C$31</f>
        <v>46451.959729819144</v>
      </c>
      <c r="R99" s="9">
        <f t="shared" si="273"/>
        <v>49063.970430779875</v>
      </c>
      <c r="S99" s="9">
        <f t="shared" si="273"/>
        <v>51852.393158378989</v>
      </c>
      <c r="T99" s="9">
        <f t="shared" si="273"/>
        <v>54830.213176774872</v>
      </c>
      <c r="U99" s="9">
        <f t="shared" si="273"/>
        <v>58011.412077167784</v>
      </c>
      <c r="V99" s="9">
        <f t="shared" si="273"/>
        <v>61411.04582340693</v>
      </c>
      <c r="W99" s="9">
        <f t="shared" si="273"/>
        <v>65045.328975412085</v>
      </c>
      <c r="X99" s="9">
        <f t="shared" si="273"/>
        <v>68931.725582010171</v>
      </c>
      <c r="Y99" s="9">
        <f t="shared" si="273"/>
        <v>73089.047274010751</v>
      </c>
      <c r="Z99" s="9">
        <f t="shared" si="273"/>
        <v>77537.559130700931</v>
      </c>
      <c r="AA99" s="9">
        <f t="shared" si="273"/>
        <v>82299.093938681777</v>
      </c>
      <c r="AB99" s="9">
        <f t="shared" si="273"/>
        <v>87397.175511363239</v>
      </c>
      <c r="AC99" s="9">
        <f t="shared" si="273"/>
        <v>92857.151790778284</v>
      </c>
      <c r="AD99" s="9">
        <f t="shared" si="273"/>
        <v>98706.338510981557</v>
      </c>
      <c r="AE99" s="9">
        <f t="shared" si="273"/>
        <v>104974.17426450695</v>
      </c>
      <c r="AF99" s="9">
        <f t="shared" si="273"/>
        <v>111692.38788053789</v>
      </c>
      <c r="AG99" s="9">
        <f t="shared" si="273"/>
        <v>118895.17909599355</v>
      </c>
      <c r="AH99" s="9">
        <f t="shared" si="273"/>
        <v>126619.41357908075</v>
      </c>
      <c r="AI99" s="9">
        <f t="shared" si="273"/>
        <v>134904.83344947075</v>
      </c>
      <c r="AJ99" s="10">
        <f t="shared" ref="AJ99" si="274">AJ95/$C$31</f>
        <v>143794.28453063071</v>
      </c>
    </row>
    <row r="100" spans="3:36" x14ac:dyDescent="0.25">
      <c r="F100" s="29" t="s">
        <v>86</v>
      </c>
      <c r="G100" s="8">
        <f>IF(G99&lt;10084,0,
IF(AND(G99&gt;10084,G99&lt;=25710),(G99-10084)*0.11,
IF(AND(G99&gt;25710,G99&lt;=73516),(G99-25710)*0.3+1721.06,
IF(AND(G99&gt;73516,G99&lt;=158122),(G99-73516)*0.41+16062.86,
IF(G99&gt;158122,(G99-158122)*0.45+50751.32,
0)))))</f>
        <v>2336.06</v>
      </c>
      <c r="H100" s="9">
        <f t="shared" ref="H100:P100" si="275">IF(H99&lt;10084,0,
IF(AND(H99&gt;10084,H99&lt;=25710),(H99-10084)*0.11,
IF(AND(H99&gt;25710,H99&lt;=73516),(H99-25710)*0.3+1721.06,
IF(AND(H99&gt;73516,H99&lt;=158122),(H99-73516)*0.41+16062.86,
IF(H99&gt;158122,(H99-158122)*0.45+50751.32,
0)))))</f>
        <v>2752.5800000000004</v>
      </c>
      <c r="I100" s="9">
        <f t="shared" si="275"/>
        <v>3195.4357999999997</v>
      </c>
      <c r="J100" s="9">
        <f t="shared" si="275"/>
        <v>3666.4998770000007</v>
      </c>
      <c r="K100" s="9">
        <f t="shared" si="275"/>
        <v>4167.7858063549993</v>
      </c>
      <c r="L100" s="9">
        <f t="shared" si="275"/>
        <v>4701.4592117863258</v>
      </c>
      <c r="M100" s="9">
        <f t="shared" si="275"/>
        <v>5269.8495780316025</v>
      </c>
      <c r="N100" s="9">
        <f t="shared" si="275"/>
        <v>5875.4629946122568</v>
      </c>
      <c r="O100" s="9">
        <f t="shared" si="275"/>
        <v>6520.9959046545137</v>
      </c>
      <c r="P100" s="9">
        <f t="shared" si="275"/>
        <v>7209.3499385925206</v>
      </c>
      <c r="Q100" s="9">
        <f t="shared" ref="Q100:AI100" si="276">IF(Q99&lt;10084,0,
IF(AND(Q99&gt;10084,Q99&lt;=25710),(Q99-10084)*0.11,
IF(AND(Q99&gt;25710,Q99&lt;=73516),(Q99-25710)*0.3+1721.06,
IF(AND(Q99&gt;73516,Q99&lt;=158122),(Q99-73516)*0.41+16062.86,
IF(Q99&gt;158122,(Q99-158122)*0.45+50751.32,
0)))))</f>
        <v>7943.6479189457423</v>
      </c>
      <c r="R100" s="9">
        <f t="shared" si="276"/>
        <v>8727.2511292339623</v>
      </c>
      <c r="S100" s="9">
        <f t="shared" si="276"/>
        <v>9563.7779475136958</v>
      </c>
      <c r="T100" s="9">
        <f t="shared" si="276"/>
        <v>10457.12395303246</v>
      </c>
      <c r="U100" s="9">
        <f t="shared" si="276"/>
        <v>11411.483623150334</v>
      </c>
      <c r="V100" s="9">
        <f t="shared" si="276"/>
        <v>12431.373747022079</v>
      </c>
      <c r="W100" s="9">
        <f t="shared" si="276"/>
        <v>13521.658692623625</v>
      </c>
      <c r="X100" s="9">
        <f t="shared" si="276"/>
        <v>14687.57767460305</v>
      </c>
      <c r="Y100" s="9">
        <f t="shared" si="276"/>
        <v>15934.774182203224</v>
      </c>
      <c r="Z100" s="9">
        <f t="shared" si="276"/>
        <v>17711.699243587384</v>
      </c>
      <c r="AA100" s="9">
        <f t="shared" si="276"/>
        <v>19663.92851485953</v>
      </c>
      <c r="AB100" s="9">
        <f t="shared" si="276"/>
        <v>21754.141959658929</v>
      </c>
      <c r="AC100" s="9">
        <f t="shared" si="276"/>
        <v>23992.732234219096</v>
      </c>
      <c r="AD100" s="9">
        <f t="shared" si="276"/>
        <v>26390.89878950244</v>
      </c>
      <c r="AE100" s="9">
        <f t="shared" si="276"/>
        <v>28960.711448447848</v>
      </c>
      <c r="AF100" s="9">
        <f t="shared" si="276"/>
        <v>31715.179031020536</v>
      </c>
      <c r="AG100" s="9">
        <f t="shared" si="276"/>
        <v>34668.323429357355</v>
      </c>
      <c r="AH100" s="9">
        <f t="shared" si="276"/>
        <v>37835.259567423105</v>
      </c>
      <c r="AI100" s="9">
        <f t="shared" si="276"/>
        <v>41232.281714283003</v>
      </c>
      <c r="AJ100" s="10">
        <f t="shared" ref="AJ100" si="277">IF(AJ99&lt;10084,0,
IF(AND(AJ99&gt;10084,AJ99&lt;=25710),(AJ99-10084)*0.11,
IF(AND(AJ99&gt;25710,AJ99&lt;=73516),(AJ99-25710)*0.3+1721.06,
IF(AND(AJ99&gt;73516,AJ99&lt;=158122),(AJ99-73516)*0.41+16062.86,
IF(AJ99&gt;158122,(AJ99-158122)*0.45+50751.32,
0)))))</f>
        <v>44876.956657558592</v>
      </c>
    </row>
    <row r="101" spans="3:36" x14ac:dyDescent="0.25">
      <c r="C101" s="5"/>
      <c r="F101" s="29" t="s">
        <v>87</v>
      </c>
      <c r="G101" s="8">
        <f>G100*$C$31</f>
        <v>5840.15</v>
      </c>
      <c r="H101" s="9">
        <f t="shared" ref="H101:P101" si="278">H100*$C$31</f>
        <v>6881.4500000000007</v>
      </c>
      <c r="I101" s="9">
        <f t="shared" si="278"/>
        <v>7988.5894999999991</v>
      </c>
      <c r="J101" s="9">
        <f t="shared" si="278"/>
        <v>9166.2496925000014</v>
      </c>
      <c r="K101" s="9">
        <f t="shared" si="278"/>
        <v>10419.464515887499</v>
      </c>
      <c r="L101" s="9">
        <f t="shared" si="278"/>
        <v>11753.648029465814</v>
      </c>
      <c r="M101" s="9">
        <f t="shared" si="278"/>
        <v>13174.623945079005</v>
      </c>
      <c r="N101" s="9">
        <f t="shared" si="278"/>
        <v>14688.657486530643</v>
      </c>
      <c r="O101" s="9">
        <f t="shared" si="278"/>
        <v>16302.489761636283</v>
      </c>
      <c r="P101" s="9">
        <f t="shared" si="278"/>
        <v>18023.374846481303</v>
      </c>
      <c r="Q101" s="9">
        <f t="shared" ref="Q101:AI101" si="279">Q100*$C$31</f>
        <v>19859.119797364358</v>
      </c>
      <c r="R101" s="9">
        <f t="shared" si="279"/>
        <v>21818.127823084906</v>
      </c>
      <c r="S101" s="9">
        <f t="shared" si="279"/>
        <v>23909.444868784238</v>
      </c>
      <c r="T101" s="9">
        <f t="shared" si="279"/>
        <v>26142.80988258115</v>
      </c>
      <c r="U101" s="9">
        <f t="shared" si="279"/>
        <v>28528.709057875836</v>
      </c>
      <c r="V101" s="9">
        <f t="shared" si="279"/>
        <v>31078.434367555197</v>
      </c>
      <c r="W101" s="9">
        <f t="shared" si="279"/>
        <v>33804.146731559063</v>
      </c>
      <c r="X101" s="9">
        <f t="shared" si="279"/>
        <v>36718.944186507622</v>
      </c>
      <c r="Y101" s="9">
        <f t="shared" si="279"/>
        <v>39836.935455508057</v>
      </c>
      <c r="Z101" s="9">
        <f t="shared" si="279"/>
        <v>44279.248108968459</v>
      </c>
      <c r="AA101" s="9">
        <f t="shared" si="279"/>
        <v>49159.821287148821</v>
      </c>
      <c r="AB101" s="9">
        <f t="shared" si="279"/>
        <v>54385.354899147322</v>
      </c>
      <c r="AC101" s="9">
        <f t="shared" si="279"/>
        <v>59981.830585547737</v>
      </c>
      <c r="AD101" s="9">
        <f t="shared" si="279"/>
        <v>65977.246973756104</v>
      </c>
      <c r="AE101" s="9">
        <f t="shared" si="279"/>
        <v>72401.778621119622</v>
      </c>
      <c r="AF101" s="9">
        <f t="shared" si="279"/>
        <v>79287.947577551342</v>
      </c>
      <c r="AG101" s="9">
        <f t="shared" si="279"/>
        <v>86670.808573393384</v>
      </c>
      <c r="AH101" s="9">
        <f t="shared" si="279"/>
        <v>94588.148918557767</v>
      </c>
      <c r="AI101" s="9">
        <f t="shared" si="279"/>
        <v>103080.7042857075</v>
      </c>
      <c r="AJ101" s="10">
        <f t="shared" ref="AJ101" si="280">AJ100*$C$31</f>
        <v>112192.39164389648</v>
      </c>
    </row>
    <row r="102" spans="3:36" x14ac:dyDescent="0.25">
      <c r="F102" s="29" t="s">
        <v>88</v>
      </c>
      <c r="G102" s="8">
        <f t="shared" ref="G102:P102" si="281">IF(G98-G38&gt;G101,G98-G38,G101)</f>
        <v>7268.119999999999</v>
      </c>
      <c r="H102" s="9">
        <f t="shared" si="281"/>
        <v>8309.42</v>
      </c>
      <c r="I102" s="9">
        <f t="shared" si="281"/>
        <v>9416.5594999999994</v>
      </c>
      <c r="J102" s="9">
        <f t="shared" si="281"/>
        <v>10594.219692500003</v>
      </c>
      <c r="K102" s="9">
        <f t="shared" si="281"/>
        <v>11847.4345158875</v>
      </c>
      <c r="L102" s="9">
        <f t="shared" si="281"/>
        <v>13181.618029465812</v>
      </c>
      <c r="M102" s="9">
        <f t="shared" si="281"/>
        <v>14602.593945079003</v>
      </c>
      <c r="N102" s="9">
        <f t="shared" si="281"/>
        <v>16116.62748653064</v>
      </c>
      <c r="O102" s="9">
        <f t="shared" si="281"/>
        <v>17730.459761636281</v>
      </c>
      <c r="P102" s="9">
        <f t="shared" si="281"/>
        <v>19451.344846481305</v>
      </c>
      <c r="Q102" s="9">
        <f t="shared" ref="Q102:AI102" si="282">IF(Q98-Q38&gt;Q101,Q98-Q38,Q101)</f>
        <v>21287.089797364359</v>
      </c>
      <c r="R102" s="9">
        <f t="shared" si="282"/>
        <v>23246.097823084907</v>
      </c>
      <c r="S102" s="9">
        <f t="shared" si="282"/>
        <v>25337.414868784239</v>
      </c>
      <c r="T102" s="9">
        <f t="shared" si="282"/>
        <v>27570.779882581155</v>
      </c>
      <c r="U102" s="9">
        <f t="shared" si="282"/>
        <v>29956.679057875834</v>
      </c>
      <c r="V102" s="9">
        <f t="shared" si="282"/>
        <v>33220.921968992101</v>
      </c>
      <c r="W102" s="9">
        <f t="shared" si="282"/>
        <v>36946.062199797387</v>
      </c>
      <c r="X102" s="9">
        <f t="shared" si="282"/>
        <v>40929.61872156043</v>
      </c>
      <c r="Y102" s="9">
        <f t="shared" si="282"/>
        <v>45190.873455861016</v>
      </c>
      <c r="Z102" s="9">
        <f t="shared" si="282"/>
        <v>49750.598108968457</v>
      </c>
      <c r="AA102" s="9">
        <f t="shared" si="282"/>
        <v>54631.17128714882</v>
      </c>
      <c r="AB102" s="9">
        <f t="shared" si="282"/>
        <v>59856.704899147328</v>
      </c>
      <c r="AC102" s="9">
        <f t="shared" si="282"/>
        <v>65453.180585547729</v>
      </c>
      <c r="AD102" s="9">
        <f t="shared" si="282"/>
        <v>71448.596973756095</v>
      </c>
      <c r="AE102" s="9">
        <f t="shared" si="282"/>
        <v>77873.128621119627</v>
      </c>
      <c r="AF102" s="9">
        <f t="shared" si="282"/>
        <v>84759.297577551333</v>
      </c>
      <c r="AG102" s="9">
        <f t="shared" si="282"/>
        <v>92142.158573393375</v>
      </c>
      <c r="AH102" s="9">
        <f t="shared" si="282"/>
        <v>100071.68027646584</v>
      </c>
      <c r="AI102" s="9">
        <f t="shared" si="282"/>
        <v>109392.77763065461</v>
      </c>
      <c r="AJ102" s="10">
        <f t="shared" ref="AJ102" si="283">IF(AJ98-AJ38&gt;AJ101,AJ98-AJ38,AJ101)</f>
        <v>119393.41009695955</v>
      </c>
    </row>
    <row r="103" spans="3:36" x14ac:dyDescent="0.25">
      <c r="F103" s="29" t="s">
        <v>89</v>
      </c>
      <c r="G103" s="8">
        <f>G94*0.172</f>
        <v>2648.7999999999993</v>
      </c>
      <c r="H103" s="9">
        <f t="shared" ref="H103:P103" si="284">H94*0.172</f>
        <v>2688.5319999999992</v>
      </c>
      <c r="I103" s="9">
        <f t="shared" si="284"/>
        <v>2728.8599799999988</v>
      </c>
      <c r="J103" s="9">
        <f t="shared" si="284"/>
        <v>2769.7928796999986</v>
      </c>
      <c r="K103" s="9">
        <f t="shared" si="284"/>
        <v>2811.3397728954983</v>
      </c>
      <c r="L103" s="9">
        <f t="shared" si="284"/>
        <v>2853.5098694889302</v>
      </c>
      <c r="M103" s="9">
        <f t="shared" si="284"/>
        <v>2896.3125175312634</v>
      </c>
      <c r="N103" s="9">
        <f t="shared" si="284"/>
        <v>2939.7572052942323</v>
      </c>
      <c r="O103" s="9">
        <f t="shared" si="284"/>
        <v>2983.8535633736456</v>
      </c>
      <c r="P103" s="9">
        <f t="shared" si="284"/>
        <v>3028.6113668242492</v>
      </c>
      <c r="Q103" s="9">
        <f t="shared" ref="Q103:AI103" si="285">Q94*0.172</f>
        <v>3074.0405373266135</v>
      </c>
      <c r="R103" s="9">
        <f t="shared" si="285"/>
        <v>3120.1511453865119</v>
      </c>
      <c r="S103" s="9">
        <f t="shared" si="285"/>
        <v>3166.953412567309</v>
      </c>
      <c r="T103" s="9">
        <f t="shared" si="285"/>
        <v>3214.4577137558185</v>
      </c>
      <c r="U103" s="9">
        <f t="shared" si="285"/>
        <v>3262.6745794621547</v>
      </c>
      <c r="V103" s="9">
        <f t="shared" si="285"/>
        <v>3311.6146981540865</v>
      </c>
      <c r="W103" s="9">
        <f t="shared" si="285"/>
        <v>3361.2889186263974</v>
      </c>
      <c r="X103" s="9">
        <f t="shared" si="285"/>
        <v>3411.7082524057928</v>
      </c>
      <c r="Y103" s="9">
        <f t="shared" si="285"/>
        <v>3462.8838761918796</v>
      </c>
      <c r="Z103" s="9">
        <f t="shared" si="285"/>
        <v>3514.8271343347574</v>
      </c>
      <c r="AA103" s="9">
        <f t="shared" si="285"/>
        <v>3567.5495413497783</v>
      </c>
      <c r="AB103" s="9">
        <f t="shared" si="285"/>
        <v>3621.0627844700239</v>
      </c>
      <c r="AC103" s="9">
        <f t="shared" si="285"/>
        <v>3675.3787262370734</v>
      </c>
      <c r="AD103" s="9">
        <f t="shared" si="285"/>
        <v>3730.5094071306294</v>
      </c>
      <c r="AE103" s="9">
        <f t="shared" si="285"/>
        <v>3786.4670482375886</v>
      </c>
      <c r="AF103" s="9">
        <f t="shared" si="285"/>
        <v>3843.2640539611521</v>
      </c>
      <c r="AG103" s="9">
        <f t="shared" si="285"/>
        <v>3900.9130147705687</v>
      </c>
      <c r="AH103" s="9">
        <f t="shared" si="285"/>
        <v>3959.4267099921271</v>
      </c>
      <c r="AI103" s="9">
        <f t="shared" si="285"/>
        <v>4018.818110642007</v>
      </c>
      <c r="AJ103" s="10">
        <f t="shared" ref="AJ103" si="286">AJ94*0.172</f>
        <v>4079.1003823016376</v>
      </c>
    </row>
    <row r="104" spans="3:36" x14ac:dyDescent="0.25">
      <c r="F104" s="29" t="s">
        <v>90</v>
      </c>
      <c r="G104" s="8">
        <f t="shared" ref="G104:P104" si="287">G102+G103-G42</f>
        <v>6750.0199999999986</v>
      </c>
      <c r="H104" s="9">
        <f t="shared" si="287"/>
        <v>7377.8319999999994</v>
      </c>
      <c r="I104" s="9">
        <f t="shared" si="287"/>
        <v>7488.4994799999986</v>
      </c>
      <c r="J104" s="9">
        <f t="shared" si="287"/>
        <v>7600.8269721999986</v>
      </c>
      <c r="K104" s="9">
        <f t="shared" si="287"/>
        <v>7714.8393767829948</v>
      </c>
      <c r="L104" s="9">
        <f t="shared" si="287"/>
        <v>7830.5619674347399</v>
      </c>
      <c r="M104" s="9">
        <f t="shared" si="287"/>
        <v>7948.0203969462582</v>
      </c>
      <c r="N104" s="9">
        <f t="shared" si="287"/>
        <v>8067.2407029004535</v>
      </c>
      <c r="O104" s="9">
        <f t="shared" si="287"/>
        <v>8188.2493134439574</v>
      </c>
      <c r="P104" s="9">
        <f t="shared" si="287"/>
        <v>8311.0730531456175</v>
      </c>
      <c r="Q104" s="9">
        <f t="shared" ref="Q104:AI104" si="288">Q102+Q103-Q42</f>
        <v>8435.739148942801</v>
      </c>
      <c r="R104" s="9">
        <f t="shared" si="288"/>
        <v>8562.2752361769381</v>
      </c>
      <c r="S104" s="9">
        <f t="shared" si="288"/>
        <v>8690.7093647195907</v>
      </c>
      <c r="T104" s="9">
        <f t="shared" si="288"/>
        <v>8821.0700051903877</v>
      </c>
      <c r="U104" s="9">
        <f t="shared" si="288"/>
        <v>8953.3860552682418</v>
      </c>
      <c r="V104" s="9">
        <f t="shared" si="288"/>
        <v>9802.2044475341681</v>
      </c>
      <c r="W104" s="9">
        <f t="shared" si="288"/>
        <v>10937.947617027046</v>
      </c>
      <c r="X104" s="9">
        <f t="shared" si="288"/>
        <v>11544.268621512623</v>
      </c>
      <c r="Y104" s="9">
        <f t="shared" si="288"/>
        <v>11717.432650835319</v>
      </c>
      <c r="Z104" s="9">
        <f t="shared" si="288"/>
        <v>11893.19414059785</v>
      </c>
      <c r="AA104" s="9">
        <f t="shared" si="288"/>
        <v>12071.592052706808</v>
      </c>
      <c r="AB104" s="9">
        <f t="shared" si="288"/>
        <v>12252.665933497403</v>
      </c>
      <c r="AC104" s="9">
        <f t="shared" si="288"/>
        <v>12436.455922499867</v>
      </c>
      <c r="AD104" s="9">
        <f t="shared" si="288"/>
        <v>12623.002761337368</v>
      </c>
      <c r="AE104" s="9">
        <f t="shared" si="288"/>
        <v>12812.347802757446</v>
      </c>
      <c r="AF104" s="9">
        <f t="shared" si="288"/>
        <v>13004.533019798779</v>
      </c>
      <c r="AG104" s="9">
        <f t="shared" si="288"/>
        <v>13199.601015095774</v>
      </c>
      <c r="AH104" s="9">
        <f t="shared" si="288"/>
        <v>13409.776388230268</v>
      </c>
      <c r="AI104" s="9">
        <f t="shared" si="288"/>
        <v>14439.282300724095</v>
      </c>
      <c r="AJ104" s="10">
        <f t="shared" ref="AJ104" si="289">AJ102+AJ103-AJ42</f>
        <v>14751.165335997779</v>
      </c>
    </row>
    <row r="105" spans="3:36" x14ac:dyDescent="0.25">
      <c r="F105" s="32" t="s">
        <v>97</v>
      </c>
      <c r="G105" s="11">
        <f t="shared" ref="G105:P105" si="290">G9-G14-G20-G104-G10</f>
        <v>-10082.166141913165</v>
      </c>
      <c r="H105" s="12">
        <f t="shared" si="290"/>
        <v>-10472.37814191317</v>
      </c>
      <c r="I105" s="12">
        <f t="shared" si="290"/>
        <v>-10341.88162191317</v>
      </c>
      <c r="J105" s="12">
        <f t="shared" si="290"/>
        <v>-10209.427654113171</v>
      </c>
      <c r="K105" s="12">
        <f t="shared" si="290"/>
        <v>-10074.986876796167</v>
      </c>
      <c r="L105" s="12">
        <f t="shared" si="290"/>
        <v>-9938.5294878194181</v>
      </c>
      <c r="M105" s="12">
        <f t="shared" si="290"/>
        <v>-9800.025238008011</v>
      </c>
      <c r="N105" s="12">
        <f t="shared" si="290"/>
        <v>-9659.443424449435</v>
      </c>
      <c r="O105" s="12">
        <f t="shared" si="290"/>
        <v>-9516.7528836874808</v>
      </c>
      <c r="P105" s="12">
        <f t="shared" si="290"/>
        <v>-9371.921984814102</v>
      </c>
      <c r="Q105" s="12">
        <f t="shared" ref="Q105:AI105" si="291">Q9-Q14-Q20-Q104-Q10</f>
        <v>-9224.9186224576151</v>
      </c>
      <c r="R105" s="12">
        <f t="shared" si="291"/>
        <v>-9075.71020966578</v>
      </c>
      <c r="S105" s="12">
        <f t="shared" si="291"/>
        <v>-8924.2636706820704</v>
      </c>
      <c r="T105" s="12">
        <f t="shared" si="291"/>
        <v>-8770.5454336136099</v>
      </c>
      <c r="U105" s="12">
        <f t="shared" si="291"/>
        <v>-8614.5214229891153</v>
      </c>
      <c r="V105" s="12">
        <f t="shared" si="291"/>
        <v>-9170.6746536421633</v>
      </c>
      <c r="W105" s="12">
        <f t="shared" si="291"/>
        <v>-10009.362684097965</v>
      </c>
      <c r="X105" s="12">
        <f t="shared" si="291"/>
        <v>-10314.172722460915</v>
      </c>
      <c r="Y105" s="12">
        <f t="shared" si="291"/>
        <v>-10181.303121169134</v>
      </c>
      <c r="Z105" s="12">
        <f t="shared" si="291"/>
        <v>-10046.44047585798</v>
      </c>
      <c r="AA105" s="12">
        <f t="shared" si="291"/>
        <v>-9909.5548908671444</v>
      </c>
      <c r="AB105" s="12">
        <f t="shared" si="291"/>
        <v>-9770.6160221014543</v>
      </c>
      <c r="AC105" s="12">
        <f t="shared" si="291"/>
        <v>-9629.5930703042832</v>
      </c>
      <c r="AD105" s="12">
        <f t="shared" si="291"/>
        <v>-9486.4547742301547</v>
      </c>
      <c r="AE105" s="12">
        <f t="shared" si="291"/>
        <v>-9341.1694037149282</v>
      </c>
      <c r="AF105" s="12">
        <f t="shared" si="291"/>
        <v>9478.4413892712364</v>
      </c>
      <c r="AG105" s="12">
        <f t="shared" si="291"/>
        <v>9628.1180101102873</v>
      </c>
      <c r="AH105" s="12">
        <f t="shared" si="291"/>
        <v>9767.8584223538855</v>
      </c>
      <c r="AI105" s="12">
        <f t="shared" si="291"/>
        <v>9093.5170320188081</v>
      </c>
      <c r="AJ105" s="13">
        <f t="shared" ref="AJ105" si="292">AJ9-AJ14-AJ20-AJ104-AJ10</f>
        <v>9142.1259867362678</v>
      </c>
    </row>
    <row r="106" spans="3:36" x14ac:dyDescent="0.25">
      <c r="F106" s="32" t="s">
        <v>113</v>
      </c>
      <c r="G106" s="52">
        <f>IF(AND(G8=1,$C$35&gt;$C$15),(G10+G105)/($C$15),
IF(AND(G8&lt;&gt;1,$C$35&gt;$C$15),(G10+G105)/($C$15+F11),
G105/($C$35)))</f>
        <v>7.7518405982435187E-2</v>
      </c>
      <c r="H106" s="39">
        <f t="shared" ref="H106:AJ106" si="293">IF(AND(H8=1,$C$35&gt;$C$15),(H10+H105)/($C$15),
IF(AND(H8&lt;&gt;1,$C$35&gt;$C$15),(H10+H105)/($C$15+G11),
H105/($C$35)))</f>
        <v>5.0055530708461145E-2</v>
      </c>
      <c r="I106" s="39">
        <f t="shared" si="293"/>
        <v>4.4424407356147E-2</v>
      </c>
      <c r="J106" s="39">
        <f t="shared" si="293"/>
        <v>4.0848218172355906E-2</v>
      </c>
      <c r="K106" s="39">
        <f t="shared" si="293"/>
        <v>3.8375846636006281E-2</v>
      </c>
      <c r="L106" s="39">
        <f t="shared" si="293"/>
        <v>3.6564682022005905E-2</v>
      </c>
      <c r="M106" s="39">
        <f t="shared" si="293"/>
        <v>3.5180851445176152E-2</v>
      </c>
      <c r="N106" s="39">
        <f t="shared" si="293"/>
        <v>3.4089145302586006E-2</v>
      </c>
      <c r="O106" s="39">
        <f t="shared" si="293"/>
        <v>3.3205952538362331E-2</v>
      </c>
      <c r="P106" s="39">
        <f t="shared" si="293"/>
        <v>3.2476790652226653E-2</v>
      </c>
      <c r="Q106" s="39">
        <f t="shared" si="293"/>
        <v>3.1864637154421761E-2</v>
      </c>
      <c r="R106" s="39">
        <f t="shared" si="293"/>
        <v>3.1343454096721082E-2</v>
      </c>
      <c r="S106" s="39">
        <f t="shared" si="293"/>
        <v>3.0894395501811188E-2</v>
      </c>
      <c r="T106" s="39">
        <f t="shared" si="293"/>
        <v>3.0503484623955392E-2</v>
      </c>
      <c r="U106" s="39">
        <f t="shared" si="293"/>
        <v>3.0160136782165697E-2</v>
      </c>
      <c r="V106" s="39">
        <f t="shared" si="293"/>
        <v>2.6843139885284563E-2</v>
      </c>
      <c r="W106" s="39">
        <f t="shared" si="293"/>
        <v>2.2802106107792805E-2</v>
      </c>
      <c r="X106" s="39">
        <f t="shared" si="293"/>
        <v>2.1214375898498037E-2</v>
      </c>
      <c r="Y106" s="39">
        <f t="shared" si="293"/>
        <v>2.1337560117109643E-2</v>
      </c>
      <c r="Z106" s="39">
        <f t="shared" si="293"/>
        <v>2.1449144267314188E-2</v>
      </c>
      <c r="AA106" s="39">
        <f t="shared" si="293"/>
        <v>2.1550676090851373E-2</v>
      </c>
      <c r="AB106" s="39">
        <f t="shared" si="293"/>
        <v>2.1643439682181714E-2</v>
      </c>
      <c r="AC106" s="39">
        <f t="shared" si="293"/>
        <v>2.1728509334374684E-2</v>
      </c>
      <c r="AD106" s="39">
        <f t="shared" si="293"/>
        <v>2.180679070625503E-2</v>
      </c>
      <c r="AE106" s="39">
        <f t="shared" si="293"/>
        <v>2.1879052662228927E-2</v>
      </c>
      <c r="AF106" s="39">
        <f t="shared" si="293"/>
        <v>2.349056106386924E-2</v>
      </c>
      <c r="AG106" s="39">
        <f t="shared" si="293"/>
        <v>0.32093726700367625</v>
      </c>
      <c r="AH106" s="39">
        <f t="shared" si="293"/>
        <v>0.3255952807451295</v>
      </c>
      <c r="AI106" s="39">
        <f t="shared" si="293"/>
        <v>0.30311723440062693</v>
      </c>
      <c r="AJ106" s="40">
        <f t="shared" si="293"/>
        <v>0.30473753289120892</v>
      </c>
    </row>
    <row r="107" spans="3:36" x14ac:dyDescent="0.25">
      <c r="F107" s="30" t="s">
        <v>114</v>
      </c>
      <c r="G107" s="35">
        <f t="shared" ref="G107:P107" si="294">(G10+G105)/$C$35</f>
        <v>5.763450258917115E-3</v>
      </c>
      <c r="H107" s="36">
        <f t="shared" si="294"/>
        <v>5.2608199422848039E-3</v>
      </c>
      <c r="I107" s="36">
        <f t="shared" si="294"/>
        <v>6.0556838919549518E-3</v>
      </c>
      <c r="J107" s="36">
        <f t="shared" si="294"/>
        <v>6.8625196225573478E-3</v>
      </c>
      <c r="K107" s="36">
        <f t="shared" si="294"/>
        <v>7.6815074481870497E-3</v>
      </c>
      <c r="L107" s="36">
        <f t="shared" si="294"/>
        <v>8.5128303987875922E-3</v>
      </c>
      <c r="M107" s="36">
        <f t="shared" si="294"/>
        <v>9.3566742610570238E-3</v>
      </c>
      <c r="N107" s="36">
        <f t="shared" si="294"/>
        <v>1.0213227619969839E-2</v>
      </c>
      <c r="O107" s="36">
        <f t="shared" si="294"/>
        <v>1.108268190092454E-2</v>
      </c>
      <c r="P107" s="36">
        <f t="shared" si="294"/>
        <v>1.196523141252589E-2</v>
      </c>
      <c r="Q107" s="36">
        <f t="shared" ref="Q107:AI107" si="295">(Q10+Q105)/$C$35</f>
        <v>1.2861073390011701E-2</v>
      </c>
      <c r="R107" s="36">
        <f t="shared" si="295"/>
        <v>1.3770408039333507E-2</v>
      </c>
      <c r="S107" s="36">
        <f t="shared" si="295"/>
        <v>1.4693438581901388E-2</v>
      </c>
      <c r="T107" s="36">
        <f t="shared" si="295"/>
        <v>1.5630371300002662E-2</v>
      </c>
      <c r="U107" s="36">
        <f t="shared" si="295"/>
        <v>1.6581415582904682E-2</v>
      </c>
      <c r="V107" s="36">
        <f t="shared" si="295"/>
        <v>1.5775984465753869E-2</v>
      </c>
      <c r="W107" s="36">
        <f t="shared" si="295"/>
        <v>1.4278995888840386E-2</v>
      </c>
      <c r="X107" s="36">
        <f t="shared" si="295"/>
        <v>1.4113908399670683E-2</v>
      </c>
      <c r="Y107" s="36">
        <f t="shared" si="295"/>
        <v>1.5042444863241506E-2</v>
      </c>
      <c r="Z107" s="36">
        <f t="shared" si="295"/>
        <v>1.5984971428992991E-2</v>
      </c>
      <c r="AA107" s="36">
        <f t="shared" si="295"/>
        <v>1.6941698885712498E-2</v>
      </c>
      <c r="AB107" s="36">
        <f t="shared" si="295"/>
        <v>1.7912841198174954E-2</v>
      </c>
      <c r="AC107" s="36">
        <f t="shared" si="295"/>
        <v>1.889861555499666E-2</v>
      </c>
      <c r="AD107" s="36">
        <f t="shared" si="295"/>
        <v>1.9899242417209893E-2</v>
      </c>
      <c r="AE107" s="36">
        <f t="shared" si="295"/>
        <v>2.0914945567569367E-2</v>
      </c>
      <c r="AF107" s="36">
        <f t="shared" si="295"/>
        <v>2.3490561063869236E-2</v>
      </c>
      <c r="AG107" s="36">
        <f t="shared" si="295"/>
        <v>2.3861506840422025E-2</v>
      </c>
      <c r="AH107" s="36">
        <f t="shared" si="295"/>
        <v>2.4207827564693644E-2</v>
      </c>
      <c r="AI107" s="36">
        <f t="shared" si="295"/>
        <v>2.2536597353206463E-2</v>
      </c>
      <c r="AJ107" s="37">
        <f t="shared" ref="AJ107" si="296">(AJ10+AJ105)/$C$35</f>
        <v>2.2657065642469065E-2</v>
      </c>
    </row>
    <row r="108" spans="3:36" x14ac:dyDescent="0.25">
      <c r="G108" s="41"/>
      <c r="H108" s="41"/>
      <c r="I108" s="41"/>
      <c r="J108" s="41"/>
      <c r="K108" s="41"/>
      <c r="L108" s="41"/>
      <c r="M108" s="41"/>
      <c r="N108" s="41"/>
      <c r="O108" s="41"/>
      <c r="P108" s="41"/>
    </row>
  </sheetData>
  <mergeCells count="6">
    <mergeCell ref="E29:E37"/>
    <mergeCell ref="B4:F6"/>
    <mergeCell ref="E10:E13"/>
    <mergeCell ref="E14:E19"/>
    <mergeCell ref="E20:E24"/>
    <mergeCell ref="E25:E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A7216-4B3E-43FB-B78E-670F002F316F}">
  <dimension ref="B2:C101"/>
  <sheetViews>
    <sheetView showGridLines="0" zoomScale="70" zoomScaleNormal="70" workbookViewId="0">
      <selection activeCell="C92" sqref="C92"/>
    </sheetView>
  </sheetViews>
  <sheetFormatPr baseColWidth="10" defaultRowHeight="15" x14ac:dyDescent="0.25"/>
  <cols>
    <col min="1" max="1" width="4.42578125" customWidth="1"/>
    <col min="2" max="2" width="30.85546875" style="28" customWidth="1"/>
    <col min="3" max="3" width="186.85546875" bestFit="1" customWidth="1"/>
  </cols>
  <sheetData>
    <row r="2" spans="2:3" x14ac:dyDescent="0.25">
      <c r="B2" s="55" t="s">
        <v>117</v>
      </c>
      <c r="C2" s="55" t="s">
        <v>139</v>
      </c>
    </row>
    <row r="3" spans="2:3" x14ac:dyDescent="0.25">
      <c r="B3" s="42" t="s">
        <v>0</v>
      </c>
      <c r="C3" s="64" t="s">
        <v>192</v>
      </c>
    </row>
    <row r="4" spans="2:3" x14ac:dyDescent="0.25">
      <c r="B4" s="29" t="s">
        <v>40</v>
      </c>
      <c r="C4" s="61" t="s">
        <v>193</v>
      </c>
    </row>
    <row r="5" spans="2:3" x14ac:dyDescent="0.25">
      <c r="B5" s="29" t="s">
        <v>58</v>
      </c>
      <c r="C5" s="62" t="s">
        <v>208</v>
      </c>
    </row>
    <row r="6" spans="2:3" x14ac:dyDescent="0.25">
      <c r="B6" s="29" t="s">
        <v>9</v>
      </c>
      <c r="C6" s="62" t="s">
        <v>196</v>
      </c>
    </row>
    <row r="7" spans="2:3" x14ac:dyDescent="0.25">
      <c r="B7" s="29" t="s">
        <v>10</v>
      </c>
      <c r="C7" s="62" t="s">
        <v>197</v>
      </c>
    </row>
    <row r="8" spans="2:3" x14ac:dyDescent="0.25">
      <c r="B8" s="30" t="s">
        <v>43</v>
      </c>
      <c r="C8" s="63" t="s">
        <v>126</v>
      </c>
    </row>
    <row r="9" spans="2:3" x14ac:dyDescent="0.25">
      <c r="B9" s="29" t="s">
        <v>24</v>
      </c>
      <c r="C9" s="61" t="s">
        <v>209</v>
      </c>
    </row>
    <row r="10" spans="2:3" x14ac:dyDescent="0.25">
      <c r="B10" s="29" t="s">
        <v>25</v>
      </c>
      <c r="C10" s="62" t="s">
        <v>198</v>
      </c>
    </row>
    <row r="11" spans="2:3" x14ac:dyDescent="0.25">
      <c r="B11" s="29" t="s">
        <v>26</v>
      </c>
      <c r="C11" s="62" t="s">
        <v>210</v>
      </c>
    </row>
    <row r="12" spans="2:3" x14ac:dyDescent="0.25">
      <c r="B12" s="29" t="s">
        <v>27</v>
      </c>
      <c r="C12" s="62" t="s">
        <v>199</v>
      </c>
    </row>
    <row r="13" spans="2:3" x14ac:dyDescent="0.25">
      <c r="B13" s="29" t="s">
        <v>127</v>
      </c>
      <c r="C13" s="62" t="s">
        <v>190</v>
      </c>
    </row>
    <row r="14" spans="2:3" x14ac:dyDescent="0.25">
      <c r="B14" s="32" t="s">
        <v>28</v>
      </c>
      <c r="C14" s="63" t="s">
        <v>191</v>
      </c>
    </row>
    <row r="15" spans="2:3" x14ac:dyDescent="0.25">
      <c r="B15" s="31" t="s">
        <v>98</v>
      </c>
      <c r="C15" s="61" t="s">
        <v>200</v>
      </c>
    </row>
    <row r="16" spans="2:3" x14ac:dyDescent="0.25">
      <c r="B16" s="32" t="s">
        <v>101</v>
      </c>
      <c r="C16" s="62" t="s">
        <v>201</v>
      </c>
    </row>
    <row r="17" spans="2:3" x14ac:dyDescent="0.25">
      <c r="B17" s="30" t="s">
        <v>99</v>
      </c>
      <c r="C17" s="63" t="s">
        <v>202</v>
      </c>
    </row>
    <row r="18" spans="2:3" x14ac:dyDescent="0.25">
      <c r="B18" s="29" t="s">
        <v>29</v>
      </c>
      <c r="C18" s="61" t="s">
        <v>134</v>
      </c>
    </row>
    <row r="19" spans="2:3" x14ac:dyDescent="0.25">
      <c r="B19" s="29" t="s">
        <v>30</v>
      </c>
      <c r="C19" s="62" t="s">
        <v>137</v>
      </c>
    </row>
    <row r="20" spans="2:3" x14ac:dyDescent="0.25">
      <c r="B20" s="29" t="s">
        <v>31</v>
      </c>
      <c r="C20" s="62" t="s">
        <v>135</v>
      </c>
    </row>
    <row r="21" spans="2:3" x14ac:dyDescent="0.25">
      <c r="B21" s="29" t="s">
        <v>32</v>
      </c>
      <c r="C21" s="62" t="s">
        <v>138</v>
      </c>
    </row>
    <row r="22" spans="2:3" x14ac:dyDescent="0.25">
      <c r="B22" s="30" t="s">
        <v>37</v>
      </c>
      <c r="C22" s="63" t="s">
        <v>136</v>
      </c>
    </row>
    <row r="23" spans="2:3" x14ac:dyDescent="0.25">
      <c r="B23" s="31" t="s">
        <v>35</v>
      </c>
      <c r="C23" s="61" t="s">
        <v>203</v>
      </c>
    </row>
    <row r="24" spans="2:3" x14ac:dyDescent="0.25">
      <c r="B24" s="32" t="s">
        <v>36</v>
      </c>
      <c r="C24" s="62" t="s">
        <v>204</v>
      </c>
    </row>
    <row r="25" spans="2:3" x14ac:dyDescent="0.25">
      <c r="B25" s="29" t="s">
        <v>91</v>
      </c>
      <c r="C25" s="62" t="s">
        <v>205</v>
      </c>
    </row>
    <row r="26" spans="2:3" x14ac:dyDescent="0.25">
      <c r="B26" s="32" t="s">
        <v>38</v>
      </c>
      <c r="C26" s="62" t="s">
        <v>206</v>
      </c>
    </row>
    <row r="27" spans="2:3" x14ac:dyDescent="0.25">
      <c r="B27" s="30" t="s">
        <v>39</v>
      </c>
      <c r="C27" s="63" t="s">
        <v>207</v>
      </c>
    </row>
    <row r="28" spans="2:3" x14ac:dyDescent="0.25">
      <c r="B28" s="33" t="s">
        <v>34</v>
      </c>
      <c r="C28" s="61" t="s">
        <v>211</v>
      </c>
    </row>
    <row r="29" spans="2:3" x14ac:dyDescent="0.25">
      <c r="B29" s="29" t="s">
        <v>120</v>
      </c>
      <c r="C29" s="62" t="s">
        <v>212</v>
      </c>
    </row>
    <row r="30" spans="2:3" x14ac:dyDescent="0.25">
      <c r="B30" s="29" t="s">
        <v>121</v>
      </c>
      <c r="C30" s="62" t="s">
        <v>213</v>
      </c>
    </row>
    <row r="31" spans="2:3" x14ac:dyDescent="0.25">
      <c r="B31" s="29" t="s">
        <v>122</v>
      </c>
      <c r="C31" s="62" t="s">
        <v>214</v>
      </c>
    </row>
    <row r="32" spans="2:3" x14ac:dyDescent="0.25">
      <c r="B32" s="29" t="s">
        <v>33</v>
      </c>
      <c r="C32" s="62" t="s">
        <v>194</v>
      </c>
    </row>
    <row r="33" spans="2:3" x14ac:dyDescent="0.25">
      <c r="B33" s="29" t="s">
        <v>123</v>
      </c>
      <c r="C33" s="62" t="s">
        <v>225</v>
      </c>
    </row>
    <row r="34" spans="2:3" x14ac:dyDescent="0.25">
      <c r="B34" s="29" t="s">
        <v>124</v>
      </c>
      <c r="C34" s="62" t="s">
        <v>215</v>
      </c>
    </row>
    <row r="35" spans="2:3" x14ac:dyDescent="0.25">
      <c r="B35" s="29" t="s">
        <v>125</v>
      </c>
      <c r="C35" s="62" t="s">
        <v>216</v>
      </c>
    </row>
    <row r="36" spans="2:3" x14ac:dyDescent="0.25">
      <c r="B36" s="32" t="s">
        <v>45</v>
      </c>
      <c r="C36" s="62" t="s">
        <v>195</v>
      </c>
    </row>
    <row r="37" spans="2:3" x14ac:dyDescent="0.25">
      <c r="B37" s="19" t="s">
        <v>57</v>
      </c>
      <c r="C37" s="61" t="s">
        <v>140</v>
      </c>
    </row>
    <row r="38" spans="2:3" x14ac:dyDescent="0.25">
      <c r="B38" s="29" t="s">
        <v>141</v>
      </c>
      <c r="C38" s="62" t="s">
        <v>142</v>
      </c>
    </row>
    <row r="39" spans="2:3" x14ac:dyDescent="0.25">
      <c r="B39" s="29" t="s">
        <v>92</v>
      </c>
      <c r="C39" s="62" t="s">
        <v>143</v>
      </c>
    </row>
    <row r="40" spans="2:3" x14ac:dyDescent="0.25">
      <c r="B40" s="29" t="s">
        <v>93</v>
      </c>
      <c r="C40" s="62" t="s">
        <v>144</v>
      </c>
    </row>
    <row r="41" spans="2:3" x14ac:dyDescent="0.25">
      <c r="B41" s="32" t="s">
        <v>102</v>
      </c>
      <c r="C41" s="62" t="s">
        <v>148</v>
      </c>
    </row>
    <row r="42" spans="2:3" x14ac:dyDescent="0.25">
      <c r="B42" s="32" t="s">
        <v>105</v>
      </c>
      <c r="C42" s="62" t="s">
        <v>147</v>
      </c>
    </row>
    <row r="43" spans="2:3" x14ac:dyDescent="0.25">
      <c r="B43" s="32" t="s">
        <v>104</v>
      </c>
      <c r="C43" s="62" t="s">
        <v>146</v>
      </c>
    </row>
    <row r="44" spans="2:3" x14ac:dyDescent="0.25">
      <c r="B44" s="30" t="s">
        <v>103</v>
      </c>
      <c r="C44" s="62" t="s">
        <v>145</v>
      </c>
    </row>
    <row r="45" spans="2:3" x14ac:dyDescent="0.25">
      <c r="B45" s="29" t="s">
        <v>46</v>
      </c>
      <c r="C45" s="61" t="s">
        <v>149</v>
      </c>
    </row>
    <row r="46" spans="2:3" x14ac:dyDescent="0.25">
      <c r="B46" s="29" t="s">
        <v>47</v>
      </c>
      <c r="C46" s="62" t="s">
        <v>150</v>
      </c>
    </row>
    <row r="47" spans="2:3" x14ac:dyDescent="0.25">
      <c r="B47" s="29" t="s">
        <v>48</v>
      </c>
      <c r="C47" s="62" t="s">
        <v>151</v>
      </c>
    </row>
    <row r="48" spans="2:3" x14ac:dyDescent="0.25">
      <c r="B48" s="29" t="s">
        <v>49</v>
      </c>
      <c r="C48" s="62" t="s">
        <v>217</v>
      </c>
    </row>
    <row r="49" spans="2:3" x14ac:dyDescent="0.25">
      <c r="B49" s="29" t="s">
        <v>50</v>
      </c>
      <c r="C49" s="62" t="s">
        <v>218</v>
      </c>
    </row>
    <row r="50" spans="2:3" x14ac:dyDescent="0.25">
      <c r="B50" s="29" t="s">
        <v>51</v>
      </c>
      <c r="C50" s="62" t="s">
        <v>226</v>
      </c>
    </row>
    <row r="51" spans="2:3" x14ac:dyDescent="0.25">
      <c r="B51" s="29" t="s">
        <v>52</v>
      </c>
      <c r="C51" s="62" t="s">
        <v>227</v>
      </c>
    </row>
    <row r="52" spans="2:3" x14ac:dyDescent="0.25">
      <c r="B52" s="29" t="s">
        <v>53</v>
      </c>
      <c r="C52" s="62" t="s">
        <v>228</v>
      </c>
    </row>
    <row r="53" spans="2:3" x14ac:dyDescent="0.25">
      <c r="B53" s="29" t="s">
        <v>54</v>
      </c>
      <c r="C53" s="62" t="s">
        <v>152</v>
      </c>
    </row>
    <row r="54" spans="2:3" x14ac:dyDescent="0.25">
      <c r="B54" s="29" t="s">
        <v>55</v>
      </c>
      <c r="C54" s="62" t="s">
        <v>153</v>
      </c>
    </row>
    <row r="55" spans="2:3" x14ac:dyDescent="0.25">
      <c r="B55" s="29" t="s">
        <v>56</v>
      </c>
      <c r="C55" s="62" t="s">
        <v>155</v>
      </c>
    </row>
    <row r="56" spans="2:3" x14ac:dyDescent="0.25">
      <c r="B56" s="32" t="s">
        <v>94</v>
      </c>
      <c r="C56" s="62" t="s">
        <v>154</v>
      </c>
    </row>
    <row r="57" spans="2:3" x14ac:dyDescent="0.25">
      <c r="B57" s="32" t="s">
        <v>106</v>
      </c>
      <c r="C57" s="62" t="s">
        <v>188</v>
      </c>
    </row>
    <row r="58" spans="2:3" x14ac:dyDescent="0.25">
      <c r="B58" s="30" t="s">
        <v>107</v>
      </c>
      <c r="C58" s="63" t="s">
        <v>189</v>
      </c>
    </row>
    <row r="59" spans="2:3" x14ac:dyDescent="0.25">
      <c r="B59" s="19" t="s">
        <v>59</v>
      </c>
      <c r="C59" s="61" t="s">
        <v>156</v>
      </c>
    </row>
    <row r="60" spans="2:3" x14ac:dyDescent="0.25">
      <c r="B60" s="29" t="s">
        <v>60</v>
      </c>
      <c r="C60" s="62" t="s">
        <v>157</v>
      </c>
    </row>
    <row r="61" spans="2:3" x14ac:dyDescent="0.25">
      <c r="B61" s="29" t="s">
        <v>61</v>
      </c>
      <c r="C61" s="62" t="s">
        <v>158</v>
      </c>
    </row>
    <row r="62" spans="2:3" x14ac:dyDescent="0.25">
      <c r="B62" s="29" t="s">
        <v>62</v>
      </c>
      <c r="C62" s="62" t="s">
        <v>219</v>
      </c>
    </row>
    <row r="63" spans="2:3" x14ac:dyDescent="0.25">
      <c r="B63" s="29" t="s">
        <v>63</v>
      </c>
      <c r="C63" s="62" t="s">
        <v>220</v>
      </c>
    </row>
    <row r="64" spans="2:3" x14ac:dyDescent="0.25">
      <c r="B64" s="29" t="s">
        <v>64</v>
      </c>
      <c r="C64" s="62" t="s">
        <v>229</v>
      </c>
    </row>
    <row r="65" spans="2:3" x14ac:dyDescent="0.25">
      <c r="B65" s="29" t="s">
        <v>110</v>
      </c>
      <c r="C65" s="62" t="s">
        <v>230</v>
      </c>
    </row>
    <row r="66" spans="2:3" x14ac:dyDescent="0.25">
      <c r="B66" s="29" t="s">
        <v>65</v>
      </c>
      <c r="C66" s="62" t="s">
        <v>231</v>
      </c>
    </row>
    <row r="67" spans="2:3" x14ac:dyDescent="0.25">
      <c r="B67" s="29" t="s">
        <v>66</v>
      </c>
      <c r="C67" s="62" t="s">
        <v>159</v>
      </c>
    </row>
    <row r="68" spans="2:3" x14ac:dyDescent="0.25">
      <c r="B68" s="29" t="s">
        <v>67</v>
      </c>
      <c r="C68" s="62" t="s">
        <v>160</v>
      </c>
    </row>
    <row r="69" spans="2:3" x14ac:dyDescent="0.25">
      <c r="B69" s="29" t="s">
        <v>68</v>
      </c>
      <c r="C69" s="62" t="s">
        <v>161</v>
      </c>
    </row>
    <row r="70" spans="2:3" x14ac:dyDescent="0.25">
      <c r="B70" s="32" t="s">
        <v>95</v>
      </c>
      <c r="C70" s="62" t="s">
        <v>162</v>
      </c>
    </row>
    <row r="71" spans="2:3" x14ac:dyDescent="0.25">
      <c r="B71" s="32" t="s">
        <v>109</v>
      </c>
      <c r="C71" s="62" t="s">
        <v>186</v>
      </c>
    </row>
    <row r="72" spans="2:3" x14ac:dyDescent="0.25">
      <c r="B72" s="30" t="s">
        <v>108</v>
      </c>
      <c r="C72" s="63" t="s">
        <v>187</v>
      </c>
    </row>
    <row r="73" spans="2:3" x14ac:dyDescent="0.25">
      <c r="B73" s="29" t="s">
        <v>69</v>
      </c>
      <c r="C73" s="61" t="s">
        <v>163</v>
      </c>
    </row>
    <row r="74" spans="2:3" x14ac:dyDescent="0.25">
      <c r="B74" s="29" t="s">
        <v>70</v>
      </c>
      <c r="C74" s="62" t="s">
        <v>164</v>
      </c>
    </row>
    <row r="75" spans="2:3" x14ac:dyDescent="0.25">
      <c r="B75" s="29" t="s">
        <v>71</v>
      </c>
      <c r="C75" s="62" t="s">
        <v>165</v>
      </c>
    </row>
    <row r="76" spans="2:3" x14ac:dyDescent="0.25">
      <c r="B76" s="29" t="s">
        <v>72</v>
      </c>
      <c r="C76" s="62" t="s">
        <v>221</v>
      </c>
    </row>
    <row r="77" spans="2:3" x14ac:dyDescent="0.25">
      <c r="B77" s="29" t="s">
        <v>73</v>
      </c>
      <c r="C77" s="62" t="s">
        <v>222</v>
      </c>
    </row>
    <row r="78" spans="2:3" x14ac:dyDescent="0.25">
      <c r="B78" s="29" t="s">
        <v>74</v>
      </c>
      <c r="C78" s="62" t="s">
        <v>232</v>
      </c>
    </row>
    <row r="79" spans="2:3" x14ac:dyDescent="0.25">
      <c r="B79" s="29" t="s">
        <v>75</v>
      </c>
      <c r="C79" s="62" t="s">
        <v>233</v>
      </c>
    </row>
    <row r="80" spans="2:3" x14ac:dyDescent="0.25">
      <c r="B80" s="29" t="s">
        <v>76</v>
      </c>
      <c r="C80" s="62" t="s">
        <v>234</v>
      </c>
    </row>
    <row r="81" spans="2:3" x14ac:dyDescent="0.25">
      <c r="B81" s="29" t="s">
        <v>77</v>
      </c>
      <c r="C81" s="62" t="s">
        <v>166</v>
      </c>
    </row>
    <row r="82" spans="2:3" x14ac:dyDescent="0.25">
      <c r="B82" s="29" t="s">
        <v>78</v>
      </c>
      <c r="C82" s="62" t="s">
        <v>167</v>
      </c>
    </row>
    <row r="83" spans="2:3" x14ac:dyDescent="0.25">
      <c r="B83" s="29" t="s">
        <v>79</v>
      </c>
      <c r="C83" s="62" t="s">
        <v>168</v>
      </c>
    </row>
    <row r="84" spans="2:3" x14ac:dyDescent="0.25">
      <c r="B84" s="29" t="s">
        <v>115</v>
      </c>
      <c r="C84" t="s">
        <v>170</v>
      </c>
    </row>
    <row r="85" spans="2:3" x14ac:dyDescent="0.25">
      <c r="B85" s="32" t="s">
        <v>96</v>
      </c>
      <c r="C85" s="62" t="s">
        <v>169</v>
      </c>
    </row>
    <row r="86" spans="2:3" x14ac:dyDescent="0.25">
      <c r="B86" s="32" t="s">
        <v>111</v>
      </c>
      <c r="C86" s="62" t="s">
        <v>184</v>
      </c>
    </row>
    <row r="87" spans="2:3" x14ac:dyDescent="0.25">
      <c r="B87" s="30" t="s">
        <v>112</v>
      </c>
      <c r="C87" s="63" t="s">
        <v>185</v>
      </c>
    </row>
    <row r="88" spans="2:3" x14ac:dyDescent="0.25">
      <c r="B88" s="19" t="s">
        <v>80</v>
      </c>
      <c r="C88" s="61" t="s">
        <v>171</v>
      </c>
    </row>
    <row r="89" spans="2:3" x14ac:dyDescent="0.25">
      <c r="B89" s="29" t="s">
        <v>81</v>
      </c>
      <c r="C89" s="62" t="s">
        <v>172</v>
      </c>
    </row>
    <row r="90" spans="2:3" x14ac:dyDescent="0.25">
      <c r="B90" s="29" t="s">
        <v>82</v>
      </c>
      <c r="C90" s="62" t="s">
        <v>173</v>
      </c>
    </row>
    <row r="91" spans="2:3" x14ac:dyDescent="0.25">
      <c r="B91" s="29" t="s">
        <v>83</v>
      </c>
      <c r="C91" s="62" t="s">
        <v>223</v>
      </c>
    </row>
    <row r="92" spans="2:3" x14ac:dyDescent="0.25">
      <c r="B92" s="29" t="s">
        <v>84</v>
      </c>
      <c r="C92" s="62" t="s">
        <v>224</v>
      </c>
    </row>
    <row r="93" spans="2:3" x14ac:dyDescent="0.25">
      <c r="B93" s="29" t="s">
        <v>85</v>
      </c>
      <c r="C93" s="62" t="s">
        <v>235</v>
      </c>
    </row>
    <row r="94" spans="2:3" x14ac:dyDescent="0.25">
      <c r="B94" s="29" t="s">
        <v>86</v>
      </c>
      <c r="C94" s="62" t="s">
        <v>236</v>
      </c>
    </row>
    <row r="95" spans="2:3" x14ac:dyDescent="0.25">
      <c r="B95" s="29" t="s">
        <v>87</v>
      </c>
      <c r="C95" s="62" t="s">
        <v>237</v>
      </c>
    </row>
    <row r="96" spans="2:3" x14ac:dyDescent="0.25">
      <c r="B96" s="29" t="s">
        <v>88</v>
      </c>
      <c r="C96" s="62" t="s">
        <v>174</v>
      </c>
    </row>
    <row r="97" spans="2:3" x14ac:dyDescent="0.25">
      <c r="B97" s="29" t="s">
        <v>89</v>
      </c>
      <c r="C97" s="62" t="s">
        <v>175</v>
      </c>
    </row>
    <row r="98" spans="2:3" x14ac:dyDescent="0.25">
      <c r="B98" s="29" t="s">
        <v>90</v>
      </c>
      <c r="C98" s="62" t="s">
        <v>176</v>
      </c>
    </row>
    <row r="99" spans="2:3" x14ac:dyDescent="0.25">
      <c r="B99" s="32" t="s">
        <v>97</v>
      </c>
      <c r="C99" s="62" t="s">
        <v>177</v>
      </c>
    </row>
    <row r="100" spans="2:3" x14ac:dyDescent="0.25">
      <c r="B100" s="32" t="s">
        <v>113</v>
      </c>
      <c r="C100" s="62" t="s">
        <v>182</v>
      </c>
    </row>
    <row r="101" spans="2:3" x14ac:dyDescent="0.25">
      <c r="B101" s="30" t="s">
        <v>114</v>
      </c>
      <c r="C101" s="63" t="s">
        <v>183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SIMULIMO</vt:lpstr>
      <vt:lpstr>LEGENDE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CHARDIGNY</dc:creator>
  <cp:lastModifiedBy>Antoine CHARDIGNY</cp:lastModifiedBy>
  <dcterms:created xsi:type="dcterms:W3CDTF">2020-11-10T13:19:38Z</dcterms:created>
  <dcterms:modified xsi:type="dcterms:W3CDTF">2021-01-26T20:18:05Z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bb86df87-dacb-4920-a4ba-af274c2cb78f</vt:lpwstr>
  </property>
</Properties>
</file>