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achardigny\Dropbox\ENTREPRENEURSHIP\IMMOBILIER\INTERFACE\MODEL_FISCAL_EXCEL\PROD\"/>
    </mc:Choice>
  </mc:AlternateContent>
  <xr:revisionPtr revIDLastSave="0" documentId="13_ncr:1_{CB0290BC-829D-443D-93EE-C9DCD0B90567}" xr6:coauthVersionLast="47" xr6:coauthVersionMax="47" xr10:uidLastSave="{00000000-0000-0000-0000-000000000000}"/>
  <bookViews>
    <workbookView xWindow="-120" yWindow="-120" windowWidth="20730" windowHeight="11160" tabRatio="783" xr2:uid="{51883200-22E6-471E-A965-38E8A38F9624}"/>
  </bookViews>
  <sheets>
    <sheet name="SIMULIMO" sheetId="2" r:id="rId1"/>
    <sheet name="GLOSSAIRE" sheetId="3" r:id="rId2"/>
    <sheet name="REGLES FISCALES" sheetId="4" r:id="rId3"/>
    <sheet name="TRI" sheetId="7"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42" i="2" l="1"/>
  <c r="J142" i="2"/>
  <c r="K142" i="2"/>
  <c r="L142" i="2"/>
  <c r="M142" i="2"/>
  <c r="N142" i="2"/>
  <c r="O142" i="2"/>
  <c r="P142" i="2"/>
  <c r="Q142" i="2"/>
  <c r="R142" i="2"/>
  <c r="S142" i="2"/>
  <c r="T142" i="2"/>
  <c r="U142" i="2"/>
  <c r="V142" i="2"/>
  <c r="W142" i="2"/>
  <c r="X142" i="2"/>
  <c r="Y142" i="2"/>
  <c r="Z142" i="2"/>
  <c r="AA142" i="2"/>
  <c r="AB142" i="2"/>
  <c r="AC142" i="2"/>
  <c r="AD142" i="2"/>
  <c r="AE142" i="2"/>
  <c r="AF142" i="2"/>
  <c r="AG142" i="2"/>
  <c r="AH142" i="2"/>
  <c r="AI142" i="2"/>
  <c r="AJ142" i="2"/>
  <c r="AK142" i="2"/>
  <c r="H142" i="2"/>
  <c r="AK96" i="2" l="1"/>
  <c r="AJ96" i="2"/>
  <c r="AI96" i="2"/>
  <c r="AH96" i="2"/>
  <c r="AG96" i="2"/>
  <c r="AF96" i="2"/>
  <c r="AE96" i="2"/>
  <c r="AD96" i="2"/>
  <c r="AC96" i="2"/>
  <c r="AB96" i="2"/>
  <c r="AA96" i="2"/>
  <c r="Z96" i="2"/>
  <c r="Y96" i="2"/>
  <c r="X96" i="2"/>
  <c r="W96" i="2"/>
  <c r="V96" i="2"/>
  <c r="U96" i="2"/>
  <c r="T96" i="2"/>
  <c r="S96" i="2"/>
  <c r="R96" i="2"/>
  <c r="Q96" i="2"/>
  <c r="P96" i="2"/>
  <c r="O96" i="2"/>
  <c r="N96" i="2"/>
  <c r="M96" i="2"/>
  <c r="L96" i="2"/>
  <c r="K96" i="2"/>
  <c r="J96" i="2"/>
  <c r="I96" i="2"/>
  <c r="H96" i="2"/>
  <c r="H188" i="2"/>
  <c r="AG15" i="2"/>
  <c r="AH15" i="2"/>
  <c r="AI15" i="2"/>
  <c r="AJ15" i="2"/>
  <c r="AK15" i="2"/>
  <c r="AG16" i="2"/>
  <c r="AH16" i="2"/>
  <c r="AI16" i="2"/>
  <c r="AJ16" i="2"/>
  <c r="AK16" i="2"/>
  <c r="I21" i="2"/>
  <c r="I12" i="2" s="1"/>
  <c r="I112" i="2" s="1"/>
  <c r="J21" i="2"/>
  <c r="J12" i="2" s="1"/>
  <c r="J51" i="2" s="1"/>
  <c r="K21" i="2"/>
  <c r="K12" i="2" s="1"/>
  <c r="K175" i="2" s="1"/>
  <c r="K184" i="2" s="1"/>
  <c r="L21" i="2"/>
  <c r="L12" i="2" s="1"/>
  <c r="L51" i="2" s="1"/>
  <c r="M21" i="2"/>
  <c r="M12" i="2" s="1"/>
  <c r="M112" i="2" s="1"/>
  <c r="N21" i="2"/>
  <c r="N12" i="2" s="1"/>
  <c r="N175" i="2" s="1"/>
  <c r="O21" i="2"/>
  <c r="O12" i="2" s="1"/>
  <c r="O175" i="2" s="1"/>
  <c r="P21" i="2"/>
  <c r="P12" i="2" s="1"/>
  <c r="Q21" i="2"/>
  <c r="Q12" i="2" s="1"/>
  <c r="Q175" i="2" s="1"/>
  <c r="Q184" i="2" s="1"/>
  <c r="R21" i="2"/>
  <c r="R12" i="2" s="1"/>
  <c r="R112" i="2" s="1"/>
  <c r="S21" i="2"/>
  <c r="S12" i="2" s="1"/>
  <c r="T21" i="2"/>
  <c r="T12" i="2" s="1"/>
  <c r="T51" i="2" s="1"/>
  <c r="U21" i="2"/>
  <c r="U12" i="2" s="1"/>
  <c r="U175" i="2" s="1"/>
  <c r="V21" i="2"/>
  <c r="V12" i="2" s="1"/>
  <c r="V175" i="2" s="1"/>
  <c r="W21" i="2"/>
  <c r="W12" i="2" s="1"/>
  <c r="W51" i="2" s="1"/>
  <c r="X21" i="2"/>
  <c r="X12" i="2" s="1"/>
  <c r="X51" i="2" s="1"/>
  <c r="Y21" i="2"/>
  <c r="Y12" i="2" s="1"/>
  <c r="Y175" i="2" s="1"/>
  <c r="Z21" i="2"/>
  <c r="Z12" i="2" s="1"/>
  <c r="Z112" i="2" s="1"/>
  <c r="AA21" i="2"/>
  <c r="AA12" i="2" s="1"/>
  <c r="AA112" i="2" s="1"/>
  <c r="AA121" i="2" s="1"/>
  <c r="AB21" i="2"/>
  <c r="AB12" i="2" s="1"/>
  <c r="AB51" i="2" s="1"/>
  <c r="AC21" i="2"/>
  <c r="AC12" i="2" s="1"/>
  <c r="AC175" i="2" s="1"/>
  <c r="AC184" i="2" s="1"/>
  <c r="AD21" i="2"/>
  <c r="AD12" i="2" s="1"/>
  <c r="AD175" i="2" s="1"/>
  <c r="AE21" i="2"/>
  <c r="AE12" i="2" s="1"/>
  <c r="AF21" i="2"/>
  <c r="AF12" i="2" s="1"/>
  <c r="AF51" i="2" s="1"/>
  <c r="AG21" i="2"/>
  <c r="AG12" i="2" s="1"/>
  <c r="AG112" i="2" s="1"/>
  <c r="AG121" i="2" s="1"/>
  <c r="AH21" i="2"/>
  <c r="AH12" i="2" s="1"/>
  <c r="AH112" i="2" s="1"/>
  <c r="AI21" i="2"/>
  <c r="AI12" i="2" s="1"/>
  <c r="AI51" i="2" s="1"/>
  <c r="AJ21" i="2"/>
  <c r="AJ12" i="2" s="1"/>
  <c r="AJ175" i="2" s="1"/>
  <c r="AK21" i="2"/>
  <c r="AK12" i="2" s="1"/>
  <c r="AK112" i="2" s="1"/>
  <c r="AK121" i="2" s="1"/>
  <c r="I22" i="2"/>
  <c r="J22" i="2"/>
  <c r="K22" i="2"/>
  <c r="L22" i="2"/>
  <c r="M22" i="2"/>
  <c r="N22" i="2"/>
  <c r="O22" i="2"/>
  <c r="P22" i="2"/>
  <c r="Q22" i="2"/>
  <c r="R22" i="2"/>
  <c r="S22" i="2"/>
  <c r="T22" i="2"/>
  <c r="U22" i="2"/>
  <c r="V22" i="2"/>
  <c r="W22" i="2"/>
  <c r="X22" i="2"/>
  <c r="Y22" i="2"/>
  <c r="Z22" i="2"/>
  <c r="AA22" i="2"/>
  <c r="AB22" i="2"/>
  <c r="AC22" i="2"/>
  <c r="AD22" i="2"/>
  <c r="AE22" i="2"/>
  <c r="AF22" i="2"/>
  <c r="AG22" i="2"/>
  <c r="AH22" i="2"/>
  <c r="AI22" i="2"/>
  <c r="AJ22" i="2"/>
  <c r="AK22" i="2"/>
  <c r="I23" i="2"/>
  <c r="J23" i="2"/>
  <c r="K23" i="2"/>
  <c r="L23" i="2"/>
  <c r="M23" i="2"/>
  <c r="N23" i="2"/>
  <c r="O23" i="2"/>
  <c r="P23" i="2"/>
  <c r="Q23" i="2"/>
  <c r="R23" i="2"/>
  <c r="S23" i="2"/>
  <c r="T23" i="2"/>
  <c r="U23" i="2"/>
  <c r="V23" i="2"/>
  <c r="W23" i="2"/>
  <c r="X23" i="2"/>
  <c r="Y23" i="2"/>
  <c r="Z23" i="2"/>
  <c r="AA23" i="2"/>
  <c r="AB23" i="2"/>
  <c r="AC23" i="2"/>
  <c r="AD23" i="2"/>
  <c r="AE23" i="2"/>
  <c r="AF23" i="2"/>
  <c r="AG23" i="2"/>
  <c r="AH23" i="2"/>
  <c r="AI23" i="2"/>
  <c r="AJ23" i="2"/>
  <c r="AK23" i="2"/>
  <c r="I24" i="2"/>
  <c r="I80" i="2" s="1"/>
  <c r="J24" i="2"/>
  <c r="J52" i="2" s="1"/>
  <c r="K24" i="2"/>
  <c r="K80" i="2" s="1"/>
  <c r="L24" i="2"/>
  <c r="L80" i="2" s="1"/>
  <c r="M24" i="2"/>
  <c r="M123" i="2" s="1"/>
  <c r="N24" i="2"/>
  <c r="N52" i="2" s="1"/>
  <c r="O24" i="2"/>
  <c r="O52" i="2" s="1"/>
  <c r="P24" i="2"/>
  <c r="P52" i="2" s="1"/>
  <c r="Q24" i="2"/>
  <c r="Q52" i="2" s="1"/>
  <c r="R24" i="2"/>
  <c r="R52" i="2" s="1"/>
  <c r="S24" i="2"/>
  <c r="S123" i="2" s="1"/>
  <c r="T24" i="2"/>
  <c r="T52" i="2" s="1"/>
  <c r="U24" i="2"/>
  <c r="U52" i="2" s="1"/>
  <c r="V24" i="2"/>
  <c r="V52" i="2" s="1"/>
  <c r="W24" i="2"/>
  <c r="W52" i="2" s="1"/>
  <c r="X24" i="2"/>
  <c r="X123" i="2" s="1"/>
  <c r="Y24" i="2"/>
  <c r="Y80" i="2" s="1"/>
  <c r="Z24" i="2"/>
  <c r="Z52" i="2" s="1"/>
  <c r="AA24" i="2"/>
  <c r="AA80" i="2" s="1"/>
  <c r="AB24" i="2"/>
  <c r="AB52" i="2" s="1"/>
  <c r="AC24" i="2"/>
  <c r="AC52" i="2" s="1"/>
  <c r="AD24" i="2"/>
  <c r="AD52" i="2" s="1"/>
  <c r="AE24" i="2"/>
  <c r="AE123" i="2" s="1"/>
  <c r="AF24" i="2"/>
  <c r="AF52" i="2" s="1"/>
  <c r="AG24" i="2"/>
  <c r="AG52" i="2" s="1"/>
  <c r="AH24" i="2"/>
  <c r="AH52" i="2" s="1"/>
  <c r="AI24" i="2"/>
  <c r="AI52" i="2" s="1"/>
  <c r="AJ24" i="2"/>
  <c r="AJ80" i="2" s="1"/>
  <c r="AK24" i="2"/>
  <c r="AK52" i="2" s="1"/>
  <c r="I25" i="2"/>
  <c r="J25" i="2"/>
  <c r="K25" i="2"/>
  <c r="L25" i="2"/>
  <c r="M25" i="2"/>
  <c r="N25" i="2"/>
  <c r="O25" i="2"/>
  <c r="P25" i="2"/>
  <c r="Q25" i="2"/>
  <c r="R25" i="2"/>
  <c r="S25" i="2"/>
  <c r="T25" i="2"/>
  <c r="U25" i="2"/>
  <c r="V25" i="2"/>
  <c r="W25" i="2"/>
  <c r="X25" i="2"/>
  <c r="Y25" i="2"/>
  <c r="Z25" i="2"/>
  <c r="AA25" i="2"/>
  <c r="AB25" i="2"/>
  <c r="AC25" i="2"/>
  <c r="AD25" i="2"/>
  <c r="AE25" i="2"/>
  <c r="AF25" i="2"/>
  <c r="AG25" i="2"/>
  <c r="AH25" i="2"/>
  <c r="AI25" i="2"/>
  <c r="AJ25" i="2"/>
  <c r="AK25" i="2"/>
  <c r="I28" i="2"/>
  <c r="J28" i="2"/>
  <c r="K28" i="2"/>
  <c r="L28" i="2"/>
  <c r="M28" i="2"/>
  <c r="N28" i="2"/>
  <c r="O28" i="2"/>
  <c r="P28" i="2"/>
  <c r="Q28" i="2"/>
  <c r="R28" i="2"/>
  <c r="S28" i="2"/>
  <c r="T28" i="2"/>
  <c r="U28" i="2"/>
  <c r="V28" i="2"/>
  <c r="W28" i="2"/>
  <c r="X28" i="2"/>
  <c r="Y28" i="2"/>
  <c r="Z28" i="2"/>
  <c r="AA28" i="2"/>
  <c r="AB28" i="2"/>
  <c r="AC28" i="2"/>
  <c r="AD28" i="2"/>
  <c r="AE28" i="2"/>
  <c r="AF28" i="2"/>
  <c r="AG28" i="2"/>
  <c r="AH28" i="2"/>
  <c r="AI28" i="2"/>
  <c r="AJ28" i="2"/>
  <c r="AK28" i="2"/>
  <c r="I29" i="2"/>
  <c r="J29" i="2"/>
  <c r="K29" i="2"/>
  <c r="L29" i="2"/>
  <c r="M29" i="2"/>
  <c r="N29" i="2"/>
  <c r="O29" i="2"/>
  <c r="P29" i="2"/>
  <c r="Q29" i="2"/>
  <c r="R29" i="2"/>
  <c r="S29" i="2"/>
  <c r="T29" i="2"/>
  <c r="U29" i="2"/>
  <c r="V29" i="2"/>
  <c r="W29" i="2"/>
  <c r="X29" i="2"/>
  <c r="Y29" i="2"/>
  <c r="Z29" i="2"/>
  <c r="AA29" i="2"/>
  <c r="AB29" i="2"/>
  <c r="AC29" i="2"/>
  <c r="AD29" i="2"/>
  <c r="AE29" i="2"/>
  <c r="AF29" i="2"/>
  <c r="AG29" i="2"/>
  <c r="AH29" i="2"/>
  <c r="AI29" i="2"/>
  <c r="AJ29" i="2"/>
  <c r="AK29" i="2"/>
  <c r="I30" i="2"/>
  <c r="J30" i="2"/>
  <c r="K30" i="2"/>
  <c r="L30" i="2"/>
  <c r="M30" i="2"/>
  <c r="N30" i="2"/>
  <c r="O30" i="2"/>
  <c r="P30" i="2"/>
  <c r="Q30" i="2"/>
  <c r="R30" i="2"/>
  <c r="S30" i="2"/>
  <c r="T30" i="2"/>
  <c r="U30" i="2"/>
  <c r="V30" i="2"/>
  <c r="W30" i="2"/>
  <c r="X30" i="2"/>
  <c r="Y30" i="2"/>
  <c r="Z30" i="2"/>
  <c r="AA30" i="2"/>
  <c r="AB30" i="2"/>
  <c r="AC30" i="2"/>
  <c r="AD30" i="2"/>
  <c r="AE30" i="2"/>
  <c r="AF30" i="2"/>
  <c r="AG30" i="2"/>
  <c r="AH30" i="2"/>
  <c r="AI30" i="2"/>
  <c r="AJ30" i="2"/>
  <c r="AK30" i="2"/>
  <c r="I31" i="2"/>
  <c r="J31" i="2"/>
  <c r="K31" i="2"/>
  <c r="L31" i="2"/>
  <c r="M31" i="2"/>
  <c r="N31" i="2"/>
  <c r="O31" i="2"/>
  <c r="P31" i="2"/>
  <c r="Q31" i="2"/>
  <c r="R31" i="2"/>
  <c r="S31" i="2"/>
  <c r="T31" i="2"/>
  <c r="U31" i="2"/>
  <c r="V31" i="2"/>
  <c r="W31" i="2"/>
  <c r="X31" i="2"/>
  <c r="Y31" i="2"/>
  <c r="Z31" i="2"/>
  <c r="AA31" i="2"/>
  <c r="AB31" i="2"/>
  <c r="AC31" i="2"/>
  <c r="AD31" i="2"/>
  <c r="AE31" i="2"/>
  <c r="AF31" i="2"/>
  <c r="AG31" i="2"/>
  <c r="AH31" i="2"/>
  <c r="AI31" i="2"/>
  <c r="AJ31" i="2"/>
  <c r="AK31" i="2"/>
  <c r="I38" i="2"/>
  <c r="I39" i="2" s="1"/>
  <c r="I40" i="2" s="1"/>
  <c r="I41" i="2" s="1"/>
  <c r="J38" i="2"/>
  <c r="J39" i="2" s="1"/>
  <c r="J40" i="2" s="1"/>
  <c r="J41" i="2" s="1"/>
  <c r="K38" i="2"/>
  <c r="L38" i="2"/>
  <c r="L39" i="2" s="1"/>
  <c r="L40" i="2" s="1"/>
  <c r="L41" i="2" s="1"/>
  <c r="M38" i="2"/>
  <c r="M39" i="2" s="1"/>
  <c r="M40" i="2" s="1"/>
  <c r="M41" i="2" s="1"/>
  <c r="N38" i="2"/>
  <c r="N39" i="2" s="1"/>
  <c r="N40" i="2" s="1"/>
  <c r="N41" i="2" s="1"/>
  <c r="O38" i="2"/>
  <c r="P38" i="2"/>
  <c r="P39" i="2" s="1"/>
  <c r="P40" i="2" s="1"/>
  <c r="P41" i="2" s="1"/>
  <c r="Q38" i="2"/>
  <c r="Q43" i="2" s="1"/>
  <c r="Q44" i="2" s="1"/>
  <c r="Q45" i="2" s="1"/>
  <c r="R38" i="2"/>
  <c r="R39" i="2" s="1"/>
  <c r="R40" i="2" s="1"/>
  <c r="R41" i="2" s="1"/>
  <c r="S38" i="2"/>
  <c r="T38" i="2"/>
  <c r="T39" i="2" s="1"/>
  <c r="T40" i="2" s="1"/>
  <c r="T41" i="2" s="1"/>
  <c r="U38" i="2"/>
  <c r="U43" i="2" s="1"/>
  <c r="U44" i="2" s="1"/>
  <c r="U45" i="2" s="1"/>
  <c r="V38" i="2"/>
  <c r="V39" i="2" s="1"/>
  <c r="V40" i="2" s="1"/>
  <c r="V41" i="2" s="1"/>
  <c r="W38" i="2"/>
  <c r="X38" i="2"/>
  <c r="X39" i="2" s="1"/>
  <c r="X40" i="2" s="1"/>
  <c r="X41" i="2" s="1"/>
  <c r="Y38" i="2"/>
  <c r="Y39" i="2" s="1"/>
  <c r="Y40" i="2" s="1"/>
  <c r="Y41" i="2" s="1"/>
  <c r="Z38" i="2"/>
  <c r="Z39" i="2" s="1"/>
  <c r="Z40" i="2" s="1"/>
  <c r="Z41" i="2" s="1"/>
  <c r="AA38" i="2"/>
  <c r="AB38" i="2"/>
  <c r="AB39" i="2" s="1"/>
  <c r="AB40" i="2" s="1"/>
  <c r="AB41" i="2" s="1"/>
  <c r="AC38" i="2"/>
  <c r="AC39" i="2" s="1"/>
  <c r="AC40" i="2" s="1"/>
  <c r="AC41" i="2" s="1"/>
  <c r="AD38" i="2"/>
  <c r="AD43" i="2" s="1"/>
  <c r="AD44" i="2" s="1"/>
  <c r="AD45" i="2" s="1"/>
  <c r="AE38" i="2"/>
  <c r="AF38" i="2"/>
  <c r="AF39" i="2" s="1"/>
  <c r="AF40" i="2" s="1"/>
  <c r="AF41" i="2" s="1"/>
  <c r="AG38" i="2"/>
  <c r="AG43" i="2" s="1"/>
  <c r="AG44" i="2" s="1"/>
  <c r="AG45" i="2" s="1"/>
  <c r="AH38" i="2"/>
  <c r="AH39" i="2" s="1"/>
  <c r="AH40" i="2" s="1"/>
  <c r="AH41" i="2" s="1"/>
  <c r="AI38" i="2"/>
  <c r="AJ38" i="2"/>
  <c r="AJ39" i="2" s="1"/>
  <c r="AJ40" i="2" s="1"/>
  <c r="AJ41" i="2" s="1"/>
  <c r="AK38" i="2"/>
  <c r="AK39" i="2" s="1"/>
  <c r="AK40" i="2" s="1"/>
  <c r="AK41" i="2" s="1"/>
  <c r="AD39" i="2"/>
  <c r="AD40" i="2" s="1"/>
  <c r="AD41" i="2" s="1"/>
  <c r="I42" i="2"/>
  <c r="J42" i="2"/>
  <c r="K42" i="2"/>
  <c r="L42" i="2"/>
  <c r="M42" i="2"/>
  <c r="N42" i="2"/>
  <c r="O42" i="2"/>
  <c r="P42" i="2"/>
  <c r="Q42" i="2"/>
  <c r="R42" i="2"/>
  <c r="S42" i="2"/>
  <c r="T42" i="2"/>
  <c r="U42" i="2"/>
  <c r="V42" i="2"/>
  <c r="W42" i="2"/>
  <c r="X42" i="2"/>
  <c r="Y42" i="2"/>
  <c r="Z42" i="2"/>
  <c r="AA42" i="2"/>
  <c r="AB42" i="2"/>
  <c r="AC42" i="2"/>
  <c r="AD42" i="2"/>
  <c r="AE42" i="2"/>
  <c r="AF42" i="2"/>
  <c r="AG42" i="2"/>
  <c r="AH42" i="2"/>
  <c r="AI42" i="2"/>
  <c r="AJ42" i="2"/>
  <c r="AK42" i="2"/>
  <c r="I48" i="2"/>
  <c r="J48" i="2"/>
  <c r="K48" i="2"/>
  <c r="L48" i="2"/>
  <c r="M48" i="2"/>
  <c r="N48" i="2"/>
  <c r="O48" i="2"/>
  <c r="P48" i="2"/>
  <c r="Q48" i="2"/>
  <c r="R48" i="2"/>
  <c r="S48" i="2"/>
  <c r="T48" i="2"/>
  <c r="U48" i="2"/>
  <c r="V48" i="2"/>
  <c r="W48" i="2"/>
  <c r="X48" i="2"/>
  <c r="Y48" i="2"/>
  <c r="Z48" i="2"/>
  <c r="AA48" i="2"/>
  <c r="AB48" i="2"/>
  <c r="AC48" i="2"/>
  <c r="AD48" i="2"/>
  <c r="AE48" i="2"/>
  <c r="AF48" i="2"/>
  <c r="AG48" i="2"/>
  <c r="AH48" i="2"/>
  <c r="AI48" i="2"/>
  <c r="AJ48" i="2"/>
  <c r="AK48" i="2"/>
  <c r="I50" i="2"/>
  <c r="J50" i="2"/>
  <c r="K50" i="2"/>
  <c r="L50" i="2"/>
  <c r="M50" i="2"/>
  <c r="N50" i="2"/>
  <c r="O50" i="2"/>
  <c r="P50" i="2"/>
  <c r="Q50" i="2"/>
  <c r="R50" i="2"/>
  <c r="S50" i="2"/>
  <c r="T50" i="2"/>
  <c r="U50" i="2"/>
  <c r="V50" i="2"/>
  <c r="W50" i="2"/>
  <c r="X50" i="2"/>
  <c r="Y50" i="2"/>
  <c r="Z50" i="2"/>
  <c r="AA50" i="2"/>
  <c r="AB50" i="2"/>
  <c r="AC50" i="2"/>
  <c r="AD50" i="2"/>
  <c r="AE50" i="2"/>
  <c r="AF50" i="2"/>
  <c r="AG50" i="2"/>
  <c r="AH50" i="2"/>
  <c r="AI50" i="2"/>
  <c r="AJ50" i="2"/>
  <c r="AK50" i="2"/>
  <c r="I79" i="2"/>
  <c r="J79" i="2"/>
  <c r="K79" i="2"/>
  <c r="L79" i="2"/>
  <c r="M79" i="2"/>
  <c r="N79" i="2"/>
  <c r="O79" i="2"/>
  <c r="P79" i="2"/>
  <c r="Q79" i="2"/>
  <c r="R79" i="2"/>
  <c r="S79" i="2"/>
  <c r="T79" i="2"/>
  <c r="U79" i="2"/>
  <c r="V79" i="2"/>
  <c r="W79" i="2"/>
  <c r="X79" i="2"/>
  <c r="Y79" i="2"/>
  <c r="Z79" i="2"/>
  <c r="AA79" i="2"/>
  <c r="AB79" i="2"/>
  <c r="AC79" i="2"/>
  <c r="AD79" i="2"/>
  <c r="AE79" i="2"/>
  <c r="AF79" i="2"/>
  <c r="AG79" i="2"/>
  <c r="AH79" i="2"/>
  <c r="AI79" i="2"/>
  <c r="AJ79" i="2"/>
  <c r="AK79" i="2"/>
  <c r="U80" i="2"/>
  <c r="AC80" i="2"/>
  <c r="I98" i="2"/>
  <c r="J98" i="2"/>
  <c r="K98" i="2"/>
  <c r="L98" i="2"/>
  <c r="M98" i="2"/>
  <c r="N98" i="2"/>
  <c r="O98" i="2"/>
  <c r="P98" i="2"/>
  <c r="Q98" i="2"/>
  <c r="R98" i="2"/>
  <c r="S98" i="2"/>
  <c r="T98" i="2"/>
  <c r="U98" i="2"/>
  <c r="V98" i="2"/>
  <c r="W98" i="2"/>
  <c r="X98" i="2"/>
  <c r="Y98" i="2"/>
  <c r="Z98" i="2"/>
  <c r="AA98" i="2"/>
  <c r="AB98" i="2"/>
  <c r="AC98" i="2"/>
  <c r="AD98" i="2"/>
  <c r="AE98" i="2"/>
  <c r="AF98" i="2"/>
  <c r="AG98" i="2"/>
  <c r="AH98" i="2"/>
  <c r="AI98" i="2"/>
  <c r="AJ98" i="2"/>
  <c r="AK98" i="2"/>
  <c r="I101" i="2"/>
  <c r="J101" i="2"/>
  <c r="K101" i="2"/>
  <c r="L101" i="2"/>
  <c r="M101" i="2"/>
  <c r="N101" i="2"/>
  <c r="O101" i="2"/>
  <c r="P101" i="2"/>
  <c r="Q101" i="2"/>
  <c r="R101" i="2"/>
  <c r="S101" i="2"/>
  <c r="T101" i="2"/>
  <c r="U101" i="2"/>
  <c r="V101" i="2"/>
  <c r="W101" i="2"/>
  <c r="X101" i="2"/>
  <c r="Y101" i="2"/>
  <c r="Z101" i="2"/>
  <c r="AA101" i="2"/>
  <c r="AB101" i="2"/>
  <c r="AC101" i="2"/>
  <c r="AD101" i="2"/>
  <c r="AE101" i="2"/>
  <c r="AF101" i="2"/>
  <c r="AG101" i="2"/>
  <c r="AH101" i="2"/>
  <c r="AI101" i="2"/>
  <c r="AJ101" i="2"/>
  <c r="AK101" i="2"/>
  <c r="L112" i="2"/>
  <c r="L121" i="2" s="1"/>
  <c r="X112" i="2"/>
  <c r="AJ112" i="2"/>
  <c r="I126" i="2"/>
  <c r="J126" i="2"/>
  <c r="K126" i="2"/>
  <c r="L126" i="2"/>
  <c r="M126" i="2"/>
  <c r="N126" i="2"/>
  <c r="O126" i="2"/>
  <c r="P126" i="2"/>
  <c r="Q126" i="2"/>
  <c r="R126" i="2"/>
  <c r="S126" i="2"/>
  <c r="T126" i="2"/>
  <c r="U126" i="2"/>
  <c r="V126" i="2"/>
  <c r="W126" i="2"/>
  <c r="X126" i="2"/>
  <c r="Y126" i="2"/>
  <c r="Z126" i="2"/>
  <c r="AA126" i="2"/>
  <c r="AB126" i="2"/>
  <c r="AC126" i="2"/>
  <c r="AD126" i="2"/>
  <c r="AE126" i="2"/>
  <c r="AF126" i="2"/>
  <c r="AG126" i="2"/>
  <c r="AH126" i="2"/>
  <c r="AI126" i="2"/>
  <c r="AJ126" i="2"/>
  <c r="AK126" i="2"/>
  <c r="I128" i="2"/>
  <c r="J128" i="2"/>
  <c r="K128" i="2"/>
  <c r="L128" i="2"/>
  <c r="M128" i="2"/>
  <c r="N128" i="2"/>
  <c r="O128" i="2"/>
  <c r="P128" i="2"/>
  <c r="Q128" i="2"/>
  <c r="R128" i="2"/>
  <c r="S128" i="2"/>
  <c r="T128" i="2"/>
  <c r="U128" i="2"/>
  <c r="V128" i="2"/>
  <c r="W128" i="2"/>
  <c r="X128" i="2"/>
  <c r="Y128" i="2"/>
  <c r="Z128" i="2"/>
  <c r="AA128" i="2"/>
  <c r="AB128" i="2"/>
  <c r="AC128" i="2"/>
  <c r="AD128" i="2"/>
  <c r="AE128" i="2"/>
  <c r="AF128" i="2"/>
  <c r="AG128" i="2"/>
  <c r="AH128" i="2"/>
  <c r="AI128" i="2"/>
  <c r="AJ128" i="2"/>
  <c r="AK128" i="2"/>
  <c r="I131" i="2"/>
  <c r="J131" i="2"/>
  <c r="K131" i="2"/>
  <c r="L131" i="2"/>
  <c r="M131" i="2"/>
  <c r="N131" i="2"/>
  <c r="O131" i="2"/>
  <c r="P131" i="2"/>
  <c r="Q131" i="2"/>
  <c r="R131" i="2"/>
  <c r="S131" i="2"/>
  <c r="T131" i="2"/>
  <c r="U131" i="2"/>
  <c r="V131" i="2"/>
  <c r="W131" i="2"/>
  <c r="X131" i="2"/>
  <c r="Y131" i="2"/>
  <c r="Z131" i="2"/>
  <c r="AA131" i="2"/>
  <c r="AB131" i="2"/>
  <c r="AC131" i="2"/>
  <c r="AD131" i="2"/>
  <c r="AE131" i="2"/>
  <c r="AF131" i="2"/>
  <c r="AG131" i="2"/>
  <c r="AH131" i="2"/>
  <c r="AI131" i="2"/>
  <c r="AJ131" i="2"/>
  <c r="AK131" i="2"/>
  <c r="I159" i="2"/>
  <c r="J159" i="2"/>
  <c r="K159" i="2"/>
  <c r="L159" i="2"/>
  <c r="L160" i="2" s="1"/>
  <c r="M159" i="2"/>
  <c r="N159" i="2"/>
  <c r="O159" i="2"/>
  <c r="P159" i="2"/>
  <c r="P160" i="2" s="1"/>
  <c r="Q159" i="2"/>
  <c r="R159" i="2"/>
  <c r="S159" i="2"/>
  <c r="T159" i="2"/>
  <c r="T160" i="2" s="1"/>
  <c r="U159" i="2"/>
  <c r="V159" i="2"/>
  <c r="W159" i="2"/>
  <c r="X159" i="2"/>
  <c r="X160" i="2" s="1"/>
  <c r="Y159" i="2"/>
  <c r="Z159" i="2"/>
  <c r="AA159" i="2"/>
  <c r="AB159" i="2"/>
  <c r="AB160" i="2" s="1"/>
  <c r="AC159" i="2"/>
  <c r="AD159" i="2"/>
  <c r="AE159" i="2"/>
  <c r="AF159" i="2"/>
  <c r="AF160" i="2" s="1"/>
  <c r="AG159" i="2"/>
  <c r="AH159" i="2"/>
  <c r="AI159" i="2"/>
  <c r="AJ159" i="2"/>
  <c r="AJ160" i="2" s="1"/>
  <c r="AK159" i="2"/>
  <c r="I161" i="2"/>
  <c r="J161" i="2"/>
  <c r="K161" i="2"/>
  <c r="L161" i="2"/>
  <c r="M161" i="2"/>
  <c r="N161" i="2"/>
  <c r="O161" i="2"/>
  <c r="P161" i="2"/>
  <c r="Q161" i="2"/>
  <c r="R161" i="2"/>
  <c r="S161" i="2"/>
  <c r="T161" i="2"/>
  <c r="U161" i="2"/>
  <c r="V161" i="2"/>
  <c r="W161" i="2"/>
  <c r="X161" i="2"/>
  <c r="Y161" i="2"/>
  <c r="Z161" i="2"/>
  <c r="AA161" i="2"/>
  <c r="AB161" i="2"/>
  <c r="AC161" i="2"/>
  <c r="AD161" i="2"/>
  <c r="AE161" i="2"/>
  <c r="AF161" i="2"/>
  <c r="AG161" i="2"/>
  <c r="AH161" i="2"/>
  <c r="AI161" i="2"/>
  <c r="AJ161" i="2"/>
  <c r="AK161" i="2"/>
  <c r="I164" i="2"/>
  <c r="J164" i="2"/>
  <c r="K164" i="2"/>
  <c r="L164" i="2"/>
  <c r="M164" i="2"/>
  <c r="N164" i="2"/>
  <c r="O164" i="2"/>
  <c r="P164" i="2"/>
  <c r="Q164" i="2"/>
  <c r="R164" i="2"/>
  <c r="S164" i="2"/>
  <c r="T164" i="2"/>
  <c r="U164" i="2"/>
  <c r="V164" i="2"/>
  <c r="W164" i="2"/>
  <c r="X164" i="2"/>
  <c r="Y164" i="2"/>
  <c r="Z164" i="2"/>
  <c r="AA164" i="2"/>
  <c r="AB164" i="2"/>
  <c r="AC164" i="2"/>
  <c r="AD164" i="2"/>
  <c r="AE164" i="2"/>
  <c r="AF164" i="2"/>
  <c r="AG164" i="2"/>
  <c r="AH164" i="2"/>
  <c r="AI164" i="2"/>
  <c r="AJ164" i="2"/>
  <c r="AK164" i="2"/>
  <c r="P175" i="2"/>
  <c r="AB175" i="2"/>
  <c r="I188" i="2"/>
  <c r="J188" i="2"/>
  <c r="K188" i="2"/>
  <c r="L188" i="2"/>
  <c r="M188" i="2"/>
  <c r="N188" i="2"/>
  <c r="O188" i="2"/>
  <c r="P188" i="2"/>
  <c r="Q188" i="2"/>
  <c r="R188" i="2"/>
  <c r="S188" i="2"/>
  <c r="T188" i="2"/>
  <c r="U188" i="2"/>
  <c r="V188" i="2"/>
  <c r="W188" i="2"/>
  <c r="X188" i="2"/>
  <c r="Y188" i="2"/>
  <c r="Z188" i="2"/>
  <c r="AA188" i="2"/>
  <c r="AB188" i="2"/>
  <c r="AC188" i="2"/>
  <c r="AD188" i="2"/>
  <c r="AE188" i="2"/>
  <c r="AF188" i="2"/>
  <c r="AG188" i="2"/>
  <c r="AH188" i="2"/>
  <c r="AI188" i="2"/>
  <c r="AJ188" i="2"/>
  <c r="AK188" i="2"/>
  <c r="I190" i="2"/>
  <c r="J190" i="2"/>
  <c r="K190" i="2"/>
  <c r="L190" i="2"/>
  <c r="M190" i="2"/>
  <c r="N190" i="2"/>
  <c r="O190" i="2"/>
  <c r="P190" i="2"/>
  <c r="Q190" i="2"/>
  <c r="R190" i="2"/>
  <c r="S190" i="2"/>
  <c r="T190" i="2"/>
  <c r="U190" i="2"/>
  <c r="V190" i="2"/>
  <c r="W190" i="2"/>
  <c r="X190" i="2"/>
  <c r="Y190" i="2"/>
  <c r="Z190" i="2"/>
  <c r="AA190" i="2"/>
  <c r="AB190" i="2"/>
  <c r="AC190" i="2"/>
  <c r="AD190" i="2"/>
  <c r="AE190" i="2"/>
  <c r="AF190" i="2"/>
  <c r="AG190" i="2"/>
  <c r="AH190" i="2"/>
  <c r="AI190" i="2"/>
  <c r="AJ190" i="2"/>
  <c r="AK190" i="2"/>
  <c r="I193" i="2"/>
  <c r="J193" i="2"/>
  <c r="K193" i="2"/>
  <c r="L193" i="2"/>
  <c r="M193" i="2"/>
  <c r="N193" i="2"/>
  <c r="O193" i="2"/>
  <c r="P193" i="2"/>
  <c r="Q193" i="2"/>
  <c r="R193" i="2"/>
  <c r="S193" i="2"/>
  <c r="T193" i="2"/>
  <c r="U193" i="2"/>
  <c r="V193" i="2"/>
  <c r="W193" i="2"/>
  <c r="X193" i="2"/>
  <c r="Y193" i="2"/>
  <c r="Z193" i="2"/>
  <c r="AA193" i="2"/>
  <c r="AB193" i="2"/>
  <c r="AC193" i="2"/>
  <c r="AD193" i="2"/>
  <c r="AE193" i="2"/>
  <c r="AF193" i="2"/>
  <c r="AG193" i="2"/>
  <c r="AH193" i="2"/>
  <c r="AI193" i="2"/>
  <c r="AJ193" i="2"/>
  <c r="AK193" i="2"/>
  <c r="H159" i="2"/>
  <c r="H126" i="2"/>
  <c r="H48" i="2"/>
  <c r="H28" i="2"/>
  <c r="H29" i="2"/>
  <c r="C39" i="2"/>
  <c r="H38" i="2"/>
  <c r="H79" i="2"/>
  <c r="H50" i="2"/>
  <c r="H23" i="2"/>
  <c r="H31" i="2"/>
  <c r="H82" i="2"/>
  <c r="H144" i="2"/>
  <c r="H54" i="2"/>
  <c r="H193" i="2"/>
  <c r="H190" i="2"/>
  <c r="H164" i="2"/>
  <c r="H161" i="2"/>
  <c r="H128" i="2"/>
  <c r="H101" i="2"/>
  <c r="H131" i="2"/>
  <c r="H98" i="2"/>
  <c r="AJ189" i="2" l="1"/>
  <c r="AF189" i="2"/>
  <c r="AF194" i="2" s="1"/>
  <c r="AF195" i="2" s="1"/>
  <c r="X189" i="2"/>
  <c r="X191" i="2" s="1"/>
  <c r="X192" i="2" s="1"/>
  <c r="T189" i="2"/>
  <c r="T194" i="2" s="1"/>
  <c r="T195" i="2" s="1"/>
  <c r="P189" i="2"/>
  <c r="L189" i="2"/>
  <c r="L194" i="2" s="1"/>
  <c r="L195" i="2" s="1"/>
  <c r="AG123" i="2"/>
  <c r="AJ127" i="2"/>
  <c r="AJ129" i="2" s="1"/>
  <c r="AJ130" i="2" s="1"/>
  <c r="AF127" i="2"/>
  <c r="AB127" i="2"/>
  <c r="AB132" i="2" s="1"/>
  <c r="AB133" i="2" s="1"/>
  <c r="T127" i="2"/>
  <c r="T132" i="2" s="1"/>
  <c r="T133" i="2" s="1"/>
  <c r="P127" i="2"/>
  <c r="P132" i="2" s="1"/>
  <c r="P133" i="2" s="1"/>
  <c r="L127" i="2"/>
  <c r="N112" i="2"/>
  <c r="T112" i="2"/>
  <c r="T121" i="2" s="1"/>
  <c r="AJ51" i="2"/>
  <c r="AI123" i="2"/>
  <c r="S52" i="2"/>
  <c r="P176" i="2"/>
  <c r="P180" i="2" s="1"/>
  <c r="P181" i="2" s="1"/>
  <c r="P182" i="2" s="1"/>
  <c r="M80" i="2"/>
  <c r="Q123" i="2"/>
  <c r="AK80" i="2"/>
  <c r="X52" i="2"/>
  <c r="AH97" i="2"/>
  <c r="AH99" i="2" s="1"/>
  <c r="AH100" i="2" s="1"/>
  <c r="AD97" i="2"/>
  <c r="AD99" i="2" s="1"/>
  <c r="AD100" i="2" s="1"/>
  <c r="Z97" i="2"/>
  <c r="Z99" i="2" s="1"/>
  <c r="Z100" i="2" s="1"/>
  <c r="V97" i="2"/>
  <c r="V102" i="2" s="1"/>
  <c r="V103" i="2" s="1"/>
  <c r="N97" i="2"/>
  <c r="N99" i="2" s="1"/>
  <c r="N100" i="2" s="1"/>
  <c r="J97" i="2"/>
  <c r="J102" i="2" s="1"/>
  <c r="J103" i="2" s="1"/>
  <c r="T80" i="2"/>
  <c r="L123" i="2"/>
  <c r="L52" i="2"/>
  <c r="W123" i="2"/>
  <c r="AA52" i="2"/>
  <c r="AH175" i="2"/>
  <c r="AH176" i="2" s="1"/>
  <c r="Z51" i="2"/>
  <c r="AI97" i="2"/>
  <c r="AI102" i="2" s="1"/>
  <c r="AI103" i="2" s="1"/>
  <c r="AE97" i="2"/>
  <c r="AE99" i="2" s="1"/>
  <c r="AE100" i="2" s="1"/>
  <c r="K127" i="2"/>
  <c r="K132" i="2" s="1"/>
  <c r="K133" i="2" s="1"/>
  <c r="AI160" i="2"/>
  <c r="AI165" i="2" s="1"/>
  <c r="AI166" i="2" s="1"/>
  <c r="AA160" i="2"/>
  <c r="AA165" i="2" s="1"/>
  <c r="AA166" i="2" s="1"/>
  <c r="W160" i="2"/>
  <c r="W165" i="2" s="1"/>
  <c r="W166" i="2" s="1"/>
  <c r="S160" i="2"/>
  <c r="S165" i="2" s="1"/>
  <c r="S166" i="2" s="1"/>
  <c r="O160" i="2"/>
  <c r="O165" i="2" s="1"/>
  <c r="O166" i="2" s="1"/>
  <c r="K160" i="2"/>
  <c r="K165" i="2" s="1"/>
  <c r="K166" i="2" s="1"/>
  <c r="O176" i="2"/>
  <c r="O180" i="2" s="1"/>
  <c r="O181" i="2" s="1"/>
  <c r="O182" i="2" s="1"/>
  <c r="AF123" i="2"/>
  <c r="T123" i="2"/>
  <c r="AB80" i="2"/>
  <c r="P80" i="2"/>
  <c r="AJ52" i="2"/>
  <c r="AA175" i="2"/>
  <c r="AA184" i="2" s="1"/>
  <c r="AJ123" i="2"/>
  <c r="AB123" i="2"/>
  <c r="X80" i="2"/>
  <c r="AA51" i="2"/>
  <c r="J43" i="2"/>
  <c r="J44" i="2" s="1"/>
  <c r="J45" i="2" s="1"/>
  <c r="J46" i="2" s="1"/>
  <c r="W175" i="2"/>
  <c r="W176" i="2" s="1"/>
  <c r="W177" i="2" s="1"/>
  <c r="W178" i="2" s="1"/>
  <c r="W179" i="2" s="1"/>
  <c r="P123" i="2"/>
  <c r="AF80" i="2"/>
  <c r="AA127" i="2"/>
  <c r="AA129" i="2" s="1"/>
  <c r="AA130" i="2" s="1"/>
  <c r="O127" i="2"/>
  <c r="O132" i="2" s="1"/>
  <c r="O133" i="2" s="1"/>
  <c r="AI189" i="2"/>
  <c r="AI191" i="2" s="1"/>
  <c r="AI192" i="2" s="1"/>
  <c r="AE189" i="2"/>
  <c r="AE194" i="2" s="1"/>
  <c r="AE195" i="2" s="1"/>
  <c r="AA189" i="2"/>
  <c r="AA194" i="2" s="1"/>
  <c r="AA195" i="2" s="1"/>
  <c r="W189" i="2"/>
  <c r="W194" i="2" s="1"/>
  <c r="W195" i="2" s="1"/>
  <c r="S189" i="2"/>
  <c r="S191" i="2" s="1"/>
  <c r="S192" i="2" s="1"/>
  <c r="O189" i="2"/>
  <c r="O194" i="2" s="1"/>
  <c r="O195" i="2" s="1"/>
  <c r="K189" i="2"/>
  <c r="K194" i="2" s="1"/>
  <c r="K195" i="2" s="1"/>
  <c r="AB176" i="2"/>
  <c r="AB180" i="2" s="1"/>
  <c r="AB181" i="2" s="1"/>
  <c r="AB182" i="2" s="1"/>
  <c r="AE160" i="2"/>
  <c r="AE165" i="2" s="1"/>
  <c r="AE166" i="2" s="1"/>
  <c r="AI127" i="2"/>
  <c r="AI129" i="2" s="1"/>
  <c r="AI130" i="2" s="1"/>
  <c r="AJ113" i="2"/>
  <c r="AJ117" i="2" s="1"/>
  <c r="AJ118" i="2" s="1"/>
  <c r="AJ119" i="2" s="1"/>
  <c r="AE127" i="2"/>
  <c r="AE132" i="2" s="1"/>
  <c r="AE133" i="2" s="1"/>
  <c r="W127" i="2"/>
  <c r="W129" i="2" s="1"/>
  <c r="W130" i="2" s="1"/>
  <c r="S127" i="2"/>
  <c r="S129" i="2" s="1"/>
  <c r="S130" i="2" s="1"/>
  <c r="X43" i="2"/>
  <c r="X44" i="2" s="1"/>
  <c r="X45" i="2" s="1"/>
  <c r="X46" i="2" s="1"/>
  <c r="V43" i="2"/>
  <c r="V44" i="2" s="1"/>
  <c r="V45" i="2" s="1"/>
  <c r="V46" i="2" s="1"/>
  <c r="AG39" i="2"/>
  <c r="AG40" i="2" s="1"/>
  <c r="AG41" i="2" s="1"/>
  <c r="AG46" i="2" s="1"/>
  <c r="AJ176" i="2"/>
  <c r="AJ180" i="2" s="1"/>
  <c r="AJ181" i="2" s="1"/>
  <c r="AJ182" i="2" s="1"/>
  <c r="Y176" i="2"/>
  <c r="Y177" i="2" s="1"/>
  <c r="Y178" i="2" s="1"/>
  <c r="Y179" i="2" s="1"/>
  <c r="Y184" i="2"/>
  <c r="U184" i="2"/>
  <c r="U176" i="2"/>
  <c r="U177" i="2" s="1"/>
  <c r="U178" i="2" s="1"/>
  <c r="U179" i="2" s="1"/>
  <c r="AG175" i="2"/>
  <c r="AG184" i="2" s="1"/>
  <c r="AK175" i="2"/>
  <c r="AK184" i="2" s="1"/>
  <c r="AF175" i="2"/>
  <c r="AF176" i="2" s="1"/>
  <c r="AF180" i="2" s="1"/>
  <c r="AF181" i="2" s="1"/>
  <c r="AF182" i="2" s="1"/>
  <c r="T175" i="2"/>
  <c r="T176" i="2" s="1"/>
  <c r="T180" i="2" s="1"/>
  <c r="T181" i="2" s="1"/>
  <c r="T182" i="2" s="1"/>
  <c r="M175" i="2"/>
  <c r="M184" i="2" s="1"/>
  <c r="AK123" i="2"/>
  <c r="AF112" i="2"/>
  <c r="AF121" i="2" s="1"/>
  <c r="M52" i="2"/>
  <c r="AJ97" i="2"/>
  <c r="AJ102" i="2" s="1"/>
  <c r="AJ103" i="2" s="1"/>
  <c r="AF97" i="2"/>
  <c r="AF102" i="2" s="1"/>
  <c r="AF103" i="2" s="1"/>
  <c r="AB97" i="2"/>
  <c r="AB102" i="2" s="1"/>
  <c r="AB103" i="2" s="1"/>
  <c r="X97" i="2"/>
  <c r="X102" i="2" s="1"/>
  <c r="X103" i="2" s="1"/>
  <c r="T97" i="2"/>
  <c r="T99" i="2" s="1"/>
  <c r="T100" i="2" s="1"/>
  <c r="P97" i="2"/>
  <c r="P99" i="2" s="1"/>
  <c r="P100" i="2" s="1"/>
  <c r="L97" i="2"/>
  <c r="L102" i="2" s="1"/>
  <c r="L103" i="2" s="1"/>
  <c r="U39" i="2"/>
  <c r="U40" i="2" s="1"/>
  <c r="U41" i="2" s="1"/>
  <c r="U46" i="2" s="1"/>
  <c r="I175" i="2"/>
  <c r="I184" i="2" s="1"/>
  <c r="X175" i="2"/>
  <c r="X176" i="2" s="1"/>
  <c r="X180" i="2" s="1"/>
  <c r="X181" i="2" s="1"/>
  <c r="X182" i="2" s="1"/>
  <c r="L175" i="2"/>
  <c r="L176" i="2" s="1"/>
  <c r="L180" i="2" s="1"/>
  <c r="L181" i="2" s="1"/>
  <c r="L182" i="2" s="1"/>
  <c r="AC123" i="2"/>
  <c r="U123" i="2"/>
  <c r="AB112" i="2"/>
  <c r="AB121" i="2" s="1"/>
  <c r="AG80" i="2"/>
  <c r="Q80" i="2"/>
  <c r="AF43" i="2"/>
  <c r="AF44" i="2" s="1"/>
  <c r="AF45" i="2" s="1"/>
  <c r="AF46" i="2" s="1"/>
  <c r="P43" i="2"/>
  <c r="P44" i="2" s="1"/>
  <c r="P45" i="2" s="1"/>
  <c r="P46" i="2" s="1"/>
  <c r="Q176" i="2"/>
  <c r="Q177" i="2" s="1"/>
  <c r="Q178" i="2" s="1"/>
  <c r="Q179" i="2" s="1"/>
  <c r="K123" i="2"/>
  <c r="AD112" i="2"/>
  <c r="AD113" i="2" s="1"/>
  <c r="V112" i="2"/>
  <c r="V113" i="2" s="1"/>
  <c r="M113" i="2"/>
  <c r="M114" i="2" s="1"/>
  <c r="M115" i="2" s="1"/>
  <c r="M116" i="2" s="1"/>
  <c r="AE52" i="2"/>
  <c r="K52" i="2"/>
  <c r="V51" i="2"/>
  <c r="I43" i="2"/>
  <c r="I44" i="2" s="1"/>
  <c r="I45" i="2" s="1"/>
  <c r="I46" i="2" s="1"/>
  <c r="Q39" i="2"/>
  <c r="Q40" i="2" s="1"/>
  <c r="Q41" i="2" s="1"/>
  <c r="Q46" i="2" s="1"/>
  <c r="Z189" i="2"/>
  <c r="Z194" i="2" s="1"/>
  <c r="Z195" i="2" s="1"/>
  <c r="AC176" i="2"/>
  <c r="AC177" i="2" s="1"/>
  <c r="AC178" i="2" s="1"/>
  <c r="AC179" i="2" s="1"/>
  <c r="AA123" i="2"/>
  <c r="O123" i="2"/>
  <c r="AJ121" i="2"/>
  <c r="AI80" i="2"/>
  <c r="AE80" i="2"/>
  <c r="W80" i="2"/>
  <c r="S80" i="2"/>
  <c r="O80" i="2"/>
  <c r="AC43" i="2"/>
  <c r="AC44" i="2" s="1"/>
  <c r="AC45" i="2" s="1"/>
  <c r="AC46" i="2" s="1"/>
  <c r="M43" i="2"/>
  <c r="M44" i="2" s="1"/>
  <c r="M45" i="2" s="1"/>
  <c r="M46" i="2" s="1"/>
  <c r="AD32" i="2"/>
  <c r="N32" i="2"/>
  <c r="R175" i="2"/>
  <c r="R176" i="2" s="1"/>
  <c r="J175" i="2"/>
  <c r="J176" i="2" s="1"/>
  <c r="Z175" i="2"/>
  <c r="Z176" i="2" s="1"/>
  <c r="AG113" i="2"/>
  <c r="J112" i="2"/>
  <c r="J121" i="2" s="1"/>
  <c r="AH80" i="2"/>
  <c r="AD80" i="2"/>
  <c r="Z80" i="2"/>
  <c r="V80" i="2"/>
  <c r="R80" i="2"/>
  <c r="N80" i="2"/>
  <c r="J80" i="2"/>
  <c r="AK43" i="2"/>
  <c r="AK44" i="2" s="1"/>
  <c r="AK45" i="2" s="1"/>
  <c r="AK46" i="2" s="1"/>
  <c r="Y43" i="2"/>
  <c r="Y44" i="2" s="1"/>
  <c r="Y45" i="2" s="1"/>
  <c r="Y46" i="2" s="1"/>
  <c r="T43" i="2"/>
  <c r="T44" i="2" s="1"/>
  <c r="T45" i="2" s="1"/>
  <c r="T46" i="2" s="1"/>
  <c r="L43" i="2"/>
  <c r="L44" i="2" s="1"/>
  <c r="L45" i="2" s="1"/>
  <c r="L46" i="2" s="1"/>
  <c r="AJ191" i="2"/>
  <c r="AJ192" i="2" s="1"/>
  <c r="L113" i="2"/>
  <c r="L114" i="2" s="1"/>
  <c r="L115" i="2" s="1"/>
  <c r="L116" i="2" s="1"/>
  <c r="AB189" i="2"/>
  <c r="AB191" i="2" s="1"/>
  <c r="AB192" i="2" s="1"/>
  <c r="X127" i="2"/>
  <c r="X129" i="2" s="1"/>
  <c r="X130" i="2" s="1"/>
  <c r="AJ43" i="2"/>
  <c r="AJ44" i="2" s="1"/>
  <c r="AJ45" i="2" s="1"/>
  <c r="AJ46" i="2" s="1"/>
  <c r="AB43" i="2"/>
  <c r="AB44" i="2" s="1"/>
  <c r="AB45" i="2" s="1"/>
  <c r="AB46" i="2" s="1"/>
  <c r="K97" i="2"/>
  <c r="K102" i="2" s="1"/>
  <c r="K103" i="2" s="1"/>
  <c r="O97" i="2"/>
  <c r="O99" i="2" s="1"/>
  <c r="O100" i="2" s="1"/>
  <c r="S97" i="2"/>
  <c r="S102" i="2" s="1"/>
  <c r="S103" i="2" s="1"/>
  <c r="W97" i="2"/>
  <c r="W99" i="2" s="1"/>
  <c r="W100" i="2" s="1"/>
  <c r="AA97" i="2"/>
  <c r="AA102" i="2" s="1"/>
  <c r="AA103" i="2" s="1"/>
  <c r="P194" i="2"/>
  <c r="P195" i="2" s="1"/>
  <c r="AK113" i="2"/>
  <c r="AK114" i="2" s="1"/>
  <c r="AK115" i="2" s="1"/>
  <c r="AK116" i="2" s="1"/>
  <c r="R189" i="2"/>
  <c r="R191" i="2" s="1"/>
  <c r="R192" i="2" s="1"/>
  <c r="S51" i="2"/>
  <c r="S175" i="2"/>
  <c r="S184" i="2" s="1"/>
  <c r="S112" i="2"/>
  <c r="M121" i="2"/>
  <c r="Z43" i="2"/>
  <c r="Z44" i="2" s="1"/>
  <c r="Z45" i="2" s="1"/>
  <c r="Z46" i="2" s="1"/>
  <c r="J189" i="2"/>
  <c r="J194" i="2" s="1"/>
  <c r="J195" i="2" s="1"/>
  <c r="AD189" i="2"/>
  <c r="AD191" i="2" s="1"/>
  <c r="AD192" i="2" s="1"/>
  <c r="V189" i="2"/>
  <c r="V194" i="2" s="1"/>
  <c r="V195" i="2" s="1"/>
  <c r="N189" i="2"/>
  <c r="N194" i="2" s="1"/>
  <c r="N195" i="2" s="1"/>
  <c r="O184" i="2"/>
  <c r="AH160" i="2"/>
  <c r="AH165" i="2" s="1"/>
  <c r="AH166" i="2" s="1"/>
  <c r="Z160" i="2"/>
  <c r="Z165" i="2" s="1"/>
  <c r="Z166" i="2" s="1"/>
  <c r="R160" i="2"/>
  <c r="R165" i="2" s="1"/>
  <c r="R166" i="2" s="1"/>
  <c r="J160" i="2"/>
  <c r="J165" i="2" s="1"/>
  <c r="J166" i="2" s="1"/>
  <c r="J127" i="2"/>
  <c r="J132" i="2" s="1"/>
  <c r="J133" i="2" s="1"/>
  <c r="AH127" i="2"/>
  <c r="AH132" i="2" s="1"/>
  <c r="AH133" i="2" s="1"/>
  <c r="Z127" i="2"/>
  <c r="Z132" i="2" s="1"/>
  <c r="Z133" i="2" s="1"/>
  <c r="V127" i="2"/>
  <c r="V129" i="2" s="1"/>
  <c r="V130" i="2" s="1"/>
  <c r="N127" i="2"/>
  <c r="N129" i="2" s="1"/>
  <c r="N130" i="2" s="1"/>
  <c r="N43" i="2"/>
  <c r="N44" i="2" s="1"/>
  <c r="N45" i="2" s="1"/>
  <c r="N46" i="2" s="1"/>
  <c r="AH189" i="2"/>
  <c r="AD127" i="2"/>
  <c r="AD160" i="2"/>
  <c r="AD165" i="2" s="1"/>
  <c r="AD166" i="2" s="1"/>
  <c r="V160" i="2"/>
  <c r="V165" i="2" s="1"/>
  <c r="V166" i="2" s="1"/>
  <c r="N160" i="2"/>
  <c r="N165" i="2" s="1"/>
  <c r="N166" i="2" s="1"/>
  <c r="AK189" i="2"/>
  <c r="AK191" i="2" s="1"/>
  <c r="AK192" i="2" s="1"/>
  <c r="AG189" i="2"/>
  <c r="AC189" i="2"/>
  <c r="Y189" i="2"/>
  <c r="U189" i="2"/>
  <c r="Q189" i="2"/>
  <c r="M189" i="2"/>
  <c r="M191" i="2" s="1"/>
  <c r="M192" i="2" s="1"/>
  <c r="I189" i="2"/>
  <c r="I191" i="2" s="1"/>
  <c r="I192" i="2" s="1"/>
  <c r="AK160" i="2"/>
  <c r="AK165" i="2" s="1"/>
  <c r="AK166" i="2" s="1"/>
  <c r="AG160" i="2"/>
  <c r="AG162" i="2" s="1"/>
  <c r="AG163" i="2" s="1"/>
  <c r="AC160" i="2"/>
  <c r="AC162" i="2" s="1"/>
  <c r="AC163" i="2" s="1"/>
  <c r="Y160" i="2"/>
  <c r="Y165" i="2" s="1"/>
  <c r="Y166" i="2" s="1"/>
  <c r="U160" i="2"/>
  <c r="U165" i="2" s="1"/>
  <c r="U166" i="2" s="1"/>
  <c r="Q160" i="2"/>
  <c r="Q162" i="2" s="1"/>
  <c r="Q163" i="2" s="1"/>
  <c r="M160" i="2"/>
  <c r="M162" i="2" s="1"/>
  <c r="M163" i="2" s="1"/>
  <c r="I160" i="2"/>
  <c r="I165" i="2" s="1"/>
  <c r="I166" i="2" s="1"/>
  <c r="AB129" i="2"/>
  <c r="AB130" i="2" s="1"/>
  <c r="AH43" i="2"/>
  <c r="AH44" i="2" s="1"/>
  <c r="AH45" i="2" s="1"/>
  <c r="AH46" i="2" s="1"/>
  <c r="R43" i="2"/>
  <c r="R44" i="2" s="1"/>
  <c r="R45" i="2" s="1"/>
  <c r="R46" i="2" s="1"/>
  <c r="K32" i="2"/>
  <c r="AA113" i="2"/>
  <c r="AA117" i="2" s="1"/>
  <c r="AA118" i="2" s="1"/>
  <c r="AA119" i="2" s="1"/>
  <c r="AI14" i="2"/>
  <c r="AI17" i="2"/>
  <c r="AH18" i="2"/>
  <c r="AJ14" i="2"/>
  <c r="AJ17" i="2"/>
  <c r="AI18" i="2"/>
  <c r="AG14" i="2"/>
  <c r="AK14" i="2"/>
  <c r="AG17" i="2"/>
  <c r="AK17" i="2"/>
  <c r="AJ18" i="2"/>
  <c r="O51" i="2"/>
  <c r="O112" i="2"/>
  <c r="K176" i="2"/>
  <c r="AI175" i="2"/>
  <c r="X113" i="2"/>
  <c r="X121" i="2"/>
  <c r="R97" i="2"/>
  <c r="R127" i="2"/>
  <c r="AK18" i="2"/>
  <c r="AH17" i="2"/>
  <c r="K112" i="2"/>
  <c r="K51" i="2"/>
  <c r="AJ194" i="2"/>
  <c r="AJ195" i="2" s="1"/>
  <c r="L132" i="2"/>
  <c r="L133" i="2" s="1"/>
  <c r="L129" i="2"/>
  <c r="L130" i="2" s="1"/>
  <c r="AF132" i="2"/>
  <c r="AF133" i="2" s="1"/>
  <c r="AF129" i="2"/>
  <c r="AF130" i="2" s="1"/>
  <c r="AI112" i="2"/>
  <c r="W112" i="2"/>
  <c r="AI39" i="2"/>
  <c r="AI40" i="2" s="1"/>
  <c r="AI41" i="2" s="1"/>
  <c r="AI43" i="2"/>
  <c r="AI44" i="2" s="1"/>
  <c r="AI45" i="2" s="1"/>
  <c r="AE39" i="2"/>
  <c r="AE40" i="2" s="1"/>
  <c r="AE41" i="2" s="1"/>
  <c r="AE43" i="2"/>
  <c r="AE44" i="2" s="1"/>
  <c r="AE45" i="2" s="1"/>
  <c r="AA39" i="2"/>
  <c r="AA40" i="2" s="1"/>
  <c r="AA41" i="2" s="1"/>
  <c r="AA43" i="2"/>
  <c r="AA44" i="2" s="1"/>
  <c r="AA45" i="2" s="1"/>
  <c r="W39" i="2"/>
  <c r="W40" i="2" s="1"/>
  <c r="W41" i="2" s="1"/>
  <c r="W43" i="2"/>
  <c r="W44" i="2" s="1"/>
  <c r="W45" i="2" s="1"/>
  <c r="S39" i="2"/>
  <c r="S40" i="2" s="1"/>
  <c r="S41" i="2" s="1"/>
  <c r="S43" i="2"/>
  <c r="S44" i="2" s="1"/>
  <c r="S45" i="2" s="1"/>
  <c r="O39" i="2"/>
  <c r="O40" i="2" s="1"/>
  <c r="O41" i="2" s="1"/>
  <c r="O43" i="2"/>
  <c r="O44" i="2" s="1"/>
  <c r="O45" i="2" s="1"/>
  <c r="K39" i="2"/>
  <c r="K40" i="2" s="1"/>
  <c r="K41" i="2" s="1"/>
  <c r="K43" i="2"/>
  <c r="K44" i="2" s="1"/>
  <c r="K45" i="2" s="1"/>
  <c r="AG18" i="2"/>
  <c r="C42" i="2"/>
  <c r="AD46" i="2"/>
  <c r="Y52" i="2"/>
  <c r="Y123" i="2"/>
  <c r="I52" i="2"/>
  <c r="I123" i="2"/>
  <c r="AH14" i="2"/>
  <c r="AI32" i="2"/>
  <c r="AA32" i="2"/>
  <c r="S32" i="2"/>
  <c r="AJ32" i="2"/>
  <c r="AF32" i="2"/>
  <c r="AB32" i="2"/>
  <c r="X32" i="2"/>
  <c r="T32" i="2"/>
  <c r="P32" i="2"/>
  <c r="L32" i="2"/>
  <c r="AK32" i="2"/>
  <c r="AG32" i="2"/>
  <c r="AC32" i="2"/>
  <c r="Y32" i="2"/>
  <c r="U32" i="2"/>
  <c r="Q32" i="2"/>
  <c r="M32" i="2"/>
  <c r="I32" i="2"/>
  <c r="AH32" i="2"/>
  <c r="Z32" i="2"/>
  <c r="V32" i="2"/>
  <c r="R32" i="2"/>
  <c r="J32" i="2"/>
  <c r="AI26" i="2"/>
  <c r="AI34" i="2" s="1"/>
  <c r="AE26" i="2"/>
  <c r="AE34" i="2" s="1"/>
  <c r="AA26" i="2"/>
  <c r="AA34" i="2" s="1"/>
  <c r="W26" i="2"/>
  <c r="W34" i="2" s="1"/>
  <c r="S26" i="2"/>
  <c r="S34" i="2" s="1"/>
  <c r="O26" i="2"/>
  <c r="O34" i="2" s="1"/>
  <c r="K26" i="2"/>
  <c r="K34" i="2" s="1"/>
  <c r="AJ26" i="2"/>
  <c r="AJ34" i="2" s="1"/>
  <c r="AF26" i="2"/>
  <c r="AF34" i="2" s="1"/>
  <c r="AB26" i="2"/>
  <c r="AB34" i="2" s="1"/>
  <c r="X26" i="2"/>
  <c r="X34" i="2" s="1"/>
  <c r="T26" i="2"/>
  <c r="T34" i="2" s="1"/>
  <c r="P26" i="2"/>
  <c r="P34" i="2" s="1"/>
  <c r="L26" i="2"/>
  <c r="L34" i="2" s="1"/>
  <c r="AE51" i="2"/>
  <c r="AE112" i="2"/>
  <c r="AE175" i="2"/>
  <c r="P191" i="2"/>
  <c r="P192" i="2" s="1"/>
  <c r="N113" i="2"/>
  <c r="N121" i="2"/>
  <c r="AD176" i="2"/>
  <c r="AD184" i="2"/>
  <c r="V176" i="2"/>
  <c r="V184" i="2"/>
  <c r="N176" i="2"/>
  <c r="N184" i="2"/>
  <c r="Z113" i="2"/>
  <c r="Z121" i="2"/>
  <c r="AJ165" i="2"/>
  <c r="AJ166" i="2" s="1"/>
  <c r="AJ162" i="2"/>
  <c r="AJ163" i="2" s="1"/>
  <c r="AF165" i="2"/>
  <c r="AF166" i="2" s="1"/>
  <c r="AF162" i="2"/>
  <c r="AF163" i="2" s="1"/>
  <c r="AB165" i="2"/>
  <c r="AB166" i="2" s="1"/>
  <c r="AB162" i="2"/>
  <c r="AB163" i="2" s="1"/>
  <c r="X165" i="2"/>
  <c r="X166" i="2" s="1"/>
  <c r="X162" i="2"/>
  <c r="X163" i="2" s="1"/>
  <c r="T165" i="2"/>
  <c r="T166" i="2" s="1"/>
  <c r="T162" i="2"/>
  <c r="T163" i="2" s="1"/>
  <c r="P165" i="2"/>
  <c r="P166" i="2" s="1"/>
  <c r="P162" i="2"/>
  <c r="P163" i="2" s="1"/>
  <c r="L165" i="2"/>
  <c r="L166" i="2" s="1"/>
  <c r="L162" i="2"/>
  <c r="L163" i="2" s="1"/>
  <c r="AJ184" i="2"/>
  <c r="AB184" i="2"/>
  <c r="P184" i="2"/>
  <c r="I113" i="2"/>
  <c r="I121" i="2"/>
  <c r="R113" i="2"/>
  <c r="R121" i="2"/>
  <c r="AK97" i="2"/>
  <c r="AK127" i="2"/>
  <c r="AG97" i="2"/>
  <c r="AG127" i="2"/>
  <c r="AC97" i="2"/>
  <c r="AC127" i="2"/>
  <c r="Y97" i="2"/>
  <c r="Y127" i="2"/>
  <c r="U97" i="2"/>
  <c r="U127" i="2"/>
  <c r="Q97" i="2"/>
  <c r="Q127" i="2"/>
  <c r="M97" i="2"/>
  <c r="M127" i="2"/>
  <c r="I97" i="2"/>
  <c r="I127" i="2"/>
  <c r="P51" i="2"/>
  <c r="P112" i="2"/>
  <c r="AK51" i="2"/>
  <c r="AG51" i="2"/>
  <c r="AC51" i="2"/>
  <c r="Y51" i="2"/>
  <c r="U51" i="2"/>
  <c r="Q51" i="2"/>
  <c r="M51" i="2"/>
  <c r="I51" i="2"/>
  <c r="AH123" i="2"/>
  <c r="AD123" i="2"/>
  <c r="Z123" i="2"/>
  <c r="V123" i="2"/>
  <c r="R123" i="2"/>
  <c r="N123" i="2"/>
  <c r="J123" i="2"/>
  <c r="AH113" i="2"/>
  <c r="AH121" i="2"/>
  <c r="AC112" i="2"/>
  <c r="Y112" i="2"/>
  <c r="U112" i="2"/>
  <c r="Q112" i="2"/>
  <c r="AH51" i="2"/>
  <c r="AD51" i="2"/>
  <c r="R51" i="2"/>
  <c r="N51" i="2"/>
  <c r="AE32" i="2"/>
  <c r="W32" i="2"/>
  <c r="O32" i="2"/>
  <c r="AK26" i="2"/>
  <c r="AG26" i="2"/>
  <c r="AG34" i="2" s="1"/>
  <c r="AC26" i="2"/>
  <c r="Y26" i="2"/>
  <c r="U26" i="2"/>
  <c r="Q26" i="2"/>
  <c r="M26" i="2"/>
  <c r="M34" i="2" s="1"/>
  <c r="I26" i="2"/>
  <c r="AH26" i="2"/>
  <c r="AD26" i="2"/>
  <c r="Z26" i="2"/>
  <c r="V26" i="2"/>
  <c r="V34" i="2" s="1"/>
  <c r="R26" i="2"/>
  <c r="N26" i="2"/>
  <c r="J26" i="2"/>
  <c r="H189" i="2"/>
  <c r="H194" i="2" s="1"/>
  <c r="H195" i="2" s="1"/>
  <c r="H127" i="2"/>
  <c r="H132" i="2" s="1"/>
  <c r="H133" i="2" s="1"/>
  <c r="H160" i="2"/>
  <c r="H162" i="2" s="1"/>
  <c r="H163" i="2" s="1"/>
  <c r="H97" i="2"/>
  <c r="H99" i="2" s="1"/>
  <c r="H100" i="2" s="1"/>
  <c r="L191" i="2" l="1"/>
  <c r="L192" i="2" s="1"/>
  <c r="AF191" i="2"/>
  <c r="AF192" i="2" s="1"/>
  <c r="AF196" i="2" s="1"/>
  <c r="AF197" i="2" s="1"/>
  <c r="X194" i="2"/>
  <c r="X195" i="2" s="1"/>
  <c r="T191" i="2"/>
  <c r="T192" i="2" s="1"/>
  <c r="T129" i="2"/>
  <c r="T130" i="2" s="1"/>
  <c r="T134" i="2" s="1"/>
  <c r="T135" i="2" s="1"/>
  <c r="T113" i="2"/>
  <c r="T117" i="2" s="1"/>
  <c r="T118" i="2" s="1"/>
  <c r="T119" i="2" s="1"/>
  <c r="P177" i="2"/>
  <c r="P178" i="2" s="1"/>
  <c r="P179" i="2" s="1"/>
  <c r="P183" i="2" s="1"/>
  <c r="P185" i="2" s="1"/>
  <c r="AJ132" i="2"/>
  <c r="AJ133" i="2" s="1"/>
  <c r="AJ134" i="2" s="1"/>
  <c r="AJ135" i="2" s="1"/>
  <c r="AJ136" i="2" s="1"/>
  <c r="P129" i="2"/>
  <c r="P130" i="2" s="1"/>
  <c r="P134" i="2" s="1"/>
  <c r="P135" i="2" s="1"/>
  <c r="AA132" i="2"/>
  <c r="AA133" i="2" s="1"/>
  <c r="AI99" i="2"/>
  <c r="AI100" i="2" s="1"/>
  <c r="AI104" i="2" s="1"/>
  <c r="AI105" i="2" s="1"/>
  <c r="AI106" i="2" s="1"/>
  <c r="AI162" i="2"/>
  <c r="AI163" i="2" s="1"/>
  <c r="AI167" i="2" s="1"/>
  <c r="AI168" i="2" s="1"/>
  <c r="AI169" i="2" s="1"/>
  <c r="AA176" i="2"/>
  <c r="AA177" i="2" s="1"/>
  <c r="AA178" i="2" s="1"/>
  <c r="AA179" i="2" s="1"/>
  <c r="S132" i="2"/>
  <c r="S133" i="2" s="1"/>
  <c r="S134" i="2" s="1"/>
  <c r="S135" i="2" s="1"/>
  <c r="N102" i="2"/>
  <c r="N103" i="2" s="1"/>
  <c r="N104" i="2" s="1"/>
  <c r="N105" i="2" s="1"/>
  <c r="O162" i="2"/>
  <c r="O163" i="2" s="1"/>
  <c r="O167" i="2" s="1"/>
  <c r="O168" i="2" s="1"/>
  <c r="AJ177" i="2"/>
  <c r="AJ178" i="2" s="1"/>
  <c r="AJ179" i="2" s="1"/>
  <c r="AJ183" i="2" s="1"/>
  <c r="AJ185" i="2" s="1"/>
  <c r="V191" i="2"/>
  <c r="V192" i="2" s="1"/>
  <c r="V196" i="2" s="1"/>
  <c r="V197" i="2" s="1"/>
  <c r="AH102" i="2"/>
  <c r="AH103" i="2" s="1"/>
  <c r="AH104" i="2" s="1"/>
  <c r="AH105" i="2" s="1"/>
  <c r="AH106" i="2" s="1"/>
  <c r="AD121" i="2"/>
  <c r="Z129" i="2"/>
  <c r="Z130" i="2" s="1"/>
  <c r="Z134" i="2" s="1"/>
  <c r="Z135" i="2" s="1"/>
  <c r="K191" i="2"/>
  <c r="K192" i="2" s="1"/>
  <c r="K196" i="2" s="1"/>
  <c r="K197" i="2" s="1"/>
  <c r="J113" i="2"/>
  <c r="J114" i="2" s="1"/>
  <c r="J115" i="2" s="1"/>
  <c r="J116" i="2" s="1"/>
  <c r="AC165" i="2"/>
  <c r="AC166" i="2" s="1"/>
  <c r="AC167" i="2" s="1"/>
  <c r="AC168" i="2" s="1"/>
  <c r="AD102" i="2"/>
  <c r="AD103" i="2" s="1"/>
  <c r="AD104" i="2" s="1"/>
  <c r="AD105" i="2" s="1"/>
  <c r="J99" i="2"/>
  <c r="J100" i="2" s="1"/>
  <c r="J104" i="2" s="1"/>
  <c r="J105" i="2" s="1"/>
  <c r="AE102" i="2"/>
  <c r="AE103" i="2" s="1"/>
  <c r="AE104" i="2" s="1"/>
  <c r="AE105" i="2" s="1"/>
  <c r="AA191" i="2"/>
  <c r="AA192" i="2" s="1"/>
  <c r="AA196" i="2" s="1"/>
  <c r="AA197" i="2" s="1"/>
  <c r="Z102" i="2"/>
  <c r="Z103" i="2" s="1"/>
  <c r="Z104" i="2" s="1"/>
  <c r="Z105" i="2" s="1"/>
  <c r="AB99" i="2"/>
  <c r="AB100" i="2" s="1"/>
  <c r="AB104" i="2" s="1"/>
  <c r="AB105" i="2" s="1"/>
  <c r="S162" i="2"/>
  <c r="S163" i="2" s="1"/>
  <c r="S167" i="2" s="1"/>
  <c r="S168" i="2" s="1"/>
  <c r="K129" i="2"/>
  <c r="K130" i="2" s="1"/>
  <c r="K134" i="2" s="1"/>
  <c r="K135" i="2" s="1"/>
  <c r="V99" i="2"/>
  <c r="V100" i="2" s="1"/>
  <c r="V104" i="2" s="1"/>
  <c r="V105" i="2" s="1"/>
  <c r="AF184" i="2"/>
  <c r="AH184" i="2"/>
  <c r="R184" i="2"/>
  <c r="AF113" i="2"/>
  <c r="AF114" i="2" s="1"/>
  <c r="AF115" i="2" s="1"/>
  <c r="AF116" i="2" s="1"/>
  <c r="AG176" i="2"/>
  <c r="AG177" i="2" s="1"/>
  <c r="AG178" i="2" s="1"/>
  <c r="AG179" i="2" s="1"/>
  <c r="X132" i="2"/>
  <c r="X133" i="2" s="1"/>
  <c r="X134" i="2" s="1"/>
  <c r="X135" i="2" s="1"/>
  <c r="W162" i="2"/>
  <c r="W163" i="2" s="1"/>
  <c r="W167" i="2" s="1"/>
  <c r="W168" i="2" s="1"/>
  <c r="AB177" i="2"/>
  <c r="AB178" i="2" s="1"/>
  <c r="AB179" i="2" s="1"/>
  <c r="AB183" i="2" s="1"/>
  <c r="AB185" i="2" s="1"/>
  <c r="O177" i="2"/>
  <c r="O178" i="2" s="1"/>
  <c r="O179" i="2" s="1"/>
  <c r="O183" i="2" s="1"/>
  <c r="AK176" i="2"/>
  <c r="AK177" i="2" s="1"/>
  <c r="AK178" i="2" s="1"/>
  <c r="AK179" i="2" s="1"/>
  <c r="T196" i="2"/>
  <c r="T197" i="2" s="1"/>
  <c r="S194" i="2"/>
  <c r="S195" i="2" s="1"/>
  <c r="S196" i="2" s="1"/>
  <c r="S197" i="2" s="1"/>
  <c r="W132" i="2"/>
  <c r="W133" i="2" s="1"/>
  <c r="W134" i="2" s="1"/>
  <c r="W135" i="2" s="1"/>
  <c r="AE162" i="2"/>
  <c r="AE163" i="2" s="1"/>
  <c r="AE167" i="2" s="1"/>
  <c r="AE168" i="2" s="1"/>
  <c r="AI194" i="2"/>
  <c r="AI195" i="2" s="1"/>
  <c r="AI196" i="2" s="1"/>
  <c r="AI197" i="2" s="1"/>
  <c r="AI198" i="2" s="1"/>
  <c r="AA162" i="2"/>
  <c r="AA163" i="2" s="1"/>
  <c r="AA167" i="2" s="1"/>
  <c r="AA168" i="2" s="1"/>
  <c r="AE191" i="2"/>
  <c r="AE192" i="2" s="1"/>
  <c r="AE196" i="2" s="1"/>
  <c r="AE197" i="2" s="1"/>
  <c r="K162" i="2"/>
  <c r="K163" i="2" s="1"/>
  <c r="K167" i="2" s="1"/>
  <c r="K168" i="2" s="1"/>
  <c r="L99" i="2"/>
  <c r="L100" i="2" s="1"/>
  <c r="L104" i="2" s="1"/>
  <c r="L105" i="2" s="1"/>
  <c r="O191" i="2"/>
  <c r="O192" i="2" s="1"/>
  <c r="O196" i="2" s="1"/>
  <c r="O197" i="2" s="1"/>
  <c r="J191" i="2"/>
  <c r="J192" i="2" s="1"/>
  <c r="J196" i="2" s="1"/>
  <c r="J197" i="2" s="1"/>
  <c r="AK194" i="2"/>
  <c r="AK195" i="2" s="1"/>
  <c r="AK196" i="2" s="1"/>
  <c r="AK197" i="2" s="1"/>
  <c r="AK198" i="2" s="1"/>
  <c r="AF99" i="2"/>
  <c r="AF100" i="2" s="1"/>
  <c r="AF104" i="2" s="1"/>
  <c r="AF105" i="2" s="1"/>
  <c r="AD194" i="2"/>
  <c r="AD195" i="2" s="1"/>
  <c r="AD196" i="2" s="1"/>
  <c r="AD197" i="2" s="1"/>
  <c r="AB134" i="2"/>
  <c r="AB135" i="2" s="1"/>
  <c r="R162" i="2"/>
  <c r="R163" i="2" s="1"/>
  <c r="R167" i="2" s="1"/>
  <c r="R168" i="2" s="1"/>
  <c r="T184" i="2"/>
  <c r="S176" i="2"/>
  <c r="S177" i="2" s="1"/>
  <c r="S178" i="2" s="1"/>
  <c r="S179" i="2" s="1"/>
  <c r="Z191" i="2"/>
  <c r="Z192" i="2" s="1"/>
  <c r="Z196" i="2" s="1"/>
  <c r="Z197" i="2" s="1"/>
  <c r="W180" i="2"/>
  <c r="W181" i="2" s="1"/>
  <c r="W182" i="2" s="1"/>
  <c r="W183" i="2" s="1"/>
  <c r="AA99" i="2"/>
  <c r="AA100" i="2" s="1"/>
  <c r="AA104" i="2" s="1"/>
  <c r="AA105" i="2" s="1"/>
  <c r="O129" i="2"/>
  <c r="O130" i="2" s="1"/>
  <c r="O134" i="2" s="1"/>
  <c r="O135" i="2" s="1"/>
  <c r="AJ196" i="2"/>
  <c r="AJ197" i="2" s="1"/>
  <c r="AJ198" i="2" s="1"/>
  <c r="M165" i="2"/>
  <c r="M166" i="2" s="1"/>
  <c r="M167" i="2" s="1"/>
  <c r="M168" i="2" s="1"/>
  <c r="W184" i="2"/>
  <c r="R194" i="2"/>
  <c r="R195" i="2" s="1"/>
  <c r="R196" i="2" s="1"/>
  <c r="R197" i="2" s="1"/>
  <c r="K99" i="2"/>
  <c r="K100" i="2" s="1"/>
  <c r="K104" i="2" s="1"/>
  <c r="K105" i="2" s="1"/>
  <c r="AE129" i="2"/>
  <c r="AE130" i="2" s="1"/>
  <c r="AE134" i="2" s="1"/>
  <c r="AE135" i="2" s="1"/>
  <c r="X99" i="2"/>
  <c r="X100" i="2" s="1"/>
  <c r="X104" i="2" s="1"/>
  <c r="X105" i="2" s="1"/>
  <c r="P102" i="2"/>
  <c r="P103" i="2" s="1"/>
  <c r="P104" i="2" s="1"/>
  <c r="P105" i="2" s="1"/>
  <c r="M117" i="2"/>
  <c r="M118" i="2" s="1"/>
  <c r="M119" i="2" s="1"/>
  <c r="M120" i="2" s="1"/>
  <c r="M122" i="2" s="1"/>
  <c r="X177" i="2"/>
  <c r="X178" i="2" s="1"/>
  <c r="X179" i="2" s="1"/>
  <c r="X183" i="2" s="1"/>
  <c r="X185" i="2" s="1"/>
  <c r="AH162" i="2"/>
  <c r="AH163" i="2" s="1"/>
  <c r="AH167" i="2" s="1"/>
  <c r="AH168" i="2" s="1"/>
  <c r="AH169" i="2" s="1"/>
  <c r="X196" i="2"/>
  <c r="X197" i="2" s="1"/>
  <c r="AJ114" i="2"/>
  <c r="AJ115" i="2" s="1"/>
  <c r="AJ116" i="2" s="1"/>
  <c r="AJ120" i="2" s="1"/>
  <c r="AJ122" i="2" s="1"/>
  <c r="Y180" i="2"/>
  <c r="Y181" i="2" s="1"/>
  <c r="Y182" i="2" s="1"/>
  <c r="Y183" i="2" s="1"/>
  <c r="Y185" i="2" s="1"/>
  <c r="AB113" i="2"/>
  <c r="AB114" i="2" s="1"/>
  <c r="AB115" i="2" s="1"/>
  <c r="AB116" i="2" s="1"/>
  <c r="T102" i="2"/>
  <c r="T103" i="2" s="1"/>
  <c r="T104" i="2" s="1"/>
  <c r="T105" i="2" s="1"/>
  <c r="AI132" i="2"/>
  <c r="AI133" i="2" s="1"/>
  <c r="AI134" i="2" s="1"/>
  <c r="AI135" i="2" s="1"/>
  <c r="AI136" i="2" s="1"/>
  <c r="Z184" i="2"/>
  <c r="W102" i="2"/>
  <c r="W103" i="2" s="1"/>
  <c r="W104" i="2" s="1"/>
  <c r="W105" i="2" s="1"/>
  <c r="L184" i="2"/>
  <c r="AC180" i="2"/>
  <c r="AC181" i="2" s="1"/>
  <c r="AC182" i="2" s="1"/>
  <c r="AC183" i="2" s="1"/>
  <c r="AC185" i="2" s="1"/>
  <c r="W191" i="2"/>
  <c r="W192" i="2" s="1"/>
  <c r="W196" i="2" s="1"/>
  <c r="W197" i="2" s="1"/>
  <c r="L177" i="2"/>
  <c r="L178" i="2" s="1"/>
  <c r="L179" i="2" s="1"/>
  <c r="L183" i="2" s="1"/>
  <c r="L185" i="2" s="1"/>
  <c r="Q180" i="2"/>
  <c r="Q181" i="2" s="1"/>
  <c r="Q182" i="2" s="1"/>
  <c r="Q183" i="2" s="1"/>
  <c r="Q185" i="2" s="1"/>
  <c r="AA114" i="2"/>
  <c r="AA115" i="2" s="1"/>
  <c r="AA116" i="2" s="1"/>
  <c r="AA120" i="2" s="1"/>
  <c r="L196" i="2"/>
  <c r="L197" i="2" s="1"/>
  <c r="O46" i="2"/>
  <c r="AE46" i="2"/>
  <c r="V121" i="2"/>
  <c r="X184" i="2"/>
  <c r="U180" i="2"/>
  <c r="U181" i="2" s="1"/>
  <c r="U182" i="2" s="1"/>
  <c r="U183" i="2" s="1"/>
  <c r="U185" i="2" s="1"/>
  <c r="V162" i="2"/>
  <c r="V163" i="2" s="1"/>
  <c r="V167" i="2" s="1"/>
  <c r="V168" i="2" s="1"/>
  <c r="AK162" i="2"/>
  <c r="AK163" i="2" s="1"/>
  <c r="AK167" i="2" s="1"/>
  <c r="AK168" i="2" s="1"/>
  <c r="AK169" i="2" s="1"/>
  <c r="M176" i="2"/>
  <c r="AJ99" i="2"/>
  <c r="AJ100" i="2" s="1"/>
  <c r="AJ104" i="2" s="1"/>
  <c r="AJ105" i="2" s="1"/>
  <c r="AJ106" i="2" s="1"/>
  <c r="T177" i="2"/>
  <c r="T178" i="2" s="1"/>
  <c r="T179" i="2" s="1"/>
  <c r="T183" i="2" s="1"/>
  <c r="T185" i="2" s="1"/>
  <c r="AD162" i="2"/>
  <c r="AD163" i="2" s="1"/>
  <c r="AD167" i="2" s="1"/>
  <c r="AD168" i="2" s="1"/>
  <c r="AF177" i="2"/>
  <c r="AF178" i="2" s="1"/>
  <c r="AF179" i="2" s="1"/>
  <c r="AF183" i="2" s="1"/>
  <c r="AF185" i="2" s="1"/>
  <c r="J129" i="2"/>
  <c r="J130" i="2" s="1"/>
  <c r="J134" i="2" s="1"/>
  <c r="J135" i="2" s="1"/>
  <c r="N132" i="2"/>
  <c r="N133" i="2" s="1"/>
  <c r="N134" i="2" s="1"/>
  <c r="N135" i="2" s="1"/>
  <c r="U162" i="2"/>
  <c r="U163" i="2" s="1"/>
  <c r="U167" i="2" s="1"/>
  <c r="U168" i="2" s="1"/>
  <c r="I176" i="2"/>
  <c r="I177" i="2" s="1"/>
  <c r="I178" i="2" s="1"/>
  <c r="I179" i="2" s="1"/>
  <c r="J184" i="2"/>
  <c r="S99" i="2"/>
  <c r="S100" i="2" s="1"/>
  <c r="S104" i="2" s="1"/>
  <c r="S105" i="2" s="1"/>
  <c r="AK117" i="2"/>
  <c r="AK118" i="2" s="1"/>
  <c r="AK119" i="2" s="1"/>
  <c r="AK120" i="2" s="1"/>
  <c r="AK122" i="2" s="1"/>
  <c r="P196" i="2"/>
  <c r="P197" i="2" s="1"/>
  <c r="L117" i="2"/>
  <c r="L118" i="2" s="1"/>
  <c r="L119" i="2" s="1"/>
  <c r="L120" i="2" s="1"/>
  <c r="L122" i="2" s="1"/>
  <c r="Y162" i="2"/>
  <c r="Y163" i="2" s="1"/>
  <c r="Y167" i="2" s="1"/>
  <c r="Y168" i="2" s="1"/>
  <c r="I162" i="2"/>
  <c r="I163" i="2" s="1"/>
  <c r="I167" i="2" s="1"/>
  <c r="I168" i="2" s="1"/>
  <c r="AG114" i="2"/>
  <c r="AG115" i="2" s="1"/>
  <c r="AG116" i="2" s="1"/>
  <c r="AG117" i="2"/>
  <c r="AG118" i="2" s="1"/>
  <c r="AG119" i="2" s="1"/>
  <c r="AA134" i="2"/>
  <c r="AA135" i="2" s="1"/>
  <c r="O102" i="2"/>
  <c r="O103" i="2" s="1"/>
  <c r="O104" i="2" s="1"/>
  <c r="O105" i="2" s="1"/>
  <c r="V132" i="2"/>
  <c r="V133" i="2" s="1"/>
  <c r="V134" i="2" s="1"/>
  <c r="V135" i="2" s="1"/>
  <c r="K46" i="2"/>
  <c r="S46" i="2"/>
  <c r="AA46" i="2"/>
  <c r="AI46" i="2"/>
  <c r="AB194" i="2"/>
  <c r="AB195" i="2" s="1"/>
  <c r="AB196" i="2" s="1"/>
  <c r="AB197" i="2" s="1"/>
  <c r="AG165" i="2"/>
  <c r="AG166" i="2" s="1"/>
  <c r="AG167" i="2" s="1"/>
  <c r="AG168" i="2" s="1"/>
  <c r="AG169" i="2" s="1"/>
  <c r="J162" i="2"/>
  <c r="J163" i="2" s="1"/>
  <c r="J167" i="2" s="1"/>
  <c r="J168" i="2" s="1"/>
  <c r="Q165" i="2"/>
  <c r="Q166" i="2" s="1"/>
  <c r="Q167" i="2" s="1"/>
  <c r="Q168" i="2" s="1"/>
  <c r="AH129" i="2"/>
  <c r="AH130" i="2" s="1"/>
  <c r="AH134" i="2" s="1"/>
  <c r="AH135" i="2" s="1"/>
  <c r="AH136" i="2" s="1"/>
  <c r="AC191" i="2"/>
  <c r="AC192" i="2" s="1"/>
  <c r="AC194" i="2"/>
  <c r="AC195" i="2" s="1"/>
  <c r="P167" i="2"/>
  <c r="P168" i="2" s="1"/>
  <c r="X167" i="2"/>
  <c r="X168" i="2" s="1"/>
  <c r="AF167" i="2"/>
  <c r="AF168" i="2" s="1"/>
  <c r="N191" i="2"/>
  <c r="N192" i="2" s="1"/>
  <c r="N196" i="2" s="1"/>
  <c r="N197" i="2" s="1"/>
  <c r="Z162" i="2"/>
  <c r="Z163" i="2" s="1"/>
  <c r="Z167" i="2" s="1"/>
  <c r="Z168" i="2" s="1"/>
  <c r="AH19" i="2"/>
  <c r="Q191" i="2"/>
  <c r="Q192" i="2" s="1"/>
  <c r="Q194" i="2"/>
  <c r="Q195" i="2" s="1"/>
  <c r="AG191" i="2"/>
  <c r="AG192" i="2" s="1"/>
  <c r="AG194" i="2"/>
  <c r="AG195" i="2" s="1"/>
  <c r="S113" i="2"/>
  <c r="S121" i="2"/>
  <c r="Y191" i="2"/>
  <c r="Y192" i="2" s="1"/>
  <c r="Y194" i="2"/>
  <c r="Y195" i="2" s="1"/>
  <c r="AD129" i="2"/>
  <c r="AD130" i="2" s="1"/>
  <c r="AD132" i="2"/>
  <c r="AD133" i="2" s="1"/>
  <c r="AH191" i="2"/>
  <c r="AH192" i="2" s="1"/>
  <c r="AH194" i="2"/>
  <c r="AH195" i="2" s="1"/>
  <c r="M194" i="2"/>
  <c r="M195" i="2" s="1"/>
  <c r="M196" i="2" s="1"/>
  <c r="M197" i="2" s="1"/>
  <c r="I194" i="2"/>
  <c r="I195" i="2" s="1"/>
  <c r="I196" i="2" s="1"/>
  <c r="I197" i="2" s="1"/>
  <c r="N162" i="2"/>
  <c r="N163" i="2" s="1"/>
  <c r="N167" i="2" s="1"/>
  <c r="N168" i="2" s="1"/>
  <c r="L134" i="2"/>
  <c r="L135" i="2" s="1"/>
  <c r="AK19" i="2"/>
  <c r="AK36" i="2" s="1"/>
  <c r="AI19" i="2"/>
  <c r="U191" i="2"/>
  <c r="U192" i="2" s="1"/>
  <c r="U194" i="2"/>
  <c r="U195" i="2" s="1"/>
  <c r="R102" i="2"/>
  <c r="R103" i="2" s="1"/>
  <c r="R99" i="2"/>
  <c r="R100" i="2" s="1"/>
  <c r="W113" i="2"/>
  <c r="W121" i="2"/>
  <c r="X114" i="2"/>
  <c r="X115" i="2" s="1"/>
  <c r="X116" i="2" s="1"/>
  <c r="X117" i="2"/>
  <c r="X118" i="2" s="1"/>
  <c r="X119" i="2" s="1"/>
  <c r="AI184" i="2"/>
  <c r="AI176" i="2"/>
  <c r="T114" i="2"/>
  <c r="T115" i="2" s="1"/>
  <c r="T116" i="2" s="1"/>
  <c r="K177" i="2"/>
  <c r="K178" i="2" s="1"/>
  <c r="K179" i="2" s="1"/>
  <c r="K180" i="2"/>
  <c r="K181" i="2" s="1"/>
  <c r="K182" i="2" s="1"/>
  <c r="AG19" i="2"/>
  <c r="K113" i="2"/>
  <c r="K121" i="2"/>
  <c r="O113" i="2"/>
  <c r="O121" i="2"/>
  <c r="AI113" i="2"/>
  <c r="AI121" i="2"/>
  <c r="AF134" i="2"/>
  <c r="AF135" i="2" s="1"/>
  <c r="W46" i="2"/>
  <c r="R129" i="2"/>
  <c r="R130" i="2" s="1"/>
  <c r="R132" i="2"/>
  <c r="R133" i="2" s="1"/>
  <c r="AJ19" i="2"/>
  <c r="Y113" i="2"/>
  <c r="Y121" i="2"/>
  <c r="Q132" i="2"/>
  <c r="Q133" i="2" s="1"/>
  <c r="Q129" i="2"/>
  <c r="Q130" i="2" s="1"/>
  <c r="AG99" i="2"/>
  <c r="AG100" i="2" s="1"/>
  <c r="AG102" i="2"/>
  <c r="AG103" i="2" s="1"/>
  <c r="J34" i="2"/>
  <c r="AH34" i="2"/>
  <c r="AC113" i="2"/>
  <c r="AC121" i="2"/>
  <c r="Y34" i="2"/>
  <c r="P121" i="2"/>
  <c r="P113" i="2"/>
  <c r="I132" i="2"/>
  <c r="I133" i="2" s="1"/>
  <c r="I129" i="2"/>
  <c r="I130" i="2" s="1"/>
  <c r="M102" i="2"/>
  <c r="M103" i="2" s="1"/>
  <c r="M99" i="2"/>
  <c r="M100" i="2" s="1"/>
  <c r="Y99" i="2"/>
  <c r="Y100" i="2" s="1"/>
  <c r="Y102" i="2"/>
  <c r="Y103" i="2" s="1"/>
  <c r="AC129" i="2"/>
  <c r="AC130" i="2" s="1"/>
  <c r="AC132" i="2"/>
  <c r="AC133" i="2" s="1"/>
  <c r="R117" i="2"/>
  <c r="R118" i="2" s="1"/>
  <c r="R119" i="2" s="1"/>
  <c r="R114" i="2"/>
  <c r="R115" i="2" s="1"/>
  <c r="R116" i="2" s="1"/>
  <c r="AD117" i="2"/>
  <c r="AD118" i="2" s="1"/>
  <c r="AD119" i="2" s="1"/>
  <c r="AD114" i="2"/>
  <c r="AD115" i="2" s="1"/>
  <c r="AD116" i="2" s="1"/>
  <c r="J180" i="2"/>
  <c r="J181" i="2" s="1"/>
  <c r="J182" i="2" s="1"/>
  <c r="J177" i="2"/>
  <c r="J178" i="2" s="1"/>
  <c r="J179" i="2" s="1"/>
  <c r="R180" i="2"/>
  <c r="R181" i="2" s="1"/>
  <c r="R182" i="2" s="1"/>
  <c r="R177" i="2"/>
  <c r="R178" i="2" s="1"/>
  <c r="R179" i="2" s="1"/>
  <c r="Z180" i="2"/>
  <c r="Z181" i="2" s="1"/>
  <c r="Z182" i="2" s="1"/>
  <c r="Z177" i="2"/>
  <c r="Z178" i="2" s="1"/>
  <c r="Z179" i="2" s="1"/>
  <c r="N117" i="2"/>
  <c r="N118" i="2" s="1"/>
  <c r="N119" i="2" s="1"/>
  <c r="N114" i="2"/>
  <c r="N115" i="2" s="1"/>
  <c r="N116" i="2" s="1"/>
  <c r="U34" i="2"/>
  <c r="AK132" i="2"/>
  <c r="AK133" i="2" s="1"/>
  <c r="AK129" i="2"/>
  <c r="AK130" i="2" s="1"/>
  <c r="AH180" i="2"/>
  <c r="AH181" i="2" s="1"/>
  <c r="AH182" i="2" s="1"/>
  <c r="AH177" i="2"/>
  <c r="AH178" i="2" s="1"/>
  <c r="AH179" i="2" s="1"/>
  <c r="Z117" i="2"/>
  <c r="Z118" i="2" s="1"/>
  <c r="Z119" i="2" s="1"/>
  <c r="Z114" i="2"/>
  <c r="Z115" i="2" s="1"/>
  <c r="Z116" i="2" s="1"/>
  <c r="Z34" i="2"/>
  <c r="Q113" i="2"/>
  <c r="Q121" i="2"/>
  <c r="AK34" i="2"/>
  <c r="Q99" i="2"/>
  <c r="Q100" i="2" s="1"/>
  <c r="Q102" i="2"/>
  <c r="Q103" i="2" s="1"/>
  <c r="U129" i="2"/>
  <c r="U130" i="2" s="1"/>
  <c r="U132" i="2"/>
  <c r="U133" i="2" s="1"/>
  <c r="AG132" i="2"/>
  <c r="AG133" i="2" s="1"/>
  <c r="AG129" i="2"/>
  <c r="AG130" i="2" s="1"/>
  <c r="AK99" i="2"/>
  <c r="AK100" i="2" s="1"/>
  <c r="AK102" i="2"/>
  <c r="AK103" i="2" s="1"/>
  <c r="V117" i="2"/>
  <c r="V118" i="2" s="1"/>
  <c r="V119" i="2" s="1"/>
  <c r="V114" i="2"/>
  <c r="V115" i="2" s="1"/>
  <c r="V116" i="2" s="1"/>
  <c r="L167" i="2"/>
  <c r="L168" i="2" s="1"/>
  <c r="T167" i="2"/>
  <c r="T168" i="2" s="1"/>
  <c r="AB167" i="2"/>
  <c r="AB168" i="2" s="1"/>
  <c r="AJ167" i="2"/>
  <c r="AJ168" i="2" s="1"/>
  <c r="AJ169" i="2" s="1"/>
  <c r="AE176" i="2"/>
  <c r="AE184" i="2"/>
  <c r="R34" i="2"/>
  <c r="U102" i="2"/>
  <c r="U103" i="2" s="1"/>
  <c r="U99" i="2"/>
  <c r="U100" i="2" s="1"/>
  <c r="N34" i="2"/>
  <c r="U121" i="2"/>
  <c r="U113" i="2"/>
  <c r="AH117" i="2"/>
  <c r="AH118" i="2" s="1"/>
  <c r="AH119" i="2" s="1"/>
  <c r="AH114" i="2"/>
  <c r="AH115" i="2" s="1"/>
  <c r="AH116" i="2" s="1"/>
  <c r="I34" i="2"/>
  <c r="Q34" i="2"/>
  <c r="AC34" i="2"/>
  <c r="AD34" i="2"/>
  <c r="I102" i="2"/>
  <c r="I103" i="2" s="1"/>
  <c r="I99" i="2"/>
  <c r="I100" i="2" s="1"/>
  <c r="M129" i="2"/>
  <c r="M130" i="2" s="1"/>
  <c r="M132" i="2"/>
  <c r="M133" i="2" s="1"/>
  <c r="Y132" i="2"/>
  <c r="Y133" i="2" s="1"/>
  <c r="Y129" i="2"/>
  <c r="Y130" i="2" s="1"/>
  <c r="AC99" i="2"/>
  <c r="AC100" i="2" s="1"/>
  <c r="AC102" i="2"/>
  <c r="AC103" i="2" s="1"/>
  <c r="I114" i="2"/>
  <c r="I115" i="2" s="1"/>
  <c r="I116" i="2" s="1"/>
  <c r="I117" i="2"/>
  <c r="I118" i="2" s="1"/>
  <c r="I119" i="2" s="1"/>
  <c r="N180" i="2"/>
  <c r="N181" i="2" s="1"/>
  <c r="N182" i="2" s="1"/>
  <c r="N177" i="2"/>
  <c r="N178" i="2" s="1"/>
  <c r="N179" i="2" s="1"/>
  <c r="V180" i="2"/>
  <c r="V181" i="2" s="1"/>
  <c r="V182" i="2" s="1"/>
  <c r="V177" i="2"/>
  <c r="V178" i="2" s="1"/>
  <c r="V179" i="2" s="1"/>
  <c r="AD180" i="2"/>
  <c r="AD181" i="2" s="1"/>
  <c r="AD182" i="2" s="1"/>
  <c r="AD177" i="2"/>
  <c r="AD178" i="2" s="1"/>
  <c r="AD179" i="2" s="1"/>
  <c r="AE113" i="2"/>
  <c r="AE121" i="2"/>
  <c r="H102" i="2"/>
  <c r="H103" i="2" s="1"/>
  <c r="H104" i="2" s="1"/>
  <c r="H105" i="2" s="1"/>
  <c r="H191" i="2"/>
  <c r="H192" i="2" s="1"/>
  <c r="H196" i="2" s="1"/>
  <c r="H197" i="2" s="1"/>
  <c r="H129" i="2"/>
  <c r="H130" i="2" s="1"/>
  <c r="H134" i="2" s="1"/>
  <c r="H135" i="2" s="1"/>
  <c r="H165" i="2"/>
  <c r="H166" i="2" s="1"/>
  <c r="H167" i="2" s="1"/>
  <c r="H168" i="2" s="1"/>
  <c r="V1" i="2"/>
  <c r="W1" i="2" s="1"/>
  <c r="X1" i="2" s="1"/>
  <c r="Y1" i="2" s="1"/>
  <c r="Z1" i="2" s="1"/>
  <c r="AA1" i="2" s="1"/>
  <c r="AB1" i="2" s="1"/>
  <c r="AC1" i="2" s="1"/>
  <c r="AD1" i="2" s="1"/>
  <c r="AE1" i="2" s="1"/>
  <c r="AF1" i="2" s="1"/>
  <c r="AG1" i="2" s="1"/>
  <c r="AH1" i="2" s="1"/>
  <c r="AI1" i="2" s="1"/>
  <c r="AJ1" i="2" s="1"/>
  <c r="AK1" i="2" s="1"/>
  <c r="R2" i="2"/>
  <c r="S2" i="2" s="1"/>
  <c r="T2" i="2" s="1"/>
  <c r="U2" i="2" s="1"/>
  <c r="V2" i="2" s="1"/>
  <c r="W2" i="2" s="1"/>
  <c r="X2" i="2" s="1"/>
  <c r="Y2" i="2" s="1"/>
  <c r="Z2" i="2" s="1"/>
  <c r="AA2" i="2" s="1"/>
  <c r="AB2" i="2" s="1"/>
  <c r="AC2" i="2" s="1"/>
  <c r="AD2" i="2" s="1"/>
  <c r="AE2" i="2" s="1"/>
  <c r="AF2" i="2" s="1"/>
  <c r="AG2" i="2" s="1"/>
  <c r="AH2" i="2" s="1"/>
  <c r="AI2" i="2" s="1"/>
  <c r="AJ2" i="2" s="1"/>
  <c r="AK2" i="2" s="1"/>
  <c r="AA180" i="2" l="1"/>
  <c r="AA181" i="2" s="1"/>
  <c r="AA182" i="2" s="1"/>
  <c r="AA183" i="2" s="1"/>
  <c r="AA185" i="2" s="1"/>
  <c r="J117" i="2"/>
  <c r="J118" i="2" s="1"/>
  <c r="J119" i="2" s="1"/>
  <c r="J120" i="2" s="1"/>
  <c r="J122" i="2" s="1"/>
  <c r="AK180" i="2"/>
  <c r="AK181" i="2" s="1"/>
  <c r="AK182" i="2" s="1"/>
  <c r="AK183" i="2" s="1"/>
  <c r="AK185" i="2" s="1"/>
  <c r="AK186" i="2" s="1"/>
  <c r="AK201" i="2" s="1"/>
  <c r="AH183" i="2"/>
  <c r="AH185" i="2" s="1"/>
  <c r="AH186" i="2" s="1"/>
  <c r="AH201" i="2" s="1"/>
  <c r="AF117" i="2"/>
  <c r="AF118" i="2" s="1"/>
  <c r="AF119" i="2" s="1"/>
  <c r="AF120" i="2" s="1"/>
  <c r="AF122" i="2" s="1"/>
  <c r="AG180" i="2"/>
  <c r="AG181" i="2" s="1"/>
  <c r="AG182" i="2" s="1"/>
  <c r="AG183" i="2" s="1"/>
  <c r="AG185" i="2" s="1"/>
  <c r="AG186" i="2" s="1"/>
  <c r="AG201" i="2" s="1"/>
  <c r="AJ81" i="2"/>
  <c r="AJ53" i="2"/>
  <c r="AK81" i="2"/>
  <c r="AK53" i="2"/>
  <c r="AH81" i="2"/>
  <c r="AH53" i="2"/>
  <c r="AI81" i="2"/>
  <c r="AI53" i="2"/>
  <c r="AG81" i="2"/>
  <c r="AG53" i="2"/>
  <c r="S180" i="2"/>
  <c r="S181" i="2" s="1"/>
  <c r="S182" i="2" s="1"/>
  <c r="S183" i="2" s="1"/>
  <c r="S185" i="2" s="1"/>
  <c r="M134" i="2"/>
  <c r="M135" i="2" s="1"/>
  <c r="AA122" i="2"/>
  <c r="AB117" i="2"/>
  <c r="AB118" i="2" s="1"/>
  <c r="AB119" i="2" s="1"/>
  <c r="AB120" i="2" s="1"/>
  <c r="AB122" i="2" s="1"/>
  <c r="W185" i="2"/>
  <c r="O185" i="2"/>
  <c r="AD183" i="2"/>
  <c r="AD185" i="2" s="1"/>
  <c r="N183" i="2"/>
  <c r="N185" i="2" s="1"/>
  <c r="R120" i="2"/>
  <c r="R122" i="2" s="1"/>
  <c r="I180" i="2"/>
  <c r="I181" i="2" s="1"/>
  <c r="I182" i="2" s="1"/>
  <c r="I183" i="2" s="1"/>
  <c r="I185" i="2" s="1"/>
  <c r="AG120" i="2"/>
  <c r="AG122" i="2" s="1"/>
  <c r="AG124" i="2" s="1"/>
  <c r="AG139" i="2" s="1"/>
  <c r="U134" i="2"/>
  <c r="U135" i="2" s="1"/>
  <c r="R183" i="2"/>
  <c r="R185" i="2" s="1"/>
  <c r="AD120" i="2"/>
  <c r="AD122" i="2" s="1"/>
  <c r="AI143" i="2"/>
  <c r="AD134" i="2"/>
  <c r="AD135" i="2" s="1"/>
  <c r="Q196" i="2"/>
  <c r="Q197" i="2" s="1"/>
  <c r="M177" i="2"/>
  <c r="M178" i="2" s="1"/>
  <c r="M179" i="2" s="1"/>
  <c r="M180" i="2"/>
  <c r="M181" i="2" s="1"/>
  <c r="M182" i="2" s="1"/>
  <c r="AH143" i="2"/>
  <c r="AJ124" i="2"/>
  <c r="AJ139" i="2" s="1"/>
  <c r="AJ143" i="2"/>
  <c r="AK143" i="2"/>
  <c r="AH35" i="2"/>
  <c r="AK156" i="2"/>
  <c r="Z183" i="2"/>
  <c r="Z185" i="2" s="1"/>
  <c r="J183" i="2"/>
  <c r="J185" i="2" s="1"/>
  <c r="AG143" i="2"/>
  <c r="AH36" i="2"/>
  <c r="AH156" i="2"/>
  <c r="AI156" i="2"/>
  <c r="AK124" i="2"/>
  <c r="AK139" i="2" s="1"/>
  <c r="V183" i="2"/>
  <c r="V185" i="2" s="1"/>
  <c r="AH120" i="2"/>
  <c r="AH122" i="2" s="1"/>
  <c r="AH124" i="2" s="1"/>
  <c r="AH139" i="2" s="1"/>
  <c r="AC134" i="2"/>
  <c r="AC135" i="2" s="1"/>
  <c r="AH196" i="2"/>
  <c r="AH197" i="2" s="1"/>
  <c r="AH198" i="2" s="1"/>
  <c r="Y196" i="2"/>
  <c r="Y197" i="2" s="1"/>
  <c r="AG196" i="2"/>
  <c r="AG197" i="2" s="1"/>
  <c r="AG198" i="2" s="1"/>
  <c r="AC196" i="2"/>
  <c r="AC197" i="2" s="1"/>
  <c r="AG104" i="2"/>
  <c r="AG105" i="2" s="1"/>
  <c r="AG106" i="2" s="1"/>
  <c r="AC104" i="2"/>
  <c r="AC105" i="2" s="1"/>
  <c r="AK104" i="2"/>
  <c r="AK105" i="2" s="1"/>
  <c r="AK106" i="2" s="1"/>
  <c r="R104" i="2"/>
  <c r="R105" i="2" s="1"/>
  <c r="AI35" i="2"/>
  <c r="S117" i="2"/>
  <c r="S118" i="2" s="1"/>
  <c r="S119" i="2" s="1"/>
  <c r="S114" i="2"/>
  <c r="S115" i="2" s="1"/>
  <c r="S116" i="2" s="1"/>
  <c r="AK35" i="2"/>
  <c r="AG134" i="2"/>
  <c r="AG135" i="2" s="1"/>
  <c r="AG136" i="2" s="1"/>
  <c r="Y104" i="2"/>
  <c r="Y105" i="2" s="1"/>
  <c r="AG35" i="2"/>
  <c r="R134" i="2"/>
  <c r="R135" i="2" s="1"/>
  <c r="AI36" i="2"/>
  <c r="U196" i="2"/>
  <c r="U197" i="2" s="1"/>
  <c r="T120" i="2"/>
  <c r="T122" i="2" s="1"/>
  <c r="X120" i="2"/>
  <c r="X122" i="2" s="1"/>
  <c r="AI117" i="2"/>
  <c r="AI118" i="2" s="1"/>
  <c r="AI119" i="2" s="1"/>
  <c r="AI114" i="2"/>
  <c r="AI115" i="2" s="1"/>
  <c r="AI116" i="2" s="1"/>
  <c r="O117" i="2"/>
  <c r="O118" i="2" s="1"/>
  <c r="O119" i="2" s="1"/>
  <c r="O114" i="2"/>
  <c r="O115" i="2" s="1"/>
  <c r="O116" i="2" s="1"/>
  <c r="K117" i="2"/>
  <c r="K118" i="2" s="1"/>
  <c r="K119" i="2" s="1"/>
  <c r="K114" i="2"/>
  <c r="K115" i="2" s="1"/>
  <c r="K116" i="2" s="1"/>
  <c r="Y134" i="2"/>
  <c r="Y135" i="2" s="1"/>
  <c r="I104" i="2"/>
  <c r="I105" i="2" s="1"/>
  <c r="AG156" i="2"/>
  <c r="AG36" i="2"/>
  <c r="Q134" i="2"/>
  <c r="Q135" i="2" s="1"/>
  <c r="AJ156" i="2"/>
  <c r="AJ35" i="2"/>
  <c r="AJ186" i="2"/>
  <c r="AJ201" i="2" s="1"/>
  <c r="AJ36" i="2"/>
  <c r="K183" i="2"/>
  <c r="K185" i="2" s="1"/>
  <c r="AI177" i="2"/>
  <c r="AI178" i="2" s="1"/>
  <c r="AI179" i="2" s="1"/>
  <c r="AI180" i="2"/>
  <c r="AI181" i="2" s="1"/>
  <c r="AI182" i="2" s="1"/>
  <c r="W117" i="2"/>
  <c r="W118" i="2" s="1"/>
  <c r="W119" i="2" s="1"/>
  <c r="W114" i="2"/>
  <c r="W115" i="2" s="1"/>
  <c r="W116" i="2" s="1"/>
  <c r="AE117" i="2"/>
  <c r="AE118" i="2" s="1"/>
  <c r="AE119" i="2" s="1"/>
  <c r="AE114" i="2"/>
  <c r="AE115" i="2" s="1"/>
  <c r="AE116" i="2" s="1"/>
  <c r="AE177" i="2"/>
  <c r="AE178" i="2" s="1"/>
  <c r="AE179" i="2" s="1"/>
  <c r="AE180" i="2"/>
  <c r="AE181" i="2" s="1"/>
  <c r="AE182" i="2" s="1"/>
  <c r="P114" i="2"/>
  <c r="P115" i="2" s="1"/>
  <c r="P116" i="2" s="1"/>
  <c r="P117" i="2"/>
  <c r="P118" i="2" s="1"/>
  <c r="P119" i="2" s="1"/>
  <c r="AC114" i="2"/>
  <c r="AC115" i="2" s="1"/>
  <c r="AC116" i="2" s="1"/>
  <c r="AC117" i="2"/>
  <c r="AC118" i="2" s="1"/>
  <c r="AC119" i="2" s="1"/>
  <c r="I120" i="2"/>
  <c r="I122" i="2" s="1"/>
  <c r="U114" i="2"/>
  <c r="U115" i="2" s="1"/>
  <c r="U116" i="2" s="1"/>
  <c r="U117" i="2"/>
  <c r="U118" i="2" s="1"/>
  <c r="U119" i="2" s="1"/>
  <c r="Q114" i="2"/>
  <c r="Q115" i="2" s="1"/>
  <c r="Q116" i="2" s="1"/>
  <c r="Q117" i="2"/>
  <c r="Q118" i="2" s="1"/>
  <c r="Q119" i="2" s="1"/>
  <c r="M104" i="2"/>
  <c r="M105" i="2" s="1"/>
  <c r="U104" i="2"/>
  <c r="U105" i="2" s="1"/>
  <c r="V120" i="2"/>
  <c r="V122" i="2" s="1"/>
  <c r="Q104" i="2"/>
  <c r="Q105" i="2" s="1"/>
  <c r="Z120" i="2"/>
  <c r="Z122" i="2" s="1"/>
  <c r="AK134" i="2"/>
  <c r="AK135" i="2" s="1"/>
  <c r="AK136" i="2" s="1"/>
  <c r="N120" i="2"/>
  <c r="N122" i="2" s="1"/>
  <c r="I134" i="2"/>
  <c r="I135" i="2" s="1"/>
  <c r="Y114" i="2"/>
  <c r="Y115" i="2" s="1"/>
  <c r="Y116" i="2" s="1"/>
  <c r="Y117" i="2"/>
  <c r="Y118" i="2" s="1"/>
  <c r="Y119" i="2" s="1"/>
  <c r="H22" i="2"/>
  <c r="O120" i="2" l="1"/>
  <c r="O122" i="2" s="1"/>
  <c r="M183" i="2"/>
  <c r="M185" i="2" s="1"/>
  <c r="S120" i="2"/>
  <c r="S122" i="2" s="1"/>
  <c r="AI183" i="2"/>
  <c r="AI185" i="2" s="1"/>
  <c r="AI186" i="2" s="1"/>
  <c r="AI201" i="2" s="1"/>
  <c r="AE183" i="2"/>
  <c r="AE185" i="2" s="1"/>
  <c r="W120" i="2"/>
  <c r="W122" i="2" s="1"/>
  <c r="AI120" i="2"/>
  <c r="AI122" i="2" s="1"/>
  <c r="AI124" i="2" s="1"/>
  <c r="AI139" i="2" s="1"/>
  <c r="P120" i="2"/>
  <c r="P122" i="2" s="1"/>
  <c r="AE120" i="2"/>
  <c r="AE122" i="2" s="1"/>
  <c r="K120" i="2"/>
  <c r="K122" i="2" s="1"/>
  <c r="Y120" i="2"/>
  <c r="Y122" i="2" s="1"/>
  <c r="Q120" i="2"/>
  <c r="Q122" i="2" s="1"/>
  <c r="U120" i="2"/>
  <c r="U122" i="2" s="1"/>
  <c r="AC120" i="2"/>
  <c r="AC122" i="2" s="1"/>
  <c r="C40" i="2"/>
  <c r="H14" i="2" l="1"/>
  <c r="H15" i="2" s="1"/>
  <c r="S14" i="2"/>
  <c r="W17" i="2"/>
  <c r="J18" i="2"/>
  <c r="Z18" i="2"/>
  <c r="P14" i="2"/>
  <c r="AF14" i="2"/>
  <c r="T17" i="2"/>
  <c r="W18" i="2"/>
  <c r="I14" i="2"/>
  <c r="Y14" i="2"/>
  <c r="I17" i="2"/>
  <c r="Y17" i="2"/>
  <c r="L18" i="2"/>
  <c r="AB18" i="2"/>
  <c r="V17" i="2"/>
  <c r="Q18" i="2"/>
  <c r="J17" i="2"/>
  <c r="AB17" i="2"/>
  <c r="AB19" i="2" s="1"/>
  <c r="T18" i="2"/>
  <c r="Z14" i="2"/>
  <c r="R14" i="2"/>
  <c r="W14" i="2"/>
  <c r="K17" i="2"/>
  <c r="AA17" i="2"/>
  <c r="N18" i="2"/>
  <c r="AD18" i="2"/>
  <c r="T14" i="2"/>
  <c r="X17" i="2"/>
  <c r="K18" i="2"/>
  <c r="AA18" i="2"/>
  <c r="M14" i="2"/>
  <c r="AC14" i="2"/>
  <c r="M17" i="2"/>
  <c r="AC17" i="2"/>
  <c r="P18" i="2"/>
  <c r="AF18" i="2"/>
  <c r="R17" i="2"/>
  <c r="AD14" i="2"/>
  <c r="AD17" i="2"/>
  <c r="AC18" i="2"/>
  <c r="K14" i="2"/>
  <c r="AA14" i="2"/>
  <c r="O17" i="2"/>
  <c r="AE17" i="2"/>
  <c r="R18" i="2"/>
  <c r="X14" i="2"/>
  <c r="L17" i="2"/>
  <c r="O18" i="2"/>
  <c r="AE18" i="2"/>
  <c r="Q14" i="2"/>
  <c r="Q17" i="2"/>
  <c r="I18" i="2"/>
  <c r="N17" i="2"/>
  <c r="M18" i="2"/>
  <c r="P17" i="2"/>
  <c r="P19" i="2" s="1"/>
  <c r="U17" i="2"/>
  <c r="N14" i="2"/>
  <c r="Y18" i="2"/>
  <c r="Z17" i="2"/>
  <c r="AE14" i="2"/>
  <c r="U18" i="2"/>
  <c r="V14" i="2"/>
  <c r="S17" i="2"/>
  <c r="L14" i="2"/>
  <c r="AF17" i="2"/>
  <c r="U14" i="2"/>
  <c r="J14" i="2"/>
  <c r="O14" i="2"/>
  <c r="AB14" i="2"/>
  <c r="V18" i="2"/>
  <c r="S18" i="2"/>
  <c r="X18" i="2"/>
  <c r="H18" i="2"/>
  <c r="H17" i="2"/>
  <c r="C41" i="2"/>
  <c r="H42" i="2"/>
  <c r="H30" i="2"/>
  <c r="R19" i="2" l="1"/>
  <c r="R81" i="2" s="1"/>
  <c r="Q19" i="2"/>
  <c r="AF19" i="2"/>
  <c r="AF81" i="2" s="1"/>
  <c r="P81" i="2"/>
  <c r="P53" i="2"/>
  <c r="Q81" i="2"/>
  <c r="Q53" i="2"/>
  <c r="AB81" i="2"/>
  <c r="AB53" i="2"/>
  <c r="R53" i="2"/>
  <c r="O19" i="2"/>
  <c r="O186" i="2" s="1"/>
  <c r="O201" i="2" s="1"/>
  <c r="P124" i="2"/>
  <c r="P139" i="2" s="1"/>
  <c r="P143" i="2"/>
  <c r="Q143" i="2"/>
  <c r="L19" i="2"/>
  <c r="L124" i="2" s="1"/>
  <c r="L139" i="2" s="1"/>
  <c r="K19" i="2"/>
  <c r="K35" i="2" s="1"/>
  <c r="I19" i="2"/>
  <c r="I186" i="2" s="1"/>
  <c r="AB143" i="2"/>
  <c r="J19" i="2"/>
  <c r="J36" i="2" s="1"/>
  <c r="AC19" i="2"/>
  <c r="W19" i="2"/>
  <c r="W186" i="2" s="1"/>
  <c r="W201" i="2" s="1"/>
  <c r="AB156" i="2"/>
  <c r="AB35" i="2"/>
  <c r="AB186" i="2"/>
  <c r="AB201" i="2" s="1"/>
  <c r="AB124" i="2"/>
  <c r="AB139" i="2" s="1"/>
  <c r="AB36" i="2"/>
  <c r="P36" i="2"/>
  <c r="S19" i="2"/>
  <c r="P156" i="2"/>
  <c r="P35" i="2"/>
  <c r="P186" i="2"/>
  <c r="P201" i="2" s="1"/>
  <c r="Q186" i="2"/>
  <c r="Q201" i="2" s="1"/>
  <c r="Q35" i="2"/>
  <c r="Q156" i="2"/>
  <c r="T19" i="2"/>
  <c r="Q124" i="2"/>
  <c r="Q139" i="2" s="1"/>
  <c r="V19" i="2"/>
  <c r="Q36" i="2"/>
  <c r="AD19" i="2"/>
  <c r="R186" i="2"/>
  <c r="R201" i="2" s="1"/>
  <c r="R124" i="2"/>
  <c r="R139" i="2" s="1"/>
  <c r="M19" i="2"/>
  <c r="N19" i="2"/>
  <c r="I15" i="2"/>
  <c r="I16" i="2" s="1"/>
  <c r="U19" i="2"/>
  <c r="AE19" i="2"/>
  <c r="X19" i="2"/>
  <c r="AA19" i="2"/>
  <c r="Y19" i="2"/>
  <c r="Z19" i="2"/>
  <c r="AF161" i="7"/>
  <c r="AF239" i="7"/>
  <c r="H16" i="2"/>
  <c r="H21" i="2"/>
  <c r="H12" i="2" s="1"/>
  <c r="H24" i="2"/>
  <c r="H25" i="2"/>
  <c r="H43" i="2"/>
  <c r="H44" i="2" s="1"/>
  <c r="AF124" i="2" l="1"/>
  <c r="AF139" i="2" s="1"/>
  <c r="AF143" i="2"/>
  <c r="AF35" i="2"/>
  <c r="R156" i="2"/>
  <c r="AF156" i="2"/>
  <c r="AF36" i="2"/>
  <c r="R143" i="2"/>
  <c r="R36" i="2"/>
  <c r="R35" i="2"/>
  <c r="AF186" i="2"/>
  <c r="AF201" i="2" s="1"/>
  <c r="AF53" i="2"/>
  <c r="I36" i="2"/>
  <c r="J35" i="2"/>
  <c r="J186" i="2"/>
  <c r="J201" i="2" s="1"/>
  <c r="W124" i="2"/>
  <c r="W139" i="2" s="1"/>
  <c r="W156" i="2"/>
  <c r="I35" i="2"/>
  <c r="O143" i="2"/>
  <c r="O124" i="2"/>
  <c r="O139" i="2" s="1"/>
  <c r="O36" i="2"/>
  <c r="Y81" i="2"/>
  <c r="Y53" i="2"/>
  <c r="U81" i="2"/>
  <c r="U53" i="2"/>
  <c r="V81" i="2"/>
  <c r="V53" i="2"/>
  <c r="T81" i="2"/>
  <c r="T53" i="2"/>
  <c r="AA81" i="2"/>
  <c r="AA53" i="2"/>
  <c r="N81" i="2"/>
  <c r="N53" i="2"/>
  <c r="O81" i="2"/>
  <c r="O53" i="2"/>
  <c r="X81" i="2"/>
  <c r="X53" i="2"/>
  <c r="M81" i="2"/>
  <c r="M53" i="2"/>
  <c r="AD81" i="2"/>
  <c r="AD53" i="2"/>
  <c r="O35" i="2"/>
  <c r="J81" i="2"/>
  <c r="J53" i="2"/>
  <c r="I81" i="2"/>
  <c r="I53" i="2"/>
  <c r="AC81" i="2"/>
  <c r="AC53" i="2"/>
  <c r="L81" i="2"/>
  <c r="L53" i="2"/>
  <c r="Z81" i="2"/>
  <c r="Z53" i="2"/>
  <c r="AE81" i="2"/>
  <c r="AE53" i="2"/>
  <c r="O156" i="2"/>
  <c r="S81" i="2"/>
  <c r="S53" i="2"/>
  <c r="W81" i="2"/>
  <c r="W53" i="2"/>
  <c r="K81" i="2"/>
  <c r="K53" i="2"/>
  <c r="L36" i="2"/>
  <c r="I156" i="2"/>
  <c r="I124" i="2"/>
  <c r="I139" i="2" s="1"/>
  <c r="AA143" i="2"/>
  <c r="L143" i="2"/>
  <c r="N36" i="2"/>
  <c r="N143" i="2"/>
  <c r="L156" i="2"/>
  <c r="AC156" i="2"/>
  <c r="AC143" i="2"/>
  <c r="K143" i="2"/>
  <c r="X36" i="2"/>
  <c r="X143" i="2"/>
  <c r="K156" i="2"/>
  <c r="AE36" i="2"/>
  <c r="AE143" i="2"/>
  <c r="M36" i="2"/>
  <c r="M143" i="2"/>
  <c r="T143" i="2"/>
  <c r="L186" i="2"/>
  <c r="L201" i="2" s="1"/>
  <c r="S143" i="2"/>
  <c r="V143" i="2"/>
  <c r="AC35" i="2"/>
  <c r="J156" i="2"/>
  <c r="J143" i="2"/>
  <c r="Z143" i="2"/>
  <c r="W35" i="2"/>
  <c r="W143" i="2"/>
  <c r="Y36" i="2"/>
  <c r="Y143" i="2"/>
  <c r="U143" i="2"/>
  <c r="K124" i="2"/>
  <c r="K139" i="2" s="1"/>
  <c r="AD143" i="2"/>
  <c r="J124" i="2"/>
  <c r="J139" i="2" s="1"/>
  <c r="K186" i="2"/>
  <c r="K201" i="2" s="1"/>
  <c r="L35" i="2"/>
  <c r="K36" i="2"/>
  <c r="I143" i="2"/>
  <c r="AC186" i="2"/>
  <c r="AC201" i="2" s="1"/>
  <c r="W36" i="2"/>
  <c r="J15" i="2"/>
  <c r="J16" i="2" s="1"/>
  <c r="J106" i="2" s="1"/>
  <c r="AC36" i="2"/>
  <c r="AC124" i="2"/>
  <c r="AC139" i="2" s="1"/>
  <c r="AA156" i="2"/>
  <c r="AA35" i="2"/>
  <c r="AA124" i="2"/>
  <c r="AA139" i="2" s="1"/>
  <c r="AA186" i="2"/>
  <c r="AA201" i="2" s="1"/>
  <c r="U186" i="2"/>
  <c r="U201" i="2" s="1"/>
  <c r="U156" i="2"/>
  <c r="U35" i="2"/>
  <c r="U124" i="2"/>
  <c r="U139" i="2" s="1"/>
  <c r="V156" i="2"/>
  <c r="V35" i="2"/>
  <c r="V186" i="2"/>
  <c r="V201" i="2" s="1"/>
  <c r="V124" i="2"/>
  <c r="V139" i="2" s="1"/>
  <c r="I201" i="2"/>
  <c r="S156" i="2"/>
  <c r="S124" i="2"/>
  <c r="S139" i="2" s="1"/>
  <c r="S35" i="2"/>
  <c r="S186" i="2"/>
  <c r="S201" i="2" s="1"/>
  <c r="Z35" i="2"/>
  <c r="Z156" i="2"/>
  <c r="Z186" i="2"/>
  <c r="Z201" i="2" s="1"/>
  <c r="Z124" i="2"/>
  <c r="Z139" i="2" s="1"/>
  <c r="X156" i="2"/>
  <c r="X35" i="2"/>
  <c r="X186" i="2"/>
  <c r="X201" i="2" s="1"/>
  <c r="X124" i="2"/>
  <c r="X139" i="2" s="1"/>
  <c r="N35" i="2"/>
  <c r="N156" i="2"/>
  <c r="N186" i="2"/>
  <c r="N201" i="2" s="1"/>
  <c r="N124" i="2"/>
  <c r="N139" i="2" s="1"/>
  <c r="T156" i="2"/>
  <c r="T35" i="2"/>
  <c r="T124" i="2"/>
  <c r="T139" i="2" s="1"/>
  <c r="T186" i="2"/>
  <c r="T201" i="2" s="1"/>
  <c r="Y35" i="2"/>
  <c r="Y186" i="2"/>
  <c r="Y201" i="2" s="1"/>
  <c r="Y156" i="2"/>
  <c r="Y124" i="2"/>
  <c r="Y139" i="2" s="1"/>
  <c r="M35" i="2"/>
  <c r="M186" i="2"/>
  <c r="M201" i="2" s="1"/>
  <c r="M156" i="2"/>
  <c r="M124" i="2"/>
  <c r="M139" i="2" s="1"/>
  <c r="AD35" i="2"/>
  <c r="AD156" i="2"/>
  <c r="AD124" i="2"/>
  <c r="AD139" i="2" s="1"/>
  <c r="AD186" i="2"/>
  <c r="AD201" i="2" s="1"/>
  <c r="V36" i="2"/>
  <c r="Z36" i="2"/>
  <c r="AE35" i="2"/>
  <c r="AE156" i="2"/>
  <c r="AE186" i="2"/>
  <c r="AE201" i="2" s="1"/>
  <c r="AE124" i="2"/>
  <c r="AE139" i="2" s="1"/>
  <c r="I169" i="2"/>
  <c r="I198" i="2"/>
  <c r="I136" i="2"/>
  <c r="I106" i="2"/>
  <c r="AD36" i="2"/>
  <c r="U36" i="2"/>
  <c r="T36" i="2"/>
  <c r="S36" i="2"/>
  <c r="AA36" i="2"/>
  <c r="H80" i="2"/>
  <c r="H123" i="2"/>
  <c r="H52" i="2"/>
  <c r="AB239" i="7"/>
  <c r="AB238" i="7"/>
  <c r="AB236" i="7"/>
  <c r="AB237" i="7"/>
  <c r="AB235" i="7"/>
  <c r="AD239" i="7"/>
  <c r="AD238" i="7"/>
  <c r="AD237" i="7"/>
  <c r="AC237" i="7"/>
  <c r="AC239" i="7"/>
  <c r="AC238" i="7"/>
  <c r="AC236" i="7"/>
  <c r="AE239" i="7"/>
  <c r="AE238" i="7"/>
  <c r="AB161" i="7"/>
  <c r="AB158" i="7"/>
  <c r="AB160" i="7"/>
  <c r="AB159" i="7"/>
  <c r="AB157" i="7"/>
  <c r="AE161" i="7"/>
  <c r="AE160" i="7"/>
  <c r="AC161" i="7"/>
  <c r="AC160" i="7"/>
  <c r="AC159" i="7"/>
  <c r="AC158" i="7"/>
  <c r="AD161" i="7"/>
  <c r="AD160" i="7"/>
  <c r="AD159" i="7"/>
  <c r="H136" i="2"/>
  <c r="H198" i="2"/>
  <c r="H106" i="2"/>
  <c r="H169" i="2"/>
  <c r="H51" i="2"/>
  <c r="H45" i="2"/>
  <c r="H39" i="2"/>
  <c r="H40" i="2" s="1"/>
  <c r="H32" i="2"/>
  <c r="H61" i="2" s="1"/>
  <c r="J198" i="2" l="1"/>
  <c r="K15" i="2"/>
  <c r="K16" i="2" s="1"/>
  <c r="J136" i="2"/>
  <c r="J169" i="2"/>
  <c r="H62" i="2"/>
  <c r="I61" i="2"/>
  <c r="Q236" i="7"/>
  <c r="Q234" i="7"/>
  <c r="Q227" i="7"/>
  <c r="Q226" i="7"/>
  <c r="Q237" i="7"/>
  <c r="Q238" i="7"/>
  <c r="Q235" i="7"/>
  <c r="Q232" i="7"/>
  <c r="Q229" i="7"/>
  <c r="Q228" i="7"/>
  <c r="Q225" i="7"/>
  <c r="Q230" i="7"/>
  <c r="Q233" i="7"/>
  <c r="Q239" i="7"/>
  <c r="Q231" i="7"/>
  <c r="U236" i="7"/>
  <c r="U237" i="7"/>
  <c r="U234" i="7"/>
  <c r="U239" i="7"/>
  <c r="U232" i="7"/>
  <c r="U229" i="7"/>
  <c r="U233" i="7"/>
  <c r="U235" i="7"/>
  <c r="U231" i="7"/>
  <c r="U238" i="7"/>
  <c r="U230" i="7"/>
  <c r="Z235" i="7"/>
  <c r="Z237" i="7"/>
  <c r="Z238" i="7"/>
  <c r="Z239" i="7"/>
  <c r="Z236" i="7"/>
  <c r="Z234" i="7"/>
  <c r="P239" i="7"/>
  <c r="P238" i="7"/>
  <c r="P236" i="7"/>
  <c r="P233" i="7"/>
  <c r="P228" i="7"/>
  <c r="P225" i="7"/>
  <c r="P234" i="7"/>
  <c r="P227" i="7"/>
  <c r="P226" i="7"/>
  <c r="P231" i="7"/>
  <c r="P232" i="7"/>
  <c r="P237" i="7"/>
  <c r="P230" i="7"/>
  <c r="P235" i="7"/>
  <c r="P229" i="7"/>
  <c r="P224" i="7"/>
  <c r="R235" i="7"/>
  <c r="R237" i="7"/>
  <c r="R238" i="7"/>
  <c r="R232" i="7"/>
  <c r="R229" i="7"/>
  <c r="R239" i="7"/>
  <c r="R231" i="7"/>
  <c r="R230" i="7"/>
  <c r="R227" i="7"/>
  <c r="R226" i="7"/>
  <c r="R236" i="7"/>
  <c r="R233" i="7"/>
  <c r="R234" i="7"/>
  <c r="R228" i="7"/>
  <c r="Y236" i="7"/>
  <c r="Y234" i="7"/>
  <c r="Y237" i="7"/>
  <c r="Y238" i="7"/>
  <c r="Y235" i="7"/>
  <c r="Y239" i="7"/>
  <c r="Y233" i="7"/>
  <c r="V235" i="7"/>
  <c r="V237" i="7"/>
  <c r="V239" i="7"/>
  <c r="V232" i="7"/>
  <c r="V238" i="7"/>
  <c r="V236" i="7"/>
  <c r="V231" i="7"/>
  <c r="V230" i="7"/>
  <c r="V234" i="7"/>
  <c r="V233" i="7"/>
  <c r="O237" i="7"/>
  <c r="O239" i="7"/>
  <c r="O238" i="7"/>
  <c r="O236" i="7"/>
  <c r="O231" i="7"/>
  <c r="O230" i="7"/>
  <c r="O223" i="7"/>
  <c r="O233" i="7"/>
  <c r="O228" i="7"/>
  <c r="O225" i="7"/>
  <c r="O235" i="7"/>
  <c r="O229" i="7"/>
  <c r="O224" i="7"/>
  <c r="O227" i="7"/>
  <c r="O226" i="7"/>
  <c r="O232" i="7"/>
  <c r="O234" i="7"/>
  <c r="AA237" i="7"/>
  <c r="AA239" i="7"/>
  <c r="AA238" i="7"/>
  <c r="AA236" i="7"/>
  <c r="AA235" i="7"/>
  <c r="N235" i="7"/>
  <c r="N237" i="7"/>
  <c r="N239" i="7"/>
  <c r="N232" i="7"/>
  <c r="N229" i="7"/>
  <c r="N224" i="7"/>
  <c r="N238" i="7"/>
  <c r="N236" i="7"/>
  <c r="N231" i="7"/>
  <c r="N230" i="7"/>
  <c r="N223" i="7"/>
  <c r="N222" i="7"/>
  <c r="N234" i="7"/>
  <c r="N228" i="7"/>
  <c r="N225" i="7"/>
  <c r="N227" i="7"/>
  <c r="N226" i="7"/>
  <c r="N233" i="7"/>
  <c r="W237" i="7"/>
  <c r="W239" i="7"/>
  <c r="W238" i="7"/>
  <c r="W236" i="7"/>
  <c r="W231" i="7"/>
  <c r="W235" i="7"/>
  <c r="W233" i="7"/>
  <c r="W232" i="7"/>
  <c r="W234" i="7"/>
  <c r="M236" i="7"/>
  <c r="M237" i="7"/>
  <c r="M235" i="7"/>
  <c r="M234" i="7"/>
  <c r="M227" i="7"/>
  <c r="M226" i="7"/>
  <c r="M239" i="7"/>
  <c r="M232" i="7"/>
  <c r="M229" i="7"/>
  <c r="M224" i="7"/>
  <c r="M221" i="7"/>
  <c r="M233" i="7"/>
  <c r="M231" i="7"/>
  <c r="M222" i="7"/>
  <c r="M228" i="7"/>
  <c r="M225" i="7"/>
  <c r="M238" i="7"/>
  <c r="M230" i="7"/>
  <c r="M223" i="7"/>
  <c r="S237" i="7"/>
  <c r="S239" i="7"/>
  <c r="S238" i="7"/>
  <c r="S235" i="7"/>
  <c r="S231" i="7"/>
  <c r="S230" i="7"/>
  <c r="S236" i="7"/>
  <c r="S233" i="7"/>
  <c r="S228" i="7"/>
  <c r="S232" i="7"/>
  <c r="S234" i="7"/>
  <c r="S229" i="7"/>
  <c r="S227" i="7"/>
  <c r="X239" i="7"/>
  <c r="X238" i="7"/>
  <c r="X236" i="7"/>
  <c r="X235" i="7"/>
  <c r="X233" i="7"/>
  <c r="X234" i="7"/>
  <c r="X237" i="7"/>
  <c r="X232" i="7"/>
  <c r="T239" i="7"/>
  <c r="T238" i="7"/>
  <c r="T236" i="7"/>
  <c r="T233" i="7"/>
  <c r="T228" i="7"/>
  <c r="T237" i="7"/>
  <c r="T234" i="7"/>
  <c r="T230" i="7"/>
  <c r="T229" i="7"/>
  <c r="T235" i="7"/>
  <c r="T231" i="7"/>
  <c r="T232" i="7"/>
  <c r="P161" i="7"/>
  <c r="P158" i="7"/>
  <c r="P153" i="7"/>
  <c r="P160" i="7"/>
  <c r="P159" i="7"/>
  <c r="P152" i="7"/>
  <c r="P151" i="7"/>
  <c r="P157" i="7"/>
  <c r="P156" i="7"/>
  <c r="P154" i="7"/>
  <c r="P148" i="7"/>
  <c r="P147" i="7"/>
  <c r="P150" i="7"/>
  <c r="P146" i="7"/>
  <c r="P155" i="7"/>
  <c r="P149" i="7"/>
  <c r="M160" i="7"/>
  <c r="M159" i="7"/>
  <c r="M152" i="7"/>
  <c r="M151" i="7"/>
  <c r="M157" i="7"/>
  <c r="M154" i="7"/>
  <c r="M156" i="7"/>
  <c r="M155" i="7"/>
  <c r="M158" i="7"/>
  <c r="M150" i="7"/>
  <c r="M145" i="7"/>
  <c r="M147" i="7"/>
  <c r="M153" i="7"/>
  <c r="M144" i="7"/>
  <c r="M143" i="7"/>
  <c r="M148" i="7"/>
  <c r="M149" i="7"/>
  <c r="M146" i="7"/>
  <c r="M161" i="7"/>
  <c r="V157" i="7"/>
  <c r="V154" i="7"/>
  <c r="V156" i="7"/>
  <c r="V155" i="7"/>
  <c r="V161" i="7"/>
  <c r="V158" i="7"/>
  <c r="V160" i="7"/>
  <c r="V153" i="7"/>
  <c r="V159" i="7"/>
  <c r="V152" i="7"/>
  <c r="Z161" i="7"/>
  <c r="Z157" i="7"/>
  <c r="Z156" i="7"/>
  <c r="Z158" i="7"/>
  <c r="Z160" i="7"/>
  <c r="Z159" i="7"/>
  <c r="T161" i="7"/>
  <c r="T158" i="7"/>
  <c r="T153" i="7"/>
  <c r="T160" i="7"/>
  <c r="T159" i="7"/>
  <c r="T152" i="7"/>
  <c r="T151" i="7"/>
  <c r="T157" i="7"/>
  <c r="T155" i="7"/>
  <c r="T150" i="7"/>
  <c r="T156" i="7"/>
  <c r="T154" i="7"/>
  <c r="Q160" i="7"/>
  <c r="Q159" i="7"/>
  <c r="Q152" i="7"/>
  <c r="Q151" i="7"/>
  <c r="Q157" i="7"/>
  <c r="Q154" i="7"/>
  <c r="Q156" i="7"/>
  <c r="Q155" i="7"/>
  <c r="Q150" i="7"/>
  <c r="Q161" i="7"/>
  <c r="Q149" i="7"/>
  <c r="Q158" i="7"/>
  <c r="Q153" i="7"/>
  <c r="Q148" i="7"/>
  <c r="Q147" i="7"/>
  <c r="S156" i="7"/>
  <c r="S155" i="7"/>
  <c r="S161" i="7"/>
  <c r="S158" i="7"/>
  <c r="S153" i="7"/>
  <c r="S160" i="7"/>
  <c r="S159" i="7"/>
  <c r="S152" i="7"/>
  <c r="S149" i="7"/>
  <c r="S157" i="7"/>
  <c r="S154" i="7"/>
  <c r="S151" i="7"/>
  <c r="S150" i="7"/>
  <c r="O156" i="7"/>
  <c r="O155" i="7"/>
  <c r="O161" i="7"/>
  <c r="O158" i="7"/>
  <c r="O153" i="7"/>
  <c r="O160" i="7"/>
  <c r="O159" i="7"/>
  <c r="O151" i="7"/>
  <c r="O149" i="7"/>
  <c r="O146" i="7"/>
  <c r="O154" i="7"/>
  <c r="O148" i="7"/>
  <c r="O147" i="7"/>
  <c r="O157" i="7"/>
  <c r="O152" i="7"/>
  <c r="O150" i="7"/>
  <c r="O145" i="7"/>
  <c r="X161" i="7"/>
  <c r="X158" i="7"/>
  <c r="X160" i="7"/>
  <c r="X159" i="7"/>
  <c r="X157" i="7"/>
  <c r="X155" i="7"/>
  <c r="X154" i="7"/>
  <c r="X156" i="7"/>
  <c r="N157" i="7"/>
  <c r="N154" i="7"/>
  <c r="N156" i="7"/>
  <c r="N155" i="7"/>
  <c r="N161" i="7"/>
  <c r="N158" i="7"/>
  <c r="N153" i="7"/>
  <c r="N144" i="7"/>
  <c r="N159" i="7"/>
  <c r="N151" i="7"/>
  <c r="N149" i="7"/>
  <c r="N146" i="7"/>
  <c r="N152" i="7"/>
  <c r="N145" i="7"/>
  <c r="N160" i="7"/>
  <c r="N148" i="7"/>
  <c r="N147" i="7"/>
  <c r="N150" i="7"/>
  <c r="Y161" i="7"/>
  <c r="Y160" i="7"/>
  <c r="Y159" i="7"/>
  <c r="Y157" i="7"/>
  <c r="Y156" i="7"/>
  <c r="Y155" i="7"/>
  <c r="Y158" i="7"/>
  <c r="R157" i="7"/>
  <c r="R154" i="7"/>
  <c r="R156" i="7"/>
  <c r="R155" i="7"/>
  <c r="R161" i="7"/>
  <c r="R158" i="7"/>
  <c r="R159" i="7"/>
  <c r="R160" i="7"/>
  <c r="R152" i="7"/>
  <c r="R149" i="7"/>
  <c r="R151" i="7"/>
  <c r="R150" i="7"/>
  <c r="R153" i="7"/>
  <c r="R148" i="7"/>
  <c r="U160" i="7"/>
  <c r="U159" i="7"/>
  <c r="U152" i="7"/>
  <c r="U151" i="7"/>
  <c r="U157" i="7"/>
  <c r="U154" i="7"/>
  <c r="U156" i="7"/>
  <c r="U155" i="7"/>
  <c r="U161" i="7"/>
  <c r="U153" i="7"/>
  <c r="U158" i="7"/>
  <c r="AA158" i="7"/>
  <c r="AA160" i="7"/>
  <c r="AA159" i="7"/>
  <c r="AA161" i="7"/>
  <c r="AA157" i="7"/>
  <c r="W156" i="7"/>
  <c r="W155" i="7"/>
  <c r="W161" i="7"/>
  <c r="W158" i="7"/>
  <c r="W153" i="7"/>
  <c r="W160" i="7"/>
  <c r="W159" i="7"/>
  <c r="W157" i="7"/>
  <c r="W154" i="7"/>
  <c r="H41" i="2"/>
  <c r="H46" i="2" s="1"/>
  <c r="L15" i="2" l="1"/>
  <c r="L16" i="2" s="1"/>
  <c r="I62" i="2"/>
  <c r="I63" i="2" s="1"/>
  <c r="J61" i="2"/>
  <c r="K169" i="2"/>
  <c r="K136" i="2"/>
  <c r="K198" i="2"/>
  <c r="K106" i="2"/>
  <c r="D133" i="7"/>
  <c r="H63" i="2"/>
  <c r="H175" i="2"/>
  <c r="H184" i="2" s="1"/>
  <c r="H112" i="2"/>
  <c r="H121" i="2" s="1"/>
  <c r="H26" i="2"/>
  <c r="M15" i="2" l="1"/>
  <c r="M16" i="2" s="1"/>
  <c r="L136" i="2"/>
  <c r="L169" i="2"/>
  <c r="L106" i="2"/>
  <c r="L198" i="2"/>
  <c r="J62" i="2"/>
  <c r="J63" i="2" s="1"/>
  <c r="K61" i="2"/>
  <c r="H239" i="7"/>
  <c r="H238" i="7"/>
  <c r="H233" i="7"/>
  <c r="H228" i="7"/>
  <c r="H225" i="7"/>
  <c r="H220" i="7"/>
  <c r="H217" i="7"/>
  <c r="H236" i="7"/>
  <c r="H235" i="7"/>
  <c r="H234" i="7"/>
  <c r="H227" i="7"/>
  <c r="H226" i="7"/>
  <c r="H219" i="7"/>
  <c r="H218" i="7"/>
  <c r="H231" i="7"/>
  <c r="H222" i="7"/>
  <c r="H232" i="7"/>
  <c r="H221" i="7"/>
  <c r="H216" i="7"/>
  <c r="H230" i="7"/>
  <c r="H223" i="7"/>
  <c r="H237" i="7"/>
  <c r="H229" i="7"/>
  <c r="H224" i="7"/>
  <c r="G237" i="7"/>
  <c r="G239" i="7"/>
  <c r="G238" i="7"/>
  <c r="G231" i="7"/>
  <c r="G230" i="7"/>
  <c r="G223" i="7"/>
  <c r="G222" i="7"/>
  <c r="G215" i="7"/>
  <c r="G236" i="7"/>
  <c r="G233" i="7"/>
  <c r="G228" i="7"/>
  <c r="G225" i="7"/>
  <c r="G220" i="7"/>
  <c r="G217" i="7"/>
  <c r="G229" i="7"/>
  <c r="G224" i="7"/>
  <c r="G227" i="7"/>
  <c r="G226" i="7"/>
  <c r="G232" i="7"/>
  <c r="G221" i="7"/>
  <c r="G216" i="7"/>
  <c r="G235" i="7"/>
  <c r="G234" i="7"/>
  <c r="G219" i="7"/>
  <c r="G218" i="7"/>
  <c r="L239" i="7"/>
  <c r="L238" i="7"/>
  <c r="L233" i="7"/>
  <c r="L228" i="7"/>
  <c r="L225" i="7"/>
  <c r="L220" i="7"/>
  <c r="L236" i="7"/>
  <c r="L237" i="7"/>
  <c r="L235" i="7"/>
  <c r="L234" i="7"/>
  <c r="L227" i="7"/>
  <c r="L226" i="7"/>
  <c r="L230" i="7"/>
  <c r="L223" i="7"/>
  <c r="L229" i="7"/>
  <c r="L224" i="7"/>
  <c r="L231" i="7"/>
  <c r="L222" i="7"/>
  <c r="L232" i="7"/>
  <c r="L221" i="7"/>
  <c r="F237" i="7"/>
  <c r="F239" i="7"/>
  <c r="F232" i="7"/>
  <c r="F229" i="7"/>
  <c r="F224" i="7"/>
  <c r="F221" i="7"/>
  <c r="F216" i="7"/>
  <c r="F238" i="7"/>
  <c r="F231" i="7"/>
  <c r="F230" i="7"/>
  <c r="F223" i="7"/>
  <c r="F222" i="7"/>
  <c r="F215" i="7"/>
  <c r="F214" i="7"/>
  <c r="F235" i="7"/>
  <c r="F234" i="7"/>
  <c r="F219" i="7"/>
  <c r="F218" i="7"/>
  <c r="F228" i="7"/>
  <c r="F225" i="7"/>
  <c r="F227" i="7"/>
  <c r="F226" i="7"/>
  <c r="F236" i="7"/>
  <c r="F233" i="7"/>
  <c r="F220" i="7"/>
  <c r="F217" i="7"/>
  <c r="J237" i="7"/>
  <c r="J238" i="7"/>
  <c r="J236" i="7"/>
  <c r="J232" i="7"/>
  <c r="J229" i="7"/>
  <c r="J224" i="7"/>
  <c r="J221" i="7"/>
  <c r="J239" i="7"/>
  <c r="J231" i="7"/>
  <c r="J230" i="7"/>
  <c r="J223" i="7"/>
  <c r="J222" i="7"/>
  <c r="J227" i="7"/>
  <c r="J226" i="7"/>
  <c r="J233" i="7"/>
  <c r="J220" i="7"/>
  <c r="J235" i="7"/>
  <c r="J234" i="7"/>
  <c r="J219" i="7"/>
  <c r="J218" i="7"/>
  <c r="J228" i="7"/>
  <c r="J225" i="7"/>
  <c r="K237" i="7"/>
  <c r="K239" i="7"/>
  <c r="K238" i="7"/>
  <c r="K231" i="7"/>
  <c r="K230" i="7"/>
  <c r="K223" i="7"/>
  <c r="K222" i="7"/>
  <c r="K233" i="7"/>
  <c r="K228" i="7"/>
  <c r="K225" i="7"/>
  <c r="K220" i="7"/>
  <c r="K232" i="7"/>
  <c r="K221" i="7"/>
  <c r="K235" i="7"/>
  <c r="K234" i="7"/>
  <c r="K219" i="7"/>
  <c r="K236" i="7"/>
  <c r="K229" i="7"/>
  <c r="K224" i="7"/>
  <c r="K227" i="7"/>
  <c r="K226" i="7"/>
  <c r="E236" i="7"/>
  <c r="E237" i="7"/>
  <c r="E235" i="7"/>
  <c r="E234" i="7"/>
  <c r="E227" i="7"/>
  <c r="E226" i="7"/>
  <c r="E219" i="7"/>
  <c r="E218" i="7"/>
  <c r="E239" i="7"/>
  <c r="E232" i="7"/>
  <c r="E229" i="7"/>
  <c r="E224" i="7"/>
  <c r="E221" i="7"/>
  <c r="E216" i="7"/>
  <c r="E213" i="7"/>
  <c r="E238" i="7"/>
  <c r="E233" i="7"/>
  <c r="E220" i="7"/>
  <c r="E217" i="7"/>
  <c r="E231" i="7"/>
  <c r="E222" i="7"/>
  <c r="E215" i="7"/>
  <c r="E228" i="7"/>
  <c r="E225" i="7"/>
  <c r="E230" i="7"/>
  <c r="E223" i="7"/>
  <c r="E214" i="7"/>
  <c r="I236" i="7"/>
  <c r="I235" i="7"/>
  <c r="I234" i="7"/>
  <c r="I227" i="7"/>
  <c r="I226" i="7"/>
  <c r="I219" i="7"/>
  <c r="I218" i="7"/>
  <c r="I237" i="7"/>
  <c r="I238" i="7"/>
  <c r="I232" i="7"/>
  <c r="I229" i="7"/>
  <c r="I224" i="7"/>
  <c r="I221" i="7"/>
  <c r="I239" i="7"/>
  <c r="I228" i="7"/>
  <c r="I225" i="7"/>
  <c r="I230" i="7"/>
  <c r="I223" i="7"/>
  <c r="I233" i="7"/>
  <c r="I220" i="7"/>
  <c r="I217" i="7"/>
  <c r="I231" i="7"/>
  <c r="I222" i="7"/>
  <c r="D239" i="7"/>
  <c r="D238" i="7"/>
  <c r="D236" i="7"/>
  <c r="D233" i="7"/>
  <c r="D228" i="7"/>
  <c r="D225" i="7"/>
  <c r="D220" i="7"/>
  <c r="D217" i="7"/>
  <c r="D212" i="7"/>
  <c r="D237" i="7"/>
  <c r="D235" i="7"/>
  <c r="D234" i="7"/>
  <c r="D227" i="7"/>
  <c r="D226" i="7"/>
  <c r="D219" i="7"/>
  <c r="D218" i="7"/>
  <c r="D230" i="7"/>
  <c r="D223" i="7"/>
  <c r="D214" i="7"/>
  <c r="D229" i="7"/>
  <c r="D224" i="7"/>
  <c r="D213" i="7"/>
  <c r="D231" i="7"/>
  <c r="D222" i="7"/>
  <c r="D215" i="7"/>
  <c r="D232" i="7"/>
  <c r="D221" i="7"/>
  <c r="D216" i="7"/>
  <c r="E212" i="7"/>
  <c r="D211" i="7"/>
  <c r="J157" i="7"/>
  <c r="J154" i="7"/>
  <c r="J156" i="7"/>
  <c r="J155" i="7"/>
  <c r="J161" i="7"/>
  <c r="J158" i="7"/>
  <c r="J151" i="7"/>
  <c r="J144" i="7"/>
  <c r="J143" i="7"/>
  <c r="J152" i="7"/>
  <c r="J149" i="7"/>
  <c r="J146" i="7"/>
  <c r="J141" i="7"/>
  <c r="J160" i="7"/>
  <c r="J150" i="7"/>
  <c r="J142" i="7"/>
  <c r="J159" i="7"/>
  <c r="J153" i="7"/>
  <c r="J148" i="7"/>
  <c r="J147" i="7"/>
  <c r="J140" i="7"/>
  <c r="J145" i="7"/>
  <c r="E160" i="7"/>
  <c r="E159" i="7"/>
  <c r="E152" i="7"/>
  <c r="E157" i="7"/>
  <c r="E154" i="7"/>
  <c r="E156" i="7"/>
  <c r="E150" i="7"/>
  <c r="E145" i="7"/>
  <c r="E142" i="7"/>
  <c r="E137" i="7"/>
  <c r="E161" i="7"/>
  <c r="E153" i="7"/>
  <c r="E151" i="7"/>
  <c r="E144" i="7"/>
  <c r="E143" i="7"/>
  <c r="E136" i="7"/>
  <c r="E135" i="7"/>
  <c r="E148" i="7"/>
  <c r="E139" i="7"/>
  <c r="E158" i="7"/>
  <c r="E155" i="7"/>
  <c r="E149" i="7"/>
  <c r="E146" i="7"/>
  <c r="E141" i="7"/>
  <c r="E138" i="7"/>
  <c r="E147" i="7"/>
  <c r="E140" i="7"/>
  <c r="F157" i="7"/>
  <c r="F154" i="7"/>
  <c r="F156" i="7"/>
  <c r="F155" i="7"/>
  <c r="F161" i="7"/>
  <c r="F158" i="7"/>
  <c r="F160" i="7"/>
  <c r="F153" i="7"/>
  <c r="F151" i="7"/>
  <c r="F144" i="7"/>
  <c r="F143" i="7"/>
  <c r="F136" i="7"/>
  <c r="F149" i="7"/>
  <c r="F146" i="7"/>
  <c r="F141" i="7"/>
  <c r="F138" i="7"/>
  <c r="F159" i="7"/>
  <c r="F145" i="7"/>
  <c r="F137" i="7"/>
  <c r="F148" i="7"/>
  <c r="F147" i="7"/>
  <c r="F140" i="7"/>
  <c r="F139" i="7"/>
  <c r="F152" i="7"/>
  <c r="F150" i="7"/>
  <c r="F142" i="7"/>
  <c r="K156" i="7"/>
  <c r="K155" i="7"/>
  <c r="K161" i="7"/>
  <c r="K158" i="7"/>
  <c r="K153" i="7"/>
  <c r="K160" i="7"/>
  <c r="K159" i="7"/>
  <c r="K152" i="7"/>
  <c r="K149" i="7"/>
  <c r="K146" i="7"/>
  <c r="K141" i="7"/>
  <c r="K148" i="7"/>
  <c r="K147" i="7"/>
  <c r="K143" i="7"/>
  <c r="K150" i="7"/>
  <c r="K145" i="7"/>
  <c r="K142" i="7"/>
  <c r="K157" i="7"/>
  <c r="K154" i="7"/>
  <c r="K151" i="7"/>
  <c r="K144" i="7"/>
  <c r="H161" i="7"/>
  <c r="H158" i="7"/>
  <c r="H153" i="7"/>
  <c r="H160" i="7"/>
  <c r="H159" i="7"/>
  <c r="H152" i="7"/>
  <c r="H157" i="7"/>
  <c r="H154" i="7"/>
  <c r="H148" i="7"/>
  <c r="H147" i="7"/>
  <c r="H140" i="7"/>
  <c r="H139" i="7"/>
  <c r="H141" i="7"/>
  <c r="H155" i="7"/>
  <c r="H150" i="7"/>
  <c r="H145" i="7"/>
  <c r="H142" i="7"/>
  <c r="H146" i="7"/>
  <c r="H156" i="7"/>
  <c r="H151" i="7"/>
  <c r="H144" i="7"/>
  <c r="H143" i="7"/>
  <c r="H149" i="7"/>
  <c r="H138" i="7"/>
  <c r="G156" i="7"/>
  <c r="G155" i="7"/>
  <c r="G161" i="7"/>
  <c r="G158" i="7"/>
  <c r="G153" i="7"/>
  <c r="G160" i="7"/>
  <c r="G159" i="7"/>
  <c r="G157" i="7"/>
  <c r="G149" i="7"/>
  <c r="G146" i="7"/>
  <c r="G141" i="7"/>
  <c r="G138" i="7"/>
  <c r="G154" i="7"/>
  <c r="G148" i="7"/>
  <c r="G147" i="7"/>
  <c r="G140" i="7"/>
  <c r="G139" i="7"/>
  <c r="G151" i="7"/>
  <c r="G144" i="7"/>
  <c r="G152" i="7"/>
  <c r="G150" i="7"/>
  <c r="G145" i="7"/>
  <c r="G142" i="7"/>
  <c r="G137" i="7"/>
  <c r="G143" i="7"/>
  <c r="D161" i="7"/>
  <c r="D158" i="7"/>
  <c r="D153" i="7"/>
  <c r="D160" i="7"/>
  <c r="D159" i="7"/>
  <c r="D152" i="7"/>
  <c r="D157" i="7"/>
  <c r="D148" i="7"/>
  <c r="D147" i="7"/>
  <c r="D140" i="7"/>
  <c r="D139" i="7"/>
  <c r="D138" i="7"/>
  <c r="D150" i="7"/>
  <c r="D145" i="7"/>
  <c r="D142" i="7"/>
  <c r="D137" i="7"/>
  <c r="D134" i="7"/>
  <c r="D149" i="7"/>
  <c r="D154" i="7"/>
  <c r="D151" i="7"/>
  <c r="D144" i="7"/>
  <c r="D143" i="7"/>
  <c r="D136" i="7"/>
  <c r="D135" i="7"/>
  <c r="D156" i="7"/>
  <c r="D155" i="7"/>
  <c r="D146" i="7"/>
  <c r="D141" i="7"/>
  <c r="I160" i="7"/>
  <c r="I159" i="7"/>
  <c r="I152" i="7"/>
  <c r="I157" i="7"/>
  <c r="I154" i="7"/>
  <c r="I156" i="7"/>
  <c r="I161" i="7"/>
  <c r="I155" i="7"/>
  <c r="I150" i="7"/>
  <c r="I145" i="7"/>
  <c r="I142" i="7"/>
  <c r="I139" i="7"/>
  <c r="I158" i="7"/>
  <c r="I151" i="7"/>
  <c r="I144" i="7"/>
  <c r="I143" i="7"/>
  <c r="I153" i="7"/>
  <c r="I147" i="7"/>
  <c r="I140" i="7"/>
  <c r="I149" i="7"/>
  <c r="I146" i="7"/>
  <c r="I141" i="7"/>
  <c r="I148" i="7"/>
  <c r="L161" i="7"/>
  <c r="L158" i="7"/>
  <c r="L153" i="7"/>
  <c r="L160" i="7"/>
  <c r="L159" i="7"/>
  <c r="L152" i="7"/>
  <c r="L157" i="7"/>
  <c r="L148" i="7"/>
  <c r="L147" i="7"/>
  <c r="L156" i="7"/>
  <c r="L150" i="7"/>
  <c r="L145" i="7"/>
  <c r="L142" i="7"/>
  <c r="L155" i="7"/>
  <c r="L149" i="7"/>
  <c r="L154" i="7"/>
  <c r="L151" i="7"/>
  <c r="L144" i="7"/>
  <c r="L143" i="7"/>
  <c r="L146" i="7"/>
  <c r="E134" i="7"/>
  <c r="H34" i="2"/>
  <c r="H176" i="2"/>
  <c r="H113" i="2"/>
  <c r="H117" i="2" s="1"/>
  <c r="H19" i="2"/>
  <c r="N15" i="2" l="1"/>
  <c r="N16" i="2" s="1"/>
  <c r="H81" i="2"/>
  <c r="I82" i="2" s="1"/>
  <c r="H53" i="2"/>
  <c r="I54" i="2" s="1"/>
  <c r="I55" i="2" s="1"/>
  <c r="I56" i="2" s="1"/>
  <c r="K62" i="2"/>
  <c r="K63" i="2" s="1"/>
  <c r="L61" i="2"/>
  <c r="M106" i="2"/>
  <c r="M169" i="2"/>
  <c r="M136" i="2"/>
  <c r="M198" i="2"/>
  <c r="F213" i="7"/>
  <c r="F135" i="7"/>
  <c r="H36" i="2"/>
  <c r="H35" i="2"/>
  <c r="H118" i="2"/>
  <c r="H119" i="2" s="1"/>
  <c r="H177" i="2"/>
  <c r="H180" i="2"/>
  <c r="H114" i="2"/>
  <c r="O15" i="2" l="1"/>
  <c r="H143" i="2"/>
  <c r="I144" i="2" s="1"/>
  <c r="L62" i="2"/>
  <c r="L63" i="2" s="1"/>
  <c r="M61" i="2"/>
  <c r="P15" i="2"/>
  <c r="O16" i="2"/>
  <c r="J82" i="2"/>
  <c r="I83" i="2"/>
  <c r="N136" i="2"/>
  <c r="N198" i="2"/>
  <c r="N106" i="2"/>
  <c r="N169" i="2"/>
  <c r="J54" i="2"/>
  <c r="J55" i="2" s="1"/>
  <c r="J56" i="2" s="1"/>
  <c r="I57" i="2"/>
  <c r="I64" i="2"/>
  <c r="G214" i="7"/>
  <c r="G136" i="7"/>
  <c r="H55" i="2"/>
  <c r="H56" i="2" s="1"/>
  <c r="H57" i="2" s="1"/>
  <c r="H64" i="2"/>
  <c r="H65" i="2" s="1"/>
  <c r="H66" i="2" s="1"/>
  <c r="H67" i="2" s="1"/>
  <c r="H69" i="2" s="1"/>
  <c r="H70" i="2" s="1"/>
  <c r="H178" i="2"/>
  <c r="H179" i="2" s="1"/>
  <c r="H115" i="2"/>
  <c r="H116" i="2" s="1"/>
  <c r="H120" i="2" s="1"/>
  <c r="H122" i="2" s="1"/>
  <c r="H124" i="2" s="1"/>
  <c r="H181" i="2"/>
  <c r="H68" i="2" l="1"/>
  <c r="H73" i="2"/>
  <c r="I65" i="2"/>
  <c r="I66" i="2" s="1"/>
  <c r="I67" i="2" s="1"/>
  <c r="I69" i="2" s="1"/>
  <c r="I145" i="2"/>
  <c r="I154" i="2" s="1"/>
  <c r="J144" i="2"/>
  <c r="K144" i="2" s="1"/>
  <c r="I84" i="2"/>
  <c r="I92" i="2"/>
  <c r="K82" i="2"/>
  <c r="J83" i="2"/>
  <c r="K54" i="2"/>
  <c r="K55" i="2" s="1"/>
  <c r="K56" i="2" s="1"/>
  <c r="J57" i="2"/>
  <c r="J64" i="2"/>
  <c r="O169" i="2"/>
  <c r="O136" i="2"/>
  <c r="O198" i="2"/>
  <c r="O106" i="2"/>
  <c r="P16" i="2"/>
  <c r="Q15" i="2"/>
  <c r="I59" i="2"/>
  <c r="I72" i="2"/>
  <c r="M62" i="2"/>
  <c r="M63" i="2" s="1"/>
  <c r="N61" i="2"/>
  <c r="H215" i="7"/>
  <c r="H137" i="7"/>
  <c r="H182" i="2"/>
  <c r="H183" i="2" s="1"/>
  <c r="H185" i="2" s="1"/>
  <c r="H186" i="2" s="1"/>
  <c r="H125" i="2"/>
  <c r="I125" i="2" s="1"/>
  <c r="H139" i="2"/>
  <c r="H145" i="2"/>
  <c r="H146" i="2" s="1"/>
  <c r="H76" i="2" l="1"/>
  <c r="I76" i="2"/>
  <c r="I73" i="2"/>
  <c r="I146" i="2"/>
  <c r="I150" i="2" s="1"/>
  <c r="I151" i="2" s="1"/>
  <c r="I152" i="2" s="1"/>
  <c r="J145" i="2"/>
  <c r="J146" i="2" s="1"/>
  <c r="J65" i="2"/>
  <c r="J66" i="2" s="1"/>
  <c r="J67" i="2" s="1"/>
  <c r="J69" i="2" s="1"/>
  <c r="L144" i="2"/>
  <c r="K145" i="2"/>
  <c r="N62" i="2"/>
  <c r="N63" i="2" s="1"/>
  <c r="O61" i="2"/>
  <c r="I75" i="2"/>
  <c r="J125" i="2"/>
  <c r="I137" i="2"/>
  <c r="Q16" i="2"/>
  <c r="R15" i="2"/>
  <c r="L54" i="2"/>
  <c r="L55" i="2" s="1"/>
  <c r="L56" i="2" s="1"/>
  <c r="K57" i="2"/>
  <c r="K64" i="2"/>
  <c r="L82" i="2"/>
  <c r="K83" i="2"/>
  <c r="P106" i="2"/>
  <c r="P136" i="2"/>
  <c r="P169" i="2"/>
  <c r="P198" i="2"/>
  <c r="I88" i="2"/>
  <c r="I89" i="2" s="1"/>
  <c r="I90" i="2" s="1"/>
  <c r="I85" i="2"/>
  <c r="I86" i="2" s="1"/>
  <c r="I87" i="2" s="1"/>
  <c r="J59" i="2"/>
  <c r="J72" i="2"/>
  <c r="J84" i="2"/>
  <c r="J92" i="2"/>
  <c r="I216" i="7"/>
  <c r="H58" i="2"/>
  <c r="I68" i="2" s="1"/>
  <c r="H72" i="2"/>
  <c r="C29" i="7" s="1"/>
  <c r="I138" i="7"/>
  <c r="C156" i="7"/>
  <c r="C155" i="7"/>
  <c r="C161" i="7"/>
  <c r="AF130" i="7" s="1"/>
  <c r="AK140" i="2" s="1"/>
  <c r="C158" i="7"/>
  <c r="AC130" i="7" s="1"/>
  <c r="AH140" i="2" s="1"/>
  <c r="C153" i="7"/>
  <c r="C160" i="7"/>
  <c r="AE130" i="7" s="1"/>
  <c r="AJ140" i="2" s="1"/>
  <c r="C159" i="7"/>
  <c r="AD130" i="7" s="1"/>
  <c r="AI140" i="2" s="1"/>
  <c r="C152" i="7"/>
  <c r="C149" i="7"/>
  <c r="C146" i="7"/>
  <c r="C141" i="7"/>
  <c r="C138" i="7"/>
  <c r="I130" i="7" s="1"/>
  <c r="N140" i="2" s="1"/>
  <c r="C133" i="7"/>
  <c r="C143" i="7"/>
  <c r="C136" i="7"/>
  <c r="G130" i="7" s="1"/>
  <c r="L140" i="2" s="1"/>
  <c r="C157" i="7"/>
  <c r="AB130" i="7" s="1"/>
  <c r="AG140" i="2" s="1"/>
  <c r="C148" i="7"/>
  <c r="C147" i="7"/>
  <c r="C140" i="7"/>
  <c r="C139" i="7"/>
  <c r="C154" i="7"/>
  <c r="C135" i="7"/>
  <c r="F130" i="7" s="1"/>
  <c r="K140" i="2" s="1"/>
  <c r="C150" i="7"/>
  <c r="C145" i="7"/>
  <c r="C142" i="7"/>
  <c r="C137" i="7"/>
  <c r="H130" i="7" s="1"/>
  <c r="M140" i="2" s="1"/>
  <c r="C134" i="7"/>
  <c r="E130" i="7" s="1"/>
  <c r="J140" i="2" s="1"/>
  <c r="C151" i="7"/>
  <c r="C144" i="7"/>
  <c r="H137" i="2"/>
  <c r="H187" i="2"/>
  <c r="H201" i="2"/>
  <c r="H147" i="2"/>
  <c r="H148" i="2" s="1"/>
  <c r="C132" i="7" s="1"/>
  <c r="C130" i="7" s="1"/>
  <c r="H150" i="2"/>
  <c r="H151" i="2" s="1"/>
  <c r="H152" i="2" s="1"/>
  <c r="H154" i="2"/>
  <c r="H59" i="2"/>
  <c r="D55" i="7" l="1"/>
  <c r="D17" i="7"/>
  <c r="I147" i="2"/>
  <c r="I148" i="2" s="1"/>
  <c r="I149" i="2" s="1"/>
  <c r="I153" i="2" s="1"/>
  <c r="I155" i="2" s="1"/>
  <c r="I157" i="2" s="1"/>
  <c r="J76" i="2"/>
  <c r="J73" i="2"/>
  <c r="J154" i="2"/>
  <c r="K65" i="2"/>
  <c r="K66" i="2" s="1"/>
  <c r="K67" i="2" s="1"/>
  <c r="K69" i="2" s="1"/>
  <c r="I58" i="2"/>
  <c r="J68" i="2" s="1"/>
  <c r="K84" i="2"/>
  <c r="K92" i="2"/>
  <c r="K125" i="2"/>
  <c r="J137" i="2"/>
  <c r="O62" i="2"/>
  <c r="O63" i="2" s="1"/>
  <c r="P61" i="2"/>
  <c r="M82" i="2"/>
  <c r="L83" i="2"/>
  <c r="R16" i="2"/>
  <c r="S15" i="2"/>
  <c r="K72" i="2"/>
  <c r="K59" i="2"/>
  <c r="M144" i="2"/>
  <c r="L145" i="2"/>
  <c r="J88" i="2"/>
  <c r="J89" i="2" s="1"/>
  <c r="J90" i="2" s="1"/>
  <c r="J85" i="2"/>
  <c r="J86" i="2" s="1"/>
  <c r="J87" i="2" s="1"/>
  <c r="M54" i="2"/>
  <c r="M55" i="2" s="1"/>
  <c r="M56" i="2" s="1"/>
  <c r="L57" i="2"/>
  <c r="L64" i="2"/>
  <c r="H199" i="2"/>
  <c r="I187" i="2"/>
  <c r="J75" i="2"/>
  <c r="I91" i="2"/>
  <c r="I93" i="2" s="1"/>
  <c r="I94" i="2" s="1"/>
  <c r="Q198" i="2"/>
  <c r="Q169" i="2"/>
  <c r="Q136" i="2"/>
  <c r="Q106" i="2"/>
  <c r="K154" i="2"/>
  <c r="K146" i="2"/>
  <c r="J147" i="2"/>
  <c r="J148" i="2" s="1"/>
  <c r="J149" i="2" s="1"/>
  <c r="J150" i="2"/>
  <c r="J151" i="2" s="1"/>
  <c r="J152" i="2" s="1"/>
  <c r="J217" i="7"/>
  <c r="C16" i="7"/>
  <c r="C14" i="7" s="1"/>
  <c r="D80" i="7"/>
  <c r="D77" i="7"/>
  <c r="D79" i="7"/>
  <c r="D78" i="7"/>
  <c r="D71" i="7"/>
  <c r="D81" i="7"/>
  <c r="D76" i="7"/>
  <c r="D73" i="7"/>
  <c r="D74" i="7"/>
  <c r="D72" i="7"/>
  <c r="D68" i="7"/>
  <c r="D65" i="7"/>
  <c r="D59" i="7"/>
  <c r="D58" i="7"/>
  <c r="D82" i="7"/>
  <c r="D67" i="7"/>
  <c r="D66" i="7"/>
  <c r="D61" i="7"/>
  <c r="D56" i="7"/>
  <c r="D83" i="7"/>
  <c r="D69" i="7"/>
  <c r="D64" i="7"/>
  <c r="D62" i="7"/>
  <c r="D70" i="7"/>
  <c r="D63" i="7"/>
  <c r="D57" i="7"/>
  <c r="D75" i="7"/>
  <c r="D60" i="7"/>
  <c r="C41" i="7"/>
  <c r="C40" i="7"/>
  <c r="C33" i="7"/>
  <c r="C32" i="7"/>
  <c r="C25" i="7"/>
  <c r="C24" i="7"/>
  <c r="C17" i="7"/>
  <c r="C45" i="7"/>
  <c r="C38" i="7"/>
  <c r="C35" i="7"/>
  <c r="C30" i="7"/>
  <c r="C27" i="7"/>
  <c r="C22" i="7"/>
  <c r="C19" i="7"/>
  <c r="C43" i="7"/>
  <c r="C42" i="7"/>
  <c r="C39" i="7"/>
  <c r="C44" i="7"/>
  <c r="C37" i="7"/>
  <c r="C36" i="7"/>
  <c r="C28" i="7"/>
  <c r="C21" i="7"/>
  <c r="C20" i="7"/>
  <c r="C23" i="7"/>
  <c r="C18" i="7"/>
  <c r="C26" i="7"/>
  <c r="C34" i="7"/>
  <c r="C31" i="7"/>
  <c r="D43" i="7"/>
  <c r="D45" i="7"/>
  <c r="D38" i="7"/>
  <c r="D35" i="7"/>
  <c r="D30" i="7"/>
  <c r="D27" i="7"/>
  <c r="D22" i="7"/>
  <c r="D19" i="7"/>
  <c r="D44" i="7"/>
  <c r="D37" i="7"/>
  <c r="D36" i="7"/>
  <c r="D29" i="7"/>
  <c r="D28" i="7"/>
  <c r="D21" i="7"/>
  <c r="D20" i="7"/>
  <c r="D41" i="7"/>
  <c r="D40" i="7"/>
  <c r="D42" i="7"/>
  <c r="D39" i="7"/>
  <c r="D34" i="7"/>
  <c r="D31" i="7"/>
  <c r="D26" i="7"/>
  <c r="D23" i="7"/>
  <c r="D18" i="7"/>
  <c r="D25" i="7"/>
  <c r="D24" i="7"/>
  <c r="D33" i="7"/>
  <c r="D32" i="7"/>
  <c r="H60" i="2"/>
  <c r="I70" i="2" s="1"/>
  <c r="H75" i="2"/>
  <c r="C237" i="7"/>
  <c r="AD208" i="7" s="1"/>
  <c r="AI202" i="2" s="1"/>
  <c r="C239" i="7"/>
  <c r="AF208" i="7" s="1"/>
  <c r="AK202" i="2" s="1"/>
  <c r="C238" i="7"/>
  <c r="AE208" i="7" s="1"/>
  <c r="AJ202" i="2" s="1"/>
  <c r="C231" i="7"/>
  <c r="C230" i="7"/>
  <c r="C223" i="7"/>
  <c r="C222" i="7"/>
  <c r="C215" i="7"/>
  <c r="H208" i="7" s="1"/>
  <c r="M202" i="2" s="1"/>
  <c r="C214" i="7"/>
  <c r="G208" i="7" s="1"/>
  <c r="L202" i="2" s="1"/>
  <c r="C236" i="7"/>
  <c r="AC208" i="7" s="1"/>
  <c r="AH202" i="2" s="1"/>
  <c r="C233" i="7"/>
  <c r="C228" i="7"/>
  <c r="C225" i="7"/>
  <c r="C220" i="7"/>
  <c r="C217" i="7"/>
  <c r="C212" i="7"/>
  <c r="E208" i="7" s="1"/>
  <c r="J202" i="2" s="1"/>
  <c r="C232" i="7"/>
  <c r="C221" i="7"/>
  <c r="C216" i="7"/>
  <c r="I208" i="7" s="1"/>
  <c r="N202" i="2" s="1"/>
  <c r="C235" i="7"/>
  <c r="AB208" i="7" s="1"/>
  <c r="AG202" i="2" s="1"/>
  <c r="C234" i="7"/>
  <c r="C219" i="7"/>
  <c r="C218" i="7"/>
  <c r="C229" i="7"/>
  <c r="C224" i="7"/>
  <c r="C213" i="7"/>
  <c r="F208" i="7" s="1"/>
  <c r="K202" i="2" s="1"/>
  <c r="C227" i="7"/>
  <c r="C226" i="7"/>
  <c r="C211" i="7"/>
  <c r="C210" i="7"/>
  <c r="C208" i="7" s="1"/>
  <c r="D130" i="7"/>
  <c r="I140" i="2" s="1"/>
  <c r="H140" i="2"/>
  <c r="J139" i="7"/>
  <c r="J130" i="7" s="1"/>
  <c r="O140" i="2" s="1"/>
  <c r="H149" i="2"/>
  <c r="H153" i="2" s="1"/>
  <c r="E18" i="7" l="1"/>
  <c r="E14" i="7" s="1"/>
  <c r="J74" i="2" s="1"/>
  <c r="E56" i="7"/>
  <c r="K76" i="2"/>
  <c r="K73" i="2"/>
  <c r="C54" i="7"/>
  <c r="C52" i="7" s="1"/>
  <c r="L65" i="2"/>
  <c r="L66" i="2" s="1"/>
  <c r="L67" i="2" s="1"/>
  <c r="L69" i="2" s="1"/>
  <c r="J91" i="2"/>
  <c r="J93" i="2" s="1"/>
  <c r="J94" i="2" s="1"/>
  <c r="J109" i="2" s="1"/>
  <c r="N54" i="2"/>
  <c r="N55" i="2" s="1"/>
  <c r="N56" i="2" s="1"/>
  <c r="M57" i="2"/>
  <c r="M64" i="2"/>
  <c r="L84" i="2"/>
  <c r="L92" i="2"/>
  <c r="I172" i="2"/>
  <c r="I109" i="2"/>
  <c r="K75" i="2"/>
  <c r="N82" i="2"/>
  <c r="M83" i="2"/>
  <c r="L125" i="2"/>
  <c r="K137" i="2"/>
  <c r="I60" i="2"/>
  <c r="J70" i="2" s="1"/>
  <c r="K150" i="2"/>
  <c r="K151" i="2" s="1"/>
  <c r="K152" i="2" s="1"/>
  <c r="K147" i="2"/>
  <c r="K148" i="2" s="1"/>
  <c r="K149" i="2" s="1"/>
  <c r="L59" i="2"/>
  <c r="L72" i="2"/>
  <c r="L154" i="2"/>
  <c r="L146" i="2"/>
  <c r="R136" i="2"/>
  <c r="R106" i="2"/>
  <c r="R169" i="2"/>
  <c r="R198" i="2"/>
  <c r="K85" i="2"/>
  <c r="K86" i="2" s="1"/>
  <c r="K87" i="2" s="1"/>
  <c r="K88" i="2"/>
  <c r="K89" i="2" s="1"/>
  <c r="K90" i="2" s="1"/>
  <c r="I199" i="2"/>
  <c r="J187" i="2"/>
  <c r="N144" i="2"/>
  <c r="M145" i="2"/>
  <c r="J153" i="2"/>
  <c r="J155" i="2" s="1"/>
  <c r="J157" i="2" s="1"/>
  <c r="T15" i="2"/>
  <c r="S16" i="2"/>
  <c r="P62" i="2"/>
  <c r="P63" i="2" s="1"/>
  <c r="Q61" i="2"/>
  <c r="J58" i="2"/>
  <c r="K68" i="2" s="1"/>
  <c r="J208" i="7"/>
  <c r="O202" i="2" s="1"/>
  <c r="K218" i="7"/>
  <c r="K208" i="7" s="1"/>
  <c r="P202" i="2" s="1"/>
  <c r="E43" i="7"/>
  <c r="E45" i="7"/>
  <c r="E44" i="7"/>
  <c r="E37" i="7"/>
  <c r="E36" i="7"/>
  <c r="E29" i="7"/>
  <c r="E28" i="7"/>
  <c r="E21" i="7"/>
  <c r="E20" i="7"/>
  <c r="E42" i="7"/>
  <c r="E39" i="7"/>
  <c r="E34" i="7"/>
  <c r="E31" i="7"/>
  <c r="E26" i="7"/>
  <c r="E23" i="7"/>
  <c r="E35" i="7"/>
  <c r="E41" i="7"/>
  <c r="E40" i="7"/>
  <c r="E33" i="7"/>
  <c r="E32" i="7"/>
  <c r="E25" i="7"/>
  <c r="E24" i="7"/>
  <c r="E38" i="7"/>
  <c r="E19" i="7"/>
  <c r="E22" i="7"/>
  <c r="E30" i="7"/>
  <c r="E27" i="7"/>
  <c r="E79" i="7"/>
  <c r="E78" i="7"/>
  <c r="E81" i="7"/>
  <c r="E76" i="7"/>
  <c r="E73" i="7"/>
  <c r="E83" i="7"/>
  <c r="E82" i="7"/>
  <c r="E75" i="7"/>
  <c r="E74" i="7"/>
  <c r="E77" i="7"/>
  <c r="E71" i="7"/>
  <c r="E67" i="7"/>
  <c r="E66" i="7"/>
  <c r="E61" i="7"/>
  <c r="E69" i="7"/>
  <c r="E64" i="7"/>
  <c r="E62" i="7"/>
  <c r="E80" i="7"/>
  <c r="E70" i="7"/>
  <c r="E63" i="7"/>
  <c r="E60" i="7"/>
  <c r="E57" i="7"/>
  <c r="E65" i="7"/>
  <c r="E58" i="7"/>
  <c r="E72" i="7"/>
  <c r="E68" i="7"/>
  <c r="E59" i="7"/>
  <c r="D14" i="7"/>
  <c r="I74" i="2" s="1"/>
  <c r="H74" i="2"/>
  <c r="C83" i="7"/>
  <c r="C82" i="7"/>
  <c r="C75" i="7"/>
  <c r="C74" i="7"/>
  <c r="C80" i="7"/>
  <c r="C77" i="7"/>
  <c r="C72" i="7"/>
  <c r="C79" i="7"/>
  <c r="C78" i="7"/>
  <c r="C71" i="7"/>
  <c r="C81" i="7"/>
  <c r="C70" i="7"/>
  <c r="C63" i="7"/>
  <c r="C60" i="7"/>
  <c r="C57" i="7"/>
  <c r="C73" i="7"/>
  <c r="C68" i="7"/>
  <c r="C65" i="7"/>
  <c r="C59" i="7"/>
  <c r="C58" i="7"/>
  <c r="C76" i="7"/>
  <c r="C67" i="7"/>
  <c r="C66" i="7"/>
  <c r="C61" i="7"/>
  <c r="C56" i="7"/>
  <c r="C69" i="7"/>
  <c r="C64" i="7"/>
  <c r="C62" i="7"/>
  <c r="C55" i="7"/>
  <c r="D208" i="7"/>
  <c r="I202" i="2" s="1"/>
  <c r="H202" i="2"/>
  <c r="K140" i="7"/>
  <c r="K130" i="7" s="1"/>
  <c r="P140" i="2" s="1"/>
  <c r="H155" i="2"/>
  <c r="H156" i="2"/>
  <c r="H157" i="2" l="1"/>
  <c r="F19" i="7"/>
  <c r="F14" i="7" s="1"/>
  <c r="K74" i="2" s="1"/>
  <c r="F57" i="7"/>
  <c r="L76" i="2"/>
  <c r="L73" i="2"/>
  <c r="M65" i="2"/>
  <c r="M66" i="2" s="1"/>
  <c r="M67" i="2" s="1"/>
  <c r="M69" i="2" s="1"/>
  <c r="K153" i="2"/>
  <c r="K155" i="2" s="1"/>
  <c r="K157" i="2" s="1"/>
  <c r="M146" i="2"/>
  <c r="M154" i="2"/>
  <c r="O144" i="2"/>
  <c r="N145" i="2"/>
  <c r="K91" i="2"/>
  <c r="K93" i="2" s="1"/>
  <c r="K94" i="2" s="1"/>
  <c r="L75" i="2"/>
  <c r="J60" i="2"/>
  <c r="K70" i="2" s="1"/>
  <c r="M92" i="2"/>
  <c r="M84" i="2"/>
  <c r="L85" i="2"/>
  <c r="L86" i="2" s="1"/>
  <c r="L87" i="2" s="1"/>
  <c r="L88" i="2"/>
  <c r="L89" i="2" s="1"/>
  <c r="L90" i="2" s="1"/>
  <c r="U15" i="2"/>
  <c r="T16" i="2"/>
  <c r="J172" i="2"/>
  <c r="M72" i="2"/>
  <c r="M59" i="2"/>
  <c r="R61" i="2"/>
  <c r="Q62" i="2"/>
  <c r="Q63" i="2" s="1"/>
  <c r="M125" i="2"/>
  <c r="L137" i="2"/>
  <c r="O54" i="2"/>
  <c r="O55" i="2" s="1"/>
  <c r="O56" i="2" s="1"/>
  <c r="N57" i="2"/>
  <c r="N64" i="2"/>
  <c r="K58" i="2"/>
  <c r="L68" i="2" s="1"/>
  <c r="S106" i="2"/>
  <c r="S169" i="2"/>
  <c r="S136" i="2"/>
  <c r="S198" i="2"/>
  <c r="J199" i="2"/>
  <c r="K187" i="2"/>
  <c r="L150" i="2"/>
  <c r="L151" i="2" s="1"/>
  <c r="L152" i="2" s="1"/>
  <c r="L147" i="2"/>
  <c r="L148" i="2" s="1"/>
  <c r="L149" i="2" s="1"/>
  <c r="O82" i="2"/>
  <c r="N83" i="2"/>
  <c r="L219" i="7"/>
  <c r="L208" i="7" s="1"/>
  <c r="Q202" i="2" s="1"/>
  <c r="E52" i="7"/>
  <c r="J77" i="2" s="1"/>
  <c r="H77" i="2"/>
  <c r="D52" i="7"/>
  <c r="I77" i="2" s="1"/>
  <c r="F45" i="7"/>
  <c r="F44" i="7"/>
  <c r="F42" i="7"/>
  <c r="F39" i="7"/>
  <c r="F34" i="7"/>
  <c r="F31" i="7"/>
  <c r="F26" i="7"/>
  <c r="F23" i="7"/>
  <c r="F37" i="7"/>
  <c r="F41" i="7"/>
  <c r="F40" i="7"/>
  <c r="F33" i="7"/>
  <c r="F32" i="7"/>
  <c r="F25" i="7"/>
  <c r="F24" i="7"/>
  <c r="F36" i="7"/>
  <c r="F43" i="7"/>
  <c r="F38" i="7"/>
  <c r="F35" i="7"/>
  <c r="F30" i="7"/>
  <c r="F27" i="7"/>
  <c r="F22" i="7"/>
  <c r="F28" i="7"/>
  <c r="F29" i="7"/>
  <c r="F21" i="7"/>
  <c r="F20" i="7"/>
  <c r="F81" i="7"/>
  <c r="F76" i="7"/>
  <c r="F73" i="7"/>
  <c r="F83" i="7"/>
  <c r="F82" i="7"/>
  <c r="F75" i="7"/>
  <c r="F74" i="7"/>
  <c r="F80" i="7"/>
  <c r="F77" i="7"/>
  <c r="F72" i="7"/>
  <c r="F79" i="7"/>
  <c r="F69" i="7"/>
  <c r="F64" i="7"/>
  <c r="F62" i="7"/>
  <c r="F70" i="7"/>
  <c r="F63" i="7"/>
  <c r="F60" i="7"/>
  <c r="F78" i="7"/>
  <c r="F68" i="7"/>
  <c r="F65" i="7"/>
  <c r="F59" i="7"/>
  <c r="F58" i="7"/>
  <c r="F61" i="7"/>
  <c r="F71" i="7"/>
  <c r="F66" i="7"/>
  <c r="F67" i="7"/>
  <c r="F52" i="7"/>
  <c r="K77" i="2" s="1"/>
  <c r="L141" i="7"/>
  <c r="L130" i="7" s="1"/>
  <c r="Q140" i="2" s="1"/>
  <c r="K172" i="2" l="1"/>
  <c r="G20" i="7"/>
  <c r="G14" i="7" s="1"/>
  <c r="L74" i="2" s="1"/>
  <c r="G58" i="7"/>
  <c r="G52" i="7" s="1"/>
  <c r="L77" i="2" s="1"/>
  <c r="M76" i="2"/>
  <c r="M73" i="2"/>
  <c r="N65" i="2"/>
  <c r="N66" i="2" s="1"/>
  <c r="N67" i="2" s="1"/>
  <c r="N69" i="2" s="1"/>
  <c r="L153" i="2"/>
  <c r="L155" i="2" s="1"/>
  <c r="L157" i="2" s="1"/>
  <c r="N72" i="2"/>
  <c r="N59" i="2"/>
  <c r="V15" i="2"/>
  <c r="U16" i="2"/>
  <c r="O145" i="2"/>
  <c r="P144" i="2"/>
  <c r="N92" i="2"/>
  <c r="N84" i="2"/>
  <c r="L58" i="2"/>
  <c r="M68" i="2" s="1"/>
  <c r="R62" i="2"/>
  <c r="R63" i="2" s="1"/>
  <c r="S61" i="2"/>
  <c r="K60" i="2"/>
  <c r="L70" i="2" s="1"/>
  <c r="M75" i="2"/>
  <c r="T106" i="2"/>
  <c r="T136" i="2"/>
  <c r="T169" i="2"/>
  <c r="T198" i="2"/>
  <c r="M88" i="2"/>
  <c r="M89" i="2" s="1"/>
  <c r="M90" i="2" s="1"/>
  <c r="M85" i="2"/>
  <c r="M86" i="2" s="1"/>
  <c r="M87" i="2" s="1"/>
  <c r="N146" i="2"/>
  <c r="N154" i="2"/>
  <c r="M150" i="2"/>
  <c r="M151" i="2" s="1"/>
  <c r="M152" i="2" s="1"/>
  <c r="M147" i="2"/>
  <c r="M148" i="2" s="1"/>
  <c r="M149" i="2" s="1"/>
  <c r="P54" i="2"/>
  <c r="P55" i="2" s="1"/>
  <c r="P56" i="2" s="1"/>
  <c r="O57" i="2"/>
  <c r="O64" i="2"/>
  <c r="P82" i="2"/>
  <c r="O83" i="2"/>
  <c r="L187" i="2"/>
  <c r="K199" i="2"/>
  <c r="N125" i="2"/>
  <c r="M137" i="2"/>
  <c r="L91" i="2"/>
  <c r="L93" i="2" s="1"/>
  <c r="L94" i="2" s="1"/>
  <c r="K109" i="2"/>
  <c r="E196" i="7"/>
  <c r="E197" i="7"/>
  <c r="E173" i="7"/>
  <c r="E177" i="7"/>
  <c r="E198" i="7"/>
  <c r="E183" i="7"/>
  <c r="E191" i="7"/>
  <c r="E181" i="7"/>
  <c r="D189" i="7"/>
  <c r="D198" i="7"/>
  <c r="D178" i="7"/>
  <c r="D180" i="7"/>
  <c r="D185" i="7"/>
  <c r="D174" i="7"/>
  <c r="D175" i="7"/>
  <c r="D197" i="7"/>
  <c r="D195" i="7"/>
  <c r="D186" i="7"/>
  <c r="D191" i="7"/>
  <c r="D173" i="7"/>
  <c r="D177" i="7"/>
  <c r="D199" i="7"/>
  <c r="D172" i="7"/>
  <c r="D181" i="7"/>
  <c r="D190" i="7"/>
  <c r="D176" i="7"/>
  <c r="D196" i="7"/>
  <c r="D193" i="7"/>
  <c r="D200" i="7"/>
  <c r="D179" i="7"/>
  <c r="D182" i="7"/>
  <c r="D184" i="7"/>
  <c r="D192" i="7"/>
  <c r="D194" i="7"/>
  <c r="D188" i="7"/>
  <c r="D187" i="7"/>
  <c r="D183" i="7"/>
  <c r="E178" i="7"/>
  <c r="E184" i="7"/>
  <c r="E200" i="7"/>
  <c r="E186" i="7"/>
  <c r="E175" i="7"/>
  <c r="E192" i="7"/>
  <c r="E185" i="7"/>
  <c r="E180" i="7"/>
  <c r="E190" i="7"/>
  <c r="E195" i="7"/>
  <c r="E174" i="7"/>
  <c r="E182" i="7"/>
  <c r="E179" i="7"/>
  <c r="E188" i="7"/>
  <c r="E189" i="7"/>
  <c r="E176" i="7"/>
  <c r="E199" i="7"/>
  <c r="E194" i="7"/>
  <c r="E187" i="7"/>
  <c r="E193" i="7"/>
  <c r="M220" i="7"/>
  <c r="M208" i="7" s="1"/>
  <c r="R202" i="2" s="1"/>
  <c r="G83" i="7"/>
  <c r="G82" i="7"/>
  <c r="G75" i="7"/>
  <c r="G74" i="7"/>
  <c r="G62" i="7"/>
  <c r="G80" i="7"/>
  <c r="G77" i="7"/>
  <c r="G72" i="7"/>
  <c r="G79" i="7"/>
  <c r="G78" i="7"/>
  <c r="G71" i="7"/>
  <c r="G73" i="7"/>
  <c r="G70" i="7"/>
  <c r="G63" i="7"/>
  <c r="G60" i="7"/>
  <c r="G76" i="7"/>
  <c r="G68" i="7"/>
  <c r="G65" i="7"/>
  <c r="G59" i="7"/>
  <c r="G67" i="7"/>
  <c r="G66" i="7"/>
  <c r="G61" i="7"/>
  <c r="G69" i="7"/>
  <c r="G81" i="7"/>
  <c r="G64" i="7"/>
  <c r="G45" i="7"/>
  <c r="G44" i="7"/>
  <c r="G41" i="7"/>
  <c r="G40" i="7"/>
  <c r="G33" i="7"/>
  <c r="G32" i="7"/>
  <c r="G25" i="7"/>
  <c r="G24" i="7"/>
  <c r="G43" i="7"/>
  <c r="G38" i="7"/>
  <c r="G35" i="7"/>
  <c r="G30" i="7"/>
  <c r="G27" i="7"/>
  <c r="G22" i="7"/>
  <c r="G42" i="7"/>
  <c r="G37" i="7"/>
  <c r="G36" i="7"/>
  <c r="G29" i="7"/>
  <c r="G28" i="7"/>
  <c r="G21" i="7"/>
  <c r="G39" i="7"/>
  <c r="G26" i="7"/>
  <c r="G34" i="7"/>
  <c r="G31" i="7"/>
  <c r="G23" i="7"/>
  <c r="M142" i="7"/>
  <c r="M130" i="7" s="1"/>
  <c r="R140" i="2" s="1"/>
  <c r="H158" i="2"/>
  <c r="H172" i="2"/>
  <c r="L172" i="2" l="1"/>
  <c r="H21" i="7"/>
  <c r="H59" i="7"/>
  <c r="H52" i="7" s="1"/>
  <c r="M77" i="2" s="1"/>
  <c r="N76" i="2"/>
  <c r="N73" i="2"/>
  <c r="O65" i="2"/>
  <c r="O66" i="2" s="1"/>
  <c r="O67" i="2" s="1"/>
  <c r="O69" i="2" s="1"/>
  <c r="M153" i="2"/>
  <c r="M155" i="2" s="1"/>
  <c r="M157" i="2" s="1"/>
  <c r="M91" i="2"/>
  <c r="M93" i="2" s="1"/>
  <c r="M94" i="2" s="1"/>
  <c r="M109" i="2" s="1"/>
  <c r="H170" i="2"/>
  <c r="I158" i="2"/>
  <c r="M58" i="2"/>
  <c r="N68" i="2" s="1"/>
  <c r="Q144" i="2"/>
  <c r="P145" i="2"/>
  <c r="O125" i="2"/>
  <c r="N137" i="2"/>
  <c r="M187" i="2"/>
  <c r="L199" i="2"/>
  <c r="O154" i="2"/>
  <c r="O146" i="2"/>
  <c r="O92" i="2"/>
  <c r="O84" i="2"/>
  <c r="P57" i="2"/>
  <c r="Q54" i="2"/>
  <c r="Q55" i="2" s="1"/>
  <c r="Q56" i="2" s="1"/>
  <c r="P64" i="2"/>
  <c r="N88" i="2"/>
  <c r="N89" i="2" s="1"/>
  <c r="N90" i="2" s="1"/>
  <c r="N85" i="2"/>
  <c r="N86" i="2" s="1"/>
  <c r="N87" i="2" s="1"/>
  <c r="U198" i="2"/>
  <c r="U136" i="2"/>
  <c r="U169" i="2"/>
  <c r="U106" i="2"/>
  <c r="O59" i="2"/>
  <c r="O72" i="2"/>
  <c r="S62" i="2"/>
  <c r="S63" i="2" s="1"/>
  <c r="T61" i="2"/>
  <c r="N75" i="2"/>
  <c r="L109" i="2"/>
  <c r="Q82" i="2"/>
  <c r="P83" i="2"/>
  <c r="N150" i="2"/>
  <c r="N151" i="2" s="1"/>
  <c r="N152" i="2" s="1"/>
  <c r="N147" i="2"/>
  <c r="N148" i="2" s="1"/>
  <c r="N149" i="2" s="1"/>
  <c r="L60" i="2"/>
  <c r="M70" i="2" s="1"/>
  <c r="V16" i="2"/>
  <c r="W15" i="2"/>
  <c r="F198" i="7"/>
  <c r="F183" i="7"/>
  <c r="F177" i="7"/>
  <c r="F179" i="7"/>
  <c r="F197" i="7"/>
  <c r="F186" i="7"/>
  <c r="F200" i="7"/>
  <c r="F174" i="7"/>
  <c r="F189" i="7"/>
  <c r="F184" i="7"/>
  <c r="F182" i="7"/>
  <c r="F191" i="7"/>
  <c r="F190" i="7"/>
  <c r="F180" i="7"/>
  <c r="F178" i="7"/>
  <c r="F175" i="7"/>
  <c r="F195" i="7"/>
  <c r="F185" i="7"/>
  <c r="F192" i="7"/>
  <c r="F193" i="7"/>
  <c r="F188" i="7"/>
  <c r="F187" i="7"/>
  <c r="F181" i="7"/>
  <c r="F176" i="7"/>
  <c r="F196" i="7"/>
  <c r="F194" i="7"/>
  <c r="F199" i="7"/>
  <c r="H81" i="7"/>
  <c r="H80" i="7"/>
  <c r="N221" i="7"/>
  <c r="N208" i="7" s="1"/>
  <c r="S202" i="2" s="1"/>
  <c r="H43" i="7"/>
  <c r="H45" i="7"/>
  <c r="H38" i="7"/>
  <c r="H35" i="7"/>
  <c r="H30" i="7"/>
  <c r="H27" i="7"/>
  <c r="H22" i="7"/>
  <c r="H37" i="7"/>
  <c r="H36" i="7"/>
  <c r="H29" i="7"/>
  <c r="H28" i="7"/>
  <c r="H44" i="7"/>
  <c r="H41" i="7"/>
  <c r="H42" i="7"/>
  <c r="H39" i="7"/>
  <c r="H34" i="7"/>
  <c r="H31" i="7"/>
  <c r="H26" i="7"/>
  <c r="H23" i="7"/>
  <c r="H40" i="7"/>
  <c r="H24" i="7"/>
  <c r="H33" i="7"/>
  <c r="H32" i="7"/>
  <c r="H25" i="7"/>
  <c r="H14" i="7"/>
  <c r="M74" i="2" s="1"/>
  <c r="H77" i="7"/>
  <c r="H79" i="7"/>
  <c r="H78" i="7"/>
  <c r="H71" i="7"/>
  <c r="H76" i="7"/>
  <c r="H73" i="7"/>
  <c r="H82" i="7"/>
  <c r="H68" i="7"/>
  <c r="H65" i="7"/>
  <c r="H83" i="7"/>
  <c r="H67" i="7"/>
  <c r="H66" i="7"/>
  <c r="H61" i="7"/>
  <c r="H75" i="7"/>
  <c r="H72" i="7"/>
  <c r="H69" i="7"/>
  <c r="H64" i="7"/>
  <c r="H74" i="7"/>
  <c r="H63" i="7"/>
  <c r="H70" i="7"/>
  <c r="H62" i="7"/>
  <c r="N143" i="7"/>
  <c r="N130" i="7" s="1"/>
  <c r="S140" i="2" s="1"/>
  <c r="C200" i="7"/>
  <c r="C199" i="7"/>
  <c r="C192" i="7"/>
  <c r="C191" i="7"/>
  <c r="C197" i="7"/>
  <c r="C194" i="7"/>
  <c r="C189" i="7"/>
  <c r="C188" i="7"/>
  <c r="C184" i="7"/>
  <c r="C183" i="7"/>
  <c r="C176" i="7"/>
  <c r="C175" i="7"/>
  <c r="C174" i="7"/>
  <c r="C198" i="7"/>
  <c r="C193" i="7"/>
  <c r="C186" i="7"/>
  <c r="C181" i="7"/>
  <c r="C178" i="7"/>
  <c r="C196" i="7"/>
  <c r="C195" i="7"/>
  <c r="C187" i="7"/>
  <c r="C180" i="7"/>
  <c r="C179" i="7"/>
  <c r="C173" i="7"/>
  <c r="E169" i="7" s="1"/>
  <c r="J173" i="2" s="1"/>
  <c r="C190" i="7"/>
  <c r="C177" i="7"/>
  <c r="C172" i="7"/>
  <c r="C185" i="7"/>
  <c r="C182" i="7"/>
  <c r="C171" i="7"/>
  <c r="C169" i="7" s="1"/>
  <c r="M172" i="2" l="1"/>
  <c r="I60" i="7"/>
  <c r="I22" i="7"/>
  <c r="I14" i="7" s="1"/>
  <c r="N74" i="2" s="1"/>
  <c r="O76" i="2"/>
  <c r="O73" i="2"/>
  <c r="P65" i="2"/>
  <c r="P66" i="2" s="1"/>
  <c r="P67" i="2" s="1"/>
  <c r="P69" i="2" s="1"/>
  <c r="N91" i="2"/>
  <c r="N93" i="2" s="1"/>
  <c r="N94" i="2" s="1"/>
  <c r="N109" i="2" s="1"/>
  <c r="N153" i="2"/>
  <c r="N155" i="2" s="1"/>
  <c r="N157" i="2" s="1"/>
  <c r="R82" i="2"/>
  <c r="Q83" i="2"/>
  <c r="R144" i="2"/>
  <c r="Q145" i="2"/>
  <c r="O75" i="2"/>
  <c r="J81" i="7" s="1"/>
  <c r="O147" i="2"/>
  <c r="O148" i="2" s="1"/>
  <c r="O149" i="2" s="1"/>
  <c r="O150" i="2"/>
  <c r="O151" i="2" s="1"/>
  <c r="O152" i="2" s="1"/>
  <c r="V198" i="2"/>
  <c r="V169" i="2"/>
  <c r="V106" i="2"/>
  <c r="V136" i="2"/>
  <c r="P72" i="2"/>
  <c r="P59" i="2"/>
  <c r="P125" i="2"/>
  <c r="O137" i="2"/>
  <c r="N58" i="2"/>
  <c r="O68" i="2" s="1"/>
  <c r="I170" i="2"/>
  <c r="J158" i="2"/>
  <c r="M60" i="2"/>
  <c r="N70" i="2" s="1"/>
  <c r="N187" i="2"/>
  <c r="M199" i="2"/>
  <c r="X15" i="2"/>
  <c r="W16" i="2"/>
  <c r="U61" i="2"/>
  <c r="T62" i="2"/>
  <c r="T63" i="2" s="1"/>
  <c r="R54" i="2"/>
  <c r="R55" i="2" s="1"/>
  <c r="R56" i="2" s="1"/>
  <c r="Q57" i="2"/>
  <c r="Q64" i="2"/>
  <c r="P92" i="2"/>
  <c r="P84" i="2"/>
  <c r="O88" i="2"/>
  <c r="O89" i="2" s="1"/>
  <c r="O90" i="2" s="1"/>
  <c r="O85" i="2"/>
  <c r="O86" i="2" s="1"/>
  <c r="O87" i="2" s="1"/>
  <c r="P154" i="2"/>
  <c r="P146" i="2"/>
  <c r="F169" i="7"/>
  <c r="K173" i="2" s="1"/>
  <c r="G200" i="7"/>
  <c r="G197" i="7"/>
  <c r="G195" i="7"/>
  <c r="G190" i="7"/>
  <c r="G188" i="7"/>
  <c r="G193" i="7"/>
  <c r="G182" i="7"/>
  <c r="G187" i="7"/>
  <c r="G192" i="7"/>
  <c r="G189" i="7"/>
  <c r="G181" i="7"/>
  <c r="G198" i="7"/>
  <c r="G191" i="7"/>
  <c r="G196" i="7"/>
  <c r="G176" i="7"/>
  <c r="G178" i="7"/>
  <c r="G179" i="7"/>
  <c r="G185" i="7"/>
  <c r="G199" i="7"/>
  <c r="G194" i="7"/>
  <c r="G184" i="7"/>
  <c r="G186" i="7"/>
  <c r="G177" i="7"/>
  <c r="G175" i="7"/>
  <c r="G169" i="7" s="1"/>
  <c r="L173" i="2" s="1"/>
  <c r="G183" i="7"/>
  <c r="G180" i="7"/>
  <c r="H94" i="7"/>
  <c r="H60" i="7"/>
  <c r="H83" i="2"/>
  <c r="O222" i="7"/>
  <c r="O208" i="7" s="1"/>
  <c r="T202" i="2" s="1"/>
  <c r="J45" i="7"/>
  <c r="J44" i="7"/>
  <c r="J43" i="7"/>
  <c r="J42" i="7"/>
  <c r="J39" i="7"/>
  <c r="J34" i="7"/>
  <c r="J31" i="7"/>
  <c r="J26" i="7"/>
  <c r="J41" i="7"/>
  <c r="J40" i="7"/>
  <c r="J33" i="7"/>
  <c r="J32" i="7"/>
  <c r="J25" i="7"/>
  <c r="J24" i="7"/>
  <c r="J38" i="7"/>
  <c r="J35" i="7"/>
  <c r="J30" i="7"/>
  <c r="J27" i="7"/>
  <c r="J37" i="7"/>
  <c r="J36" i="7"/>
  <c r="J29" i="7"/>
  <c r="J28" i="7"/>
  <c r="I79" i="7"/>
  <c r="I78" i="7"/>
  <c r="I81" i="7"/>
  <c r="I76" i="7"/>
  <c r="I73" i="7"/>
  <c r="I83" i="7"/>
  <c r="I82" i="7"/>
  <c r="I75" i="7"/>
  <c r="I74" i="7"/>
  <c r="I67" i="7"/>
  <c r="I66" i="7"/>
  <c r="I61" i="7"/>
  <c r="I80" i="7"/>
  <c r="I72" i="7"/>
  <c r="I69" i="7"/>
  <c r="I64" i="7"/>
  <c r="I71" i="7"/>
  <c r="I70" i="7"/>
  <c r="I63" i="7"/>
  <c r="I62" i="7"/>
  <c r="I77" i="7"/>
  <c r="I65" i="7"/>
  <c r="I68" i="7"/>
  <c r="I43" i="7"/>
  <c r="I45" i="7"/>
  <c r="I44" i="7"/>
  <c r="I37" i="7"/>
  <c r="I36" i="7"/>
  <c r="I29" i="7"/>
  <c r="I28" i="7"/>
  <c r="I42" i="7"/>
  <c r="I39" i="7"/>
  <c r="I34" i="7"/>
  <c r="I31" i="7"/>
  <c r="I26" i="7"/>
  <c r="I23" i="7"/>
  <c r="I38" i="7"/>
  <c r="I41" i="7"/>
  <c r="I40" i="7"/>
  <c r="I33" i="7"/>
  <c r="I32" i="7"/>
  <c r="I25" i="7"/>
  <c r="I24" i="7"/>
  <c r="I35" i="7"/>
  <c r="I30" i="7"/>
  <c r="I27" i="7"/>
  <c r="D169" i="7"/>
  <c r="I173" i="2" s="1"/>
  <c r="H173" i="2"/>
  <c r="O144" i="7"/>
  <c r="O130" i="7" s="1"/>
  <c r="T140" i="2" s="1"/>
  <c r="N172" i="2" l="1"/>
  <c r="I52" i="7"/>
  <c r="N77" i="2" s="1"/>
  <c r="J23" i="7"/>
  <c r="J14" i="7" s="1"/>
  <c r="O74" i="2" s="1"/>
  <c r="J61" i="7"/>
  <c r="J52" i="7" s="1"/>
  <c r="O77" i="2" s="1"/>
  <c r="P76" i="2"/>
  <c r="P73" i="2"/>
  <c r="Q65" i="2"/>
  <c r="Q66" i="2" s="1"/>
  <c r="Q67" i="2" s="1"/>
  <c r="Q69" i="2" s="1"/>
  <c r="O91" i="2"/>
  <c r="O93" i="2" s="1"/>
  <c r="O94" i="2" s="1"/>
  <c r="O109" i="2" s="1"/>
  <c r="Y15" i="2"/>
  <c r="X16" i="2"/>
  <c r="Q146" i="2"/>
  <c r="Q154" i="2"/>
  <c r="U62" i="2"/>
  <c r="U63" i="2" s="1"/>
  <c r="V61" i="2"/>
  <c r="O187" i="2"/>
  <c r="N199" i="2"/>
  <c r="O58" i="2"/>
  <c r="P68" i="2" s="1"/>
  <c r="P75" i="2"/>
  <c r="R83" i="2"/>
  <c r="S82" i="2"/>
  <c r="P85" i="2"/>
  <c r="P86" i="2" s="1"/>
  <c r="P87" i="2" s="1"/>
  <c r="P88" i="2"/>
  <c r="P89" i="2" s="1"/>
  <c r="P90" i="2" s="1"/>
  <c r="R57" i="2"/>
  <c r="S54" i="2"/>
  <c r="S55" i="2" s="1"/>
  <c r="S56" i="2" s="1"/>
  <c r="R64" i="2"/>
  <c r="Q125" i="2"/>
  <c r="P137" i="2"/>
  <c r="N60" i="2"/>
  <c r="O70" i="2" s="1"/>
  <c r="R145" i="2"/>
  <c r="S144" i="2"/>
  <c r="Q84" i="2"/>
  <c r="Q92" i="2"/>
  <c r="P147" i="2"/>
  <c r="P148" i="2" s="1"/>
  <c r="P149" i="2" s="1"/>
  <c r="P150" i="2"/>
  <c r="P151" i="2" s="1"/>
  <c r="P152" i="2" s="1"/>
  <c r="Q72" i="2"/>
  <c r="Q59" i="2"/>
  <c r="W198" i="2"/>
  <c r="W106" i="2"/>
  <c r="W169" i="2"/>
  <c r="W136" i="2"/>
  <c r="J170" i="2"/>
  <c r="K158" i="2"/>
  <c r="O153" i="2"/>
  <c r="O155" i="2" s="1"/>
  <c r="O157" i="2" s="1"/>
  <c r="H197" i="7"/>
  <c r="H195" i="7"/>
  <c r="H186" i="7"/>
  <c r="H192" i="7"/>
  <c r="H193" i="7"/>
  <c r="H184" i="7"/>
  <c r="H176" i="7"/>
  <c r="H169" i="7" s="1"/>
  <c r="M173" i="2" s="1"/>
  <c r="H194" i="7"/>
  <c r="H188" i="7"/>
  <c r="H181" i="7"/>
  <c r="H180" i="7"/>
  <c r="H185" i="7"/>
  <c r="H191" i="7"/>
  <c r="H189" i="7"/>
  <c r="H187" i="7"/>
  <c r="H178" i="7"/>
  <c r="H179" i="7"/>
  <c r="H182" i="7"/>
  <c r="H200" i="7"/>
  <c r="H196" i="7"/>
  <c r="H190" i="7"/>
  <c r="H199" i="7"/>
  <c r="H198" i="7"/>
  <c r="H177" i="7"/>
  <c r="H183" i="7"/>
  <c r="H92" i="2"/>
  <c r="H84" i="2"/>
  <c r="J65" i="7"/>
  <c r="J70" i="7"/>
  <c r="J74" i="7"/>
  <c r="J67" i="7"/>
  <c r="J68" i="7"/>
  <c r="J64" i="7"/>
  <c r="J83" i="7"/>
  <c r="J79" i="7"/>
  <c r="J62" i="7"/>
  <c r="J69" i="7"/>
  <c r="J73" i="7"/>
  <c r="J66" i="7"/>
  <c r="J63" i="7"/>
  <c r="J80" i="7"/>
  <c r="J71" i="7"/>
  <c r="J72" i="7"/>
  <c r="J75" i="7"/>
  <c r="J76" i="7"/>
  <c r="J78" i="7"/>
  <c r="J77" i="7"/>
  <c r="J82" i="7"/>
  <c r="P223" i="7"/>
  <c r="P208" i="7" s="1"/>
  <c r="U202" i="2" s="1"/>
  <c r="P145" i="7"/>
  <c r="P130" i="7" s="1"/>
  <c r="U140" i="2" s="1"/>
  <c r="K62" i="7" l="1"/>
  <c r="K24" i="7"/>
  <c r="K14" i="7" s="1"/>
  <c r="P74" i="2" s="1"/>
  <c r="Q76" i="2"/>
  <c r="Q73" i="2"/>
  <c r="R65" i="2"/>
  <c r="R66" i="2" s="1"/>
  <c r="R67" i="2" s="1"/>
  <c r="R69" i="2" s="1"/>
  <c r="P153" i="2"/>
  <c r="P155" i="2" s="1"/>
  <c r="P157" i="2" s="1"/>
  <c r="O172" i="2"/>
  <c r="J189" i="7" s="1"/>
  <c r="Q75" i="2"/>
  <c r="L78" i="7" s="1"/>
  <c r="R146" i="2"/>
  <c r="R154" i="2"/>
  <c r="T54" i="2"/>
  <c r="T55" i="2" s="1"/>
  <c r="T56" i="2" s="1"/>
  <c r="S57" i="2"/>
  <c r="S64" i="2"/>
  <c r="P187" i="2"/>
  <c r="O199" i="2"/>
  <c r="R59" i="2"/>
  <c r="R72" i="2"/>
  <c r="R84" i="2"/>
  <c r="R92" i="2"/>
  <c r="P58" i="2"/>
  <c r="Q68" i="2" s="1"/>
  <c r="V62" i="2"/>
  <c r="V63" i="2" s="1"/>
  <c r="W61" i="2"/>
  <c r="Q147" i="2"/>
  <c r="Q148" i="2" s="1"/>
  <c r="Q149" i="2" s="1"/>
  <c r="Q150" i="2"/>
  <c r="Q151" i="2" s="1"/>
  <c r="Q152" i="2" s="1"/>
  <c r="K170" i="2"/>
  <c r="L158" i="2"/>
  <c r="Q88" i="2"/>
  <c r="Q89" i="2" s="1"/>
  <c r="Q90" i="2" s="1"/>
  <c r="Q85" i="2"/>
  <c r="Q86" i="2" s="1"/>
  <c r="Q87" i="2" s="1"/>
  <c r="O60" i="2"/>
  <c r="P70" i="2" s="1"/>
  <c r="R125" i="2"/>
  <c r="Q137" i="2"/>
  <c r="X136" i="2"/>
  <c r="X169" i="2"/>
  <c r="X106" i="2"/>
  <c r="X198" i="2"/>
  <c r="S83" i="2"/>
  <c r="T82" i="2"/>
  <c r="S145" i="2"/>
  <c r="T144" i="2"/>
  <c r="P91" i="2"/>
  <c r="P93" i="2" s="1"/>
  <c r="P94" i="2" s="1"/>
  <c r="Z15" i="2"/>
  <c r="Y16" i="2"/>
  <c r="I196" i="7"/>
  <c r="I187" i="7"/>
  <c r="I181" i="7"/>
  <c r="I199" i="7"/>
  <c r="I177" i="7"/>
  <c r="I169" i="7" s="1"/>
  <c r="N173" i="2" s="1"/>
  <c r="I189" i="7"/>
  <c r="I191" i="7"/>
  <c r="I178" i="7"/>
  <c r="I200" i="7"/>
  <c r="I179" i="7"/>
  <c r="I190" i="7"/>
  <c r="I188" i="7"/>
  <c r="I182" i="7"/>
  <c r="I197" i="7"/>
  <c r="I186" i="7"/>
  <c r="I183" i="7"/>
  <c r="I180" i="7"/>
  <c r="I193" i="7"/>
  <c r="I195" i="7"/>
  <c r="I194" i="7"/>
  <c r="I184" i="7"/>
  <c r="I185" i="7"/>
  <c r="I192" i="7"/>
  <c r="I198" i="7"/>
  <c r="H85" i="2"/>
  <c r="H86" i="2" s="1"/>
  <c r="H87" i="2" s="1"/>
  <c r="H88" i="2"/>
  <c r="H89" i="2" s="1"/>
  <c r="H90" i="2" s="1"/>
  <c r="Q224" i="7"/>
  <c r="Q208" i="7" s="1"/>
  <c r="V202" i="2" s="1"/>
  <c r="K52" i="7"/>
  <c r="P77" i="2" s="1"/>
  <c r="L43" i="7"/>
  <c r="L45" i="7"/>
  <c r="L38" i="7"/>
  <c r="L35" i="7"/>
  <c r="L30" i="7"/>
  <c r="L27" i="7"/>
  <c r="L44" i="7"/>
  <c r="L37" i="7"/>
  <c r="L36" i="7"/>
  <c r="L29" i="7"/>
  <c r="L28" i="7"/>
  <c r="L41" i="7"/>
  <c r="L40" i="7"/>
  <c r="L42" i="7"/>
  <c r="L39" i="7"/>
  <c r="L34" i="7"/>
  <c r="L31" i="7"/>
  <c r="L26" i="7"/>
  <c r="L33" i="7"/>
  <c r="L32" i="7"/>
  <c r="K41" i="7"/>
  <c r="K40" i="7"/>
  <c r="K33" i="7"/>
  <c r="K32" i="7"/>
  <c r="K25" i="7"/>
  <c r="K38" i="7"/>
  <c r="K35" i="7"/>
  <c r="K30" i="7"/>
  <c r="K27" i="7"/>
  <c r="K45" i="7"/>
  <c r="K43" i="7"/>
  <c r="K42" i="7"/>
  <c r="K39" i="7"/>
  <c r="K44" i="7"/>
  <c r="K37" i="7"/>
  <c r="K36" i="7"/>
  <c r="K29" i="7"/>
  <c r="K28" i="7"/>
  <c r="K26" i="7"/>
  <c r="K34" i="7"/>
  <c r="K31" i="7"/>
  <c r="K83" i="7"/>
  <c r="K82" i="7"/>
  <c r="K75" i="7"/>
  <c r="K74" i="7"/>
  <c r="K80" i="7"/>
  <c r="K77" i="7"/>
  <c r="K72" i="7"/>
  <c r="K79" i="7"/>
  <c r="K78" i="7"/>
  <c r="K71" i="7"/>
  <c r="K70" i="7"/>
  <c r="K76" i="7"/>
  <c r="K63" i="7"/>
  <c r="K68" i="7"/>
  <c r="K65" i="7"/>
  <c r="K81" i="7"/>
  <c r="K67" i="7"/>
  <c r="K66" i="7"/>
  <c r="K73" i="7"/>
  <c r="K64" i="7"/>
  <c r="K69" i="7"/>
  <c r="Q146" i="7"/>
  <c r="Q130" i="7" s="1"/>
  <c r="V140" i="2" s="1"/>
  <c r="P172" i="2" l="1"/>
  <c r="L63" i="7"/>
  <c r="L25" i="7"/>
  <c r="L14" i="7" s="1"/>
  <c r="Q74" i="2" s="1"/>
  <c r="R76" i="2"/>
  <c r="R73" i="2"/>
  <c r="S65" i="2"/>
  <c r="S66" i="2" s="1"/>
  <c r="S67" i="2" s="1"/>
  <c r="S69" i="2" s="1"/>
  <c r="J190" i="7"/>
  <c r="J191" i="7"/>
  <c r="J194" i="7"/>
  <c r="J184" i="7"/>
  <c r="J182" i="7"/>
  <c r="J185" i="7"/>
  <c r="J183" i="7"/>
  <c r="J200" i="7"/>
  <c r="J188" i="7"/>
  <c r="J197" i="7"/>
  <c r="J195" i="7"/>
  <c r="S154" i="2"/>
  <c r="S146" i="2"/>
  <c r="S125" i="2"/>
  <c r="R137" i="2"/>
  <c r="P60" i="2"/>
  <c r="Q70" i="2" s="1"/>
  <c r="J178" i="7"/>
  <c r="J169" i="7" s="1"/>
  <c r="O173" i="2" s="1"/>
  <c r="J196" i="7"/>
  <c r="J192" i="7"/>
  <c r="J180" i="7"/>
  <c r="J199" i="7"/>
  <c r="J187" i="7"/>
  <c r="Y136" i="2"/>
  <c r="Y198" i="2"/>
  <c r="Y169" i="2"/>
  <c r="Y106" i="2"/>
  <c r="U82" i="2"/>
  <c r="T83" i="2"/>
  <c r="L170" i="2"/>
  <c r="M158" i="2"/>
  <c r="X61" i="2"/>
  <c r="W62" i="2"/>
  <c r="W63" i="2" s="1"/>
  <c r="R75" i="2"/>
  <c r="S59" i="2"/>
  <c r="S72" i="2"/>
  <c r="P109" i="2"/>
  <c r="Q58" i="2"/>
  <c r="R68" i="2" s="1"/>
  <c r="Q187" i="2"/>
  <c r="P199" i="2"/>
  <c r="Q153" i="2"/>
  <c r="Q155" i="2" s="1"/>
  <c r="Q157" i="2" s="1"/>
  <c r="R150" i="2"/>
  <c r="R151" i="2" s="1"/>
  <c r="R152" i="2" s="1"/>
  <c r="R147" i="2"/>
  <c r="R148" i="2" s="1"/>
  <c r="R149" i="2" s="1"/>
  <c r="J179" i="7"/>
  <c r="J181" i="7"/>
  <c r="J193" i="7"/>
  <c r="J186" i="7"/>
  <c r="J198" i="7"/>
  <c r="Z16" i="2"/>
  <c r="AA15" i="2"/>
  <c r="U144" i="2"/>
  <c r="T145" i="2"/>
  <c r="S84" i="2"/>
  <c r="S92" i="2"/>
  <c r="Q91" i="2"/>
  <c r="Q93" i="2" s="1"/>
  <c r="Q94" i="2" s="1"/>
  <c r="R88" i="2"/>
  <c r="R89" i="2" s="1"/>
  <c r="R90" i="2" s="1"/>
  <c r="R85" i="2"/>
  <c r="R86" i="2" s="1"/>
  <c r="R87" i="2" s="1"/>
  <c r="T57" i="2"/>
  <c r="U54" i="2"/>
  <c r="U55" i="2" s="1"/>
  <c r="U56" i="2" s="1"/>
  <c r="T64" i="2"/>
  <c r="H91" i="2"/>
  <c r="H93" i="2" s="1"/>
  <c r="L69" i="7"/>
  <c r="L52" i="7"/>
  <c r="Q77" i="2" s="1"/>
  <c r="L67" i="7"/>
  <c r="L70" i="7"/>
  <c r="L81" i="7"/>
  <c r="L75" i="7"/>
  <c r="L77" i="7"/>
  <c r="L64" i="7"/>
  <c r="L83" i="7"/>
  <c r="L72" i="7"/>
  <c r="L79" i="7"/>
  <c r="L74" i="7"/>
  <c r="L65" i="7"/>
  <c r="L73" i="7"/>
  <c r="L71" i="7"/>
  <c r="L80" i="7"/>
  <c r="L82" i="7"/>
  <c r="L66" i="7"/>
  <c r="L68" i="7"/>
  <c r="L76" i="7"/>
  <c r="R225" i="7"/>
  <c r="R208" i="7" s="1"/>
  <c r="W202" i="2" s="1"/>
  <c r="R147" i="7"/>
  <c r="R130" i="7" s="1"/>
  <c r="W140" i="2" s="1"/>
  <c r="K184" i="7" l="1"/>
  <c r="K191" i="7"/>
  <c r="K182" i="7"/>
  <c r="K192" i="7"/>
  <c r="K185" i="7"/>
  <c r="K186" i="7"/>
  <c r="K188" i="7"/>
  <c r="K197" i="7"/>
  <c r="K189" i="7"/>
  <c r="K200" i="7"/>
  <c r="K181" i="7"/>
  <c r="K199" i="7"/>
  <c r="K180" i="7"/>
  <c r="K198" i="7"/>
  <c r="K187" i="7"/>
  <c r="K183" i="7"/>
  <c r="K193" i="7"/>
  <c r="K194" i="7"/>
  <c r="K179" i="7"/>
  <c r="K169" i="7" s="1"/>
  <c r="P173" i="2" s="1"/>
  <c r="K196" i="7"/>
  <c r="K195" i="7"/>
  <c r="K190" i="7"/>
  <c r="M26" i="7"/>
  <c r="M64" i="7"/>
  <c r="M52" i="7" s="1"/>
  <c r="R77" i="2" s="1"/>
  <c r="S76" i="2"/>
  <c r="S73" i="2"/>
  <c r="T65" i="2"/>
  <c r="T66" i="2" s="1"/>
  <c r="T67" i="2" s="1"/>
  <c r="T69" i="2" s="1"/>
  <c r="S85" i="2"/>
  <c r="S86" i="2" s="1"/>
  <c r="S87" i="2" s="1"/>
  <c r="S88" i="2"/>
  <c r="S89" i="2" s="1"/>
  <c r="S90" i="2" s="1"/>
  <c r="Y61" i="2"/>
  <c r="X62" i="2"/>
  <c r="X63" i="2" s="1"/>
  <c r="Q60" i="2"/>
  <c r="R70" i="2" s="1"/>
  <c r="T59" i="2"/>
  <c r="T72" i="2"/>
  <c r="Q109" i="2"/>
  <c r="T146" i="2"/>
  <c r="T154" i="2"/>
  <c r="R187" i="2"/>
  <c r="Q199" i="2"/>
  <c r="M170" i="2"/>
  <c r="N158" i="2"/>
  <c r="V82" i="2"/>
  <c r="U83" i="2"/>
  <c r="S147" i="2"/>
  <c r="S148" i="2" s="1"/>
  <c r="S149" i="2" s="1"/>
  <c r="S150" i="2"/>
  <c r="S151" i="2" s="1"/>
  <c r="S152" i="2" s="1"/>
  <c r="AA16" i="2"/>
  <c r="AB15" i="2"/>
  <c r="AC15" i="2" s="1"/>
  <c r="Q172" i="2"/>
  <c r="S75" i="2"/>
  <c r="N83" i="7" s="1"/>
  <c r="V54" i="2"/>
  <c r="V55" i="2" s="1"/>
  <c r="V56" i="2" s="1"/>
  <c r="U57" i="2"/>
  <c r="U64" i="2"/>
  <c r="Z198" i="2"/>
  <c r="Z106" i="2"/>
  <c r="Z169" i="2"/>
  <c r="Z136" i="2"/>
  <c r="T92" i="2"/>
  <c r="T84" i="2"/>
  <c r="T125" i="2"/>
  <c r="S137" i="2"/>
  <c r="R91" i="2"/>
  <c r="R93" i="2" s="1"/>
  <c r="R94" i="2" s="1"/>
  <c r="V144" i="2"/>
  <c r="U145" i="2"/>
  <c r="R153" i="2"/>
  <c r="R155" i="2" s="1"/>
  <c r="R157" i="2" s="1"/>
  <c r="R58" i="2"/>
  <c r="S68" i="2" s="1"/>
  <c r="H94" i="2"/>
  <c r="H109" i="2" s="1"/>
  <c r="S226" i="7"/>
  <c r="S208" i="7" s="1"/>
  <c r="X202" i="2" s="1"/>
  <c r="M43" i="7"/>
  <c r="M45" i="7"/>
  <c r="M44" i="7"/>
  <c r="M37" i="7"/>
  <c r="M36" i="7"/>
  <c r="M29" i="7"/>
  <c r="M28" i="7"/>
  <c r="M42" i="7"/>
  <c r="M39" i="7"/>
  <c r="M34" i="7"/>
  <c r="M31" i="7"/>
  <c r="M41" i="7"/>
  <c r="M40" i="7"/>
  <c r="M33" i="7"/>
  <c r="M32" i="7"/>
  <c r="M38" i="7"/>
  <c r="M35" i="7"/>
  <c r="M30" i="7"/>
  <c r="M27" i="7"/>
  <c r="M14" i="7"/>
  <c r="R74" i="2" s="1"/>
  <c r="M79" i="7"/>
  <c r="M78" i="7"/>
  <c r="M81" i="7"/>
  <c r="M76" i="7"/>
  <c r="M73" i="7"/>
  <c r="M83" i="7"/>
  <c r="M82" i="7"/>
  <c r="M75" i="7"/>
  <c r="M74" i="7"/>
  <c r="M80" i="7"/>
  <c r="M71" i="7"/>
  <c r="M70" i="7"/>
  <c r="M67" i="7"/>
  <c r="M66" i="7"/>
  <c r="M69" i="7"/>
  <c r="M77" i="7"/>
  <c r="M68" i="7"/>
  <c r="M72" i="7"/>
  <c r="M65" i="7"/>
  <c r="N45" i="7"/>
  <c r="N44" i="7"/>
  <c r="N42" i="7"/>
  <c r="N39" i="7"/>
  <c r="N34" i="7"/>
  <c r="N31" i="7"/>
  <c r="N41" i="7"/>
  <c r="N40" i="7"/>
  <c r="N33" i="7"/>
  <c r="N32" i="7"/>
  <c r="N37" i="7"/>
  <c r="N36" i="7"/>
  <c r="N43" i="7"/>
  <c r="N38" i="7"/>
  <c r="N35" i="7"/>
  <c r="N30" i="7"/>
  <c r="N28" i="7"/>
  <c r="N29" i="7"/>
  <c r="S148" i="7"/>
  <c r="S130" i="7" s="1"/>
  <c r="X140" i="2" s="1"/>
  <c r="N27" i="7" l="1"/>
  <c r="N65" i="7"/>
  <c r="T76" i="2"/>
  <c r="T73" i="2"/>
  <c r="U65" i="2"/>
  <c r="U66" i="2" s="1"/>
  <c r="U67" i="2" s="1"/>
  <c r="U69" i="2" s="1"/>
  <c r="S153" i="2"/>
  <c r="S155" i="2" s="1"/>
  <c r="S157" i="2" s="1"/>
  <c r="U125" i="2"/>
  <c r="T137" i="2"/>
  <c r="U72" i="2"/>
  <c r="U59" i="2"/>
  <c r="N170" i="2"/>
  <c r="O158" i="2"/>
  <c r="S58" i="2"/>
  <c r="T68" i="2" s="1"/>
  <c r="T88" i="2"/>
  <c r="T89" i="2" s="1"/>
  <c r="T90" i="2" s="1"/>
  <c r="T85" i="2"/>
  <c r="T86" i="2" s="1"/>
  <c r="T87" i="2" s="1"/>
  <c r="W54" i="2"/>
  <c r="W55" i="2" s="1"/>
  <c r="W56" i="2" s="1"/>
  <c r="V57" i="2"/>
  <c r="V64" i="2"/>
  <c r="T150" i="2"/>
  <c r="T151" i="2" s="1"/>
  <c r="T152" i="2" s="1"/>
  <c r="T147" i="2"/>
  <c r="T148" i="2" s="1"/>
  <c r="T149" i="2" s="1"/>
  <c r="S91" i="2"/>
  <c r="S93" i="2" s="1"/>
  <c r="S94" i="2" s="1"/>
  <c r="R109" i="2"/>
  <c r="AB16" i="2"/>
  <c r="U84" i="2"/>
  <c r="U92" i="2"/>
  <c r="T75" i="2"/>
  <c r="O75" i="7" s="1"/>
  <c r="U146" i="2"/>
  <c r="U154" i="2"/>
  <c r="W144" i="2"/>
  <c r="V145" i="2"/>
  <c r="R172" i="2"/>
  <c r="M195" i="7" s="1"/>
  <c r="AA169" i="2"/>
  <c r="AA198" i="2"/>
  <c r="AA136" i="2"/>
  <c r="AA106" i="2"/>
  <c r="V83" i="2"/>
  <c r="W82" i="2"/>
  <c r="S187" i="2"/>
  <c r="R199" i="2"/>
  <c r="R60" i="2"/>
  <c r="S70" i="2" s="1"/>
  <c r="Y62" i="2"/>
  <c r="Y63" i="2" s="1"/>
  <c r="Z61" i="2"/>
  <c r="H95" i="2"/>
  <c r="C101" i="7"/>
  <c r="C104" i="7"/>
  <c r="C97" i="7"/>
  <c r="C117" i="7"/>
  <c r="C118" i="7"/>
  <c r="C113" i="7"/>
  <c r="C94" i="7"/>
  <c r="C116" i="7"/>
  <c r="C108" i="7"/>
  <c r="C115" i="7"/>
  <c r="C107" i="7"/>
  <c r="C122" i="7"/>
  <c r="C109" i="7"/>
  <c r="C106" i="7"/>
  <c r="C112" i="7"/>
  <c r="C93" i="7"/>
  <c r="C91" i="7" s="1"/>
  <c r="H110" i="2" s="1"/>
  <c r="C98" i="7"/>
  <c r="C120" i="7"/>
  <c r="C105" i="7"/>
  <c r="C103" i="7"/>
  <c r="C114" i="7"/>
  <c r="C121" i="7"/>
  <c r="C119" i="7"/>
  <c r="C95" i="7"/>
  <c r="C111" i="7"/>
  <c r="C102" i="7"/>
  <c r="C100" i="7"/>
  <c r="C110" i="7"/>
  <c r="C96" i="7"/>
  <c r="C99" i="7"/>
  <c r="N74" i="7"/>
  <c r="L194" i="7"/>
  <c r="L188" i="7"/>
  <c r="L186" i="7"/>
  <c r="L190" i="7"/>
  <c r="L192" i="7"/>
  <c r="L189" i="7"/>
  <c r="L181" i="7"/>
  <c r="L183" i="7"/>
  <c r="L196" i="7"/>
  <c r="L200" i="7"/>
  <c r="L184" i="7"/>
  <c r="L197" i="7"/>
  <c r="L191" i="7"/>
  <c r="L180" i="7"/>
  <c r="L169" i="7" s="1"/>
  <c r="Q173" i="2" s="1"/>
  <c r="L187" i="7"/>
  <c r="L185" i="7"/>
  <c r="L198" i="7"/>
  <c r="L182" i="7"/>
  <c r="L195" i="7"/>
  <c r="L193" i="7"/>
  <c r="L199" i="7"/>
  <c r="N71" i="7"/>
  <c r="N73" i="7"/>
  <c r="N78" i="7"/>
  <c r="N70" i="7"/>
  <c r="N72" i="7"/>
  <c r="N76" i="7"/>
  <c r="N68" i="7"/>
  <c r="N75" i="7"/>
  <c r="N66" i="7"/>
  <c r="N79" i="7"/>
  <c r="N77" i="7"/>
  <c r="N82" i="7"/>
  <c r="N81" i="7"/>
  <c r="N67" i="7"/>
  <c r="N69" i="7"/>
  <c r="N80" i="7"/>
  <c r="T227" i="7"/>
  <c r="T208" i="7" s="1"/>
  <c r="Y202" i="2" s="1"/>
  <c r="N14" i="7"/>
  <c r="S74" i="2" s="1"/>
  <c r="N52" i="7"/>
  <c r="S77" i="2" s="1"/>
  <c r="O44" i="7"/>
  <c r="O41" i="7"/>
  <c r="O40" i="7"/>
  <c r="O33" i="7"/>
  <c r="O32" i="7"/>
  <c r="O43" i="7"/>
  <c r="O38" i="7"/>
  <c r="O35" i="7"/>
  <c r="O30" i="7"/>
  <c r="O42" i="7"/>
  <c r="O45" i="7"/>
  <c r="O37" i="7"/>
  <c r="O36" i="7"/>
  <c r="O29" i="7"/>
  <c r="O39" i="7"/>
  <c r="O34" i="7"/>
  <c r="O31" i="7"/>
  <c r="T149" i="7"/>
  <c r="T130" i="7" s="1"/>
  <c r="Y140" i="2" s="1"/>
  <c r="S172" i="2" l="1"/>
  <c r="O66" i="7"/>
  <c r="O52" i="7" s="1"/>
  <c r="T77" i="2" s="1"/>
  <c r="O28" i="7"/>
  <c r="O14" i="7" s="1"/>
  <c r="T74" i="2" s="1"/>
  <c r="U76" i="2"/>
  <c r="U73" i="2"/>
  <c r="M199" i="7"/>
  <c r="V65" i="2"/>
  <c r="V66" i="2" s="1"/>
  <c r="V67" i="2" s="1"/>
  <c r="V69" i="2" s="1"/>
  <c r="M183" i="7"/>
  <c r="M196" i="7"/>
  <c r="M185" i="7"/>
  <c r="M187" i="7"/>
  <c r="T91" i="2"/>
  <c r="T93" i="2" s="1"/>
  <c r="T94" i="2" s="1"/>
  <c r="T109" i="2" s="1"/>
  <c r="M182" i="7"/>
  <c r="M189" i="7"/>
  <c r="M192" i="7"/>
  <c r="M191" i="7"/>
  <c r="M184" i="7"/>
  <c r="M194" i="7"/>
  <c r="M190" i="7"/>
  <c r="M193" i="7"/>
  <c r="M181" i="7"/>
  <c r="M169" i="7" s="1"/>
  <c r="R173" i="2" s="1"/>
  <c r="M197" i="7"/>
  <c r="M198" i="7"/>
  <c r="M200" i="7"/>
  <c r="M188" i="7"/>
  <c r="M186" i="7"/>
  <c r="AA61" i="2"/>
  <c r="Z62" i="2"/>
  <c r="Z63" i="2" s="1"/>
  <c r="T187" i="2"/>
  <c r="S199" i="2"/>
  <c r="AB169" i="2"/>
  <c r="AB106" i="2"/>
  <c r="AB136" i="2"/>
  <c r="AB198" i="2"/>
  <c r="S60" i="2"/>
  <c r="T70" i="2" s="1"/>
  <c r="X82" i="2"/>
  <c r="W83" i="2"/>
  <c r="V146" i="2"/>
  <c r="V154" i="2"/>
  <c r="AC16" i="2"/>
  <c r="AD15" i="2"/>
  <c r="S109" i="2"/>
  <c r="V72" i="2"/>
  <c r="V59" i="2"/>
  <c r="V125" i="2"/>
  <c r="U137" i="2"/>
  <c r="U85" i="2"/>
  <c r="U86" i="2" s="1"/>
  <c r="U87" i="2" s="1"/>
  <c r="U88" i="2"/>
  <c r="U89" i="2" s="1"/>
  <c r="U90" i="2" s="1"/>
  <c r="O170" i="2"/>
  <c r="P158" i="2"/>
  <c r="H107" i="2"/>
  <c r="I95" i="2"/>
  <c r="V92" i="2"/>
  <c r="V84" i="2"/>
  <c r="W145" i="2"/>
  <c r="X144" i="2"/>
  <c r="U150" i="2"/>
  <c r="U151" i="2" s="1"/>
  <c r="U152" i="2" s="1"/>
  <c r="U147" i="2"/>
  <c r="U148" i="2" s="1"/>
  <c r="U149" i="2" s="1"/>
  <c r="T153" i="2"/>
  <c r="T155" i="2" s="1"/>
  <c r="T157" i="2" s="1"/>
  <c r="X54" i="2"/>
  <c r="X55" i="2" s="1"/>
  <c r="X56" i="2" s="1"/>
  <c r="W57" i="2"/>
  <c r="W64" i="2"/>
  <c r="T58" i="2"/>
  <c r="U68" i="2" s="1"/>
  <c r="U75" i="2"/>
  <c r="P72" i="7" s="1"/>
  <c r="O83" i="7"/>
  <c r="D106" i="7"/>
  <c r="D110" i="7"/>
  <c r="D102" i="7"/>
  <c r="D116" i="7"/>
  <c r="D94" i="7"/>
  <c r="D91" i="7" s="1"/>
  <c r="I110" i="2" s="1"/>
  <c r="D119" i="7"/>
  <c r="D114" i="7"/>
  <c r="D118" i="7"/>
  <c r="D113" i="7"/>
  <c r="D98" i="7"/>
  <c r="D104" i="7"/>
  <c r="D99" i="7"/>
  <c r="D121" i="7"/>
  <c r="D108" i="7"/>
  <c r="D117" i="7"/>
  <c r="D97" i="7"/>
  <c r="D101" i="7"/>
  <c r="D112" i="7"/>
  <c r="D103" i="7"/>
  <c r="D122" i="7"/>
  <c r="D107" i="7"/>
  <c r="D120" i="7"/>
  <c r="D100" i="7"/>
  <c r="D109" i="7"/>
  <c r="D111" i="7"/>
  <c r="D96" i="7"/>
  <c r="D95" i="7"/>
  <c r="D115" i="7"/>
  <c r="D105" i="7"/>
  <c r="O69" i="7"/>
  <c r="O78" i="7"/>
  <c r="U228" i="7"/>
  <c r="U208" i="7" s="1"/>
  <c r="Z202" i="2" s="1"/>
  <c r="O82" i="7"/>
  <c r="O71" i="7"/>
  <c r="O73" i="7"/>
  <c r="O77" i="7"/>
  <c r="O68" i="7"/>
  <c r="O80" i="7"/>
  <c r="O76" i="7"/>
  <c r="O81" i="7"/>
  <c r="O79" i="7"/>
  <c r="O74" i="7"/>
  <c r="O67" i="7"/>
  <c r="O70" i="7"/>
  <c r="O72" i="7"/>
  <c r="P43" i="7"/>
  <c r="P45" i="7"/>
  <c r="P38" i="7"/>
  <c r="P35" i="7"/>
  <c r="P30" i="7"/>
  <c r="P37" i="7"/>
  <c r="P36" i="7"/>
  <c r="P44" i="7"/>
  <c r="P41" i="7"/>
  <c r="P42" i="7"/>
  <c r="P39" i="7"/>
  <c r="P34" i="7"/>
  <c r="P31" i="7"/>
  <c r="P40" i="7"/>
  <c r="P33" i="7"/>
  <c r="P32" i="7"/>
  <c r="U150" i="7"/>
  <c r="U130" i="7" s="1"/>
  <c r="Z140" i="2" s="1"/>
  <c r="N194" i="7" l="1"/>
  <c r="N195" i="7"/>
  <c r="N184" i="7"/>
  <c r="N191" i="7"/>
  <c r="N186" i="7"/>
  <c r="N196" i="7"/>
  <c r="N197" i="7"/>
  <c r="N199" i="7"/>
  <c r="N183" i="7"/>
  <c r="N192" i="7"/>
  <c r="N198" i="7"/>
  <c r="N189" i="7"/>
  <c r="N200" i="7"/>
  <c r="N188" i="7"/>
  <c r="N185" i="7"/>
  <c r="N182" i="7"/>
  <c r="N169" i="7" s="1"/>
  <c r="S173" i="2" s="1"/>
  <c r="N193" i="7"/>
  <c r="N190" i="7"/>
  <c r="N187" i="7"/>
  <c r="P29" i="7"/>
  <c r="P14" i="7" s="1"/>
  <c r="U74" i="2" s="1"/>
  <c r="P67" i="7"/>
  <c r="V76" i="2"/>
  <c r="V73" i="2"/>
  <c r="W65" i="2"/>
  <c r="W66" i="2" s="1"/>
  <c r="W67" i="2" s="1"/>
  <c r="W69" i="2" s="1"/>
  <c r="U153" i="2"/>
  <c r="U155" i="2" s="1"/>
  <c r="U157" i="2" s="1"/>
  <c r="U91" i="2"/>
  <c r="U93" i="2" s="1"/>
  <c r="U94" i="2" s="1"/>
  <c r="U109" i="2" s="1"/>
  <c r="V85" i="2"/>
  <c r="V86" i="2" s="1"/>
  <c r="V87" i="2" s="1"/>
  <c r="V88" i="2"/>
  <c r="V89" i="2" s="1"/>
  <c r="V90" i="2" s="1"/>
  <c r="AC198" i="2"/>
  <c r="AC169" i="2"/>
  <c r="AC136" i="2"/>
  <c r="AC106" i="2"/>
  <c r="W84" i="2"/>
  <c r="W92" i="2"/>
  <c r="U58" i="2"/>
  <c r="V68" i="2" s="1"/>
  <c r="Y54" i="2"/>
  <c r="Y55" i="2" s="1"/>
  <c r="Y56" i="2" s="1"/>
  <c r="X57" i="2"/>
  <c r="X64" i="2"/>
  <c r="X145" i="2"/>
  <c r="Y144" i="2"/>
  <c r="I107" i="2"/>
  <c r="J95" i="2"/>
  <c r="W125" i="2"/>
  <c r="V137" i="2"/>
  <c r="X83" i="2"/>
  <c r="Y82" i="2"/>
  <c r="U187" i="2"/>
  <c r="T199" i="2"/>
  <c r="P170" i="2"/>
  <c r="Q158" i="2"/>
  <c r="AD16" i="2"/>
  <c r="AE15" i="2"/>
  <c r="W59" i="2"/>
  <c r="W72" i="2"/>
  <c r="T172" i="2"/>
  <c r="O195" i="7" s="1"/>
  <c r="W146" i="2"/>
  <c r="W154" i="2"/>
  <c r="V75" i="2"/>
  <c r="V150" i="2"/>
  <c r="V151" i="2" s="1"/>
  <c r="V152" i="2" s="1"/>
  <c r="V147" i="2"/>
  <c r="V148" i="2" s="1"/>
  <c r="V149" i="2" s="1"/>
  <c r="T60" i="2"/>
  <c r="U70" i="2" s="1"/>
  <c r="AA62" i="2"/>
  <c r="AA63" i="2" s="1"/>
  <c r="AB61" i="2"/>
  <c r="E114" i="7"/>
  <c r="E99" i="7"/>
  <c r="E116" i="7"/>
  <c r="E113" i="7"/>
  <c r="E118" i="7"/>
  <c r="E104" i="7"/>
  <c r="E101" i="7"/>
  <c r="E106" i="7"/>
  <c r="E108" i="7"/>
  <c r="E103" i="7"/>
  <c r="E105" i="7"/>
  <c r="E111" i="7"/>
  <c r="E120" i="7"/>
  <c r="E96" i="7"/>
  <c r="E98" i="7"/>
  <c r="E117" i="7"/>
  <c r="E115" i="7"/>
  <c r="E95" i="7"/>
  <c r="E91" i="7" s="1"/>
  <c r="J110" i="2" s="1"/>
  <c r="E112" i="7"/>
  <c r="E100" i="7"/>
  <c r="E109" i="7"/>
  <c r="E110" i="7"/>
  <c r="E121" i="7"/>
  <c r="E119" i="7"/>
  <c r="E107" i="7"/>
  <c r="E122" i="7"/>
  <c r="E97" i="7"/>
  <c r="E102" i="7"/>
  <c r="V229" i="7"/>
  <c r="V208" i="7" s="1"/>
  <c r="AA202" i="2" s="1"/>
  <c r="P69" i="7"/>
  <c r="P73" i="7"/>
  <c r="P78" i="7"/>
  <c r="P82" i="7"/>
  <c r="P76" i="7"/>
  <c r="P79" i="7"/>
  <c r="P74" i="7"/>
  <c r="P81" i="7"/>
  <c r="P77" i="7"/>
  <c r="P83" i="7"/>
  <c r="P68" i="7"/>
  <c r="P71" i="7"/>
  <c r="P80" i="7"/>
  <c r="P75" i="7"/>
  <c r="P70" i="7"/>
  <c r="P52" i="7"/>
  <c r="U77" i="2" s="1"/>
  <c r="V151" i="7"/>
  <c r="V130" i="7" s="1"/>
  <c r="AA140" i="2" s="1"/>
  <c r="U172" i="2" l="1"/>
  <c r="Q68" i="7"/>
  <c r="Q52" i="7" s="1"/>
  <c r="V77" i="2" s="1"/>
  <c r="Q30" i="7"/>
  <c r="Q14" i="7" s="1"/>
  <c r="V74" i="2" s="1"/>
  <c r="W76" i="2"/>
  <c r="W73" i="2"/>
  <c r="X65" i="2"/>
  <c r="X66" i="2" s="1"/>
  <c r="X67" i="2" s="1"/>
  <c r="X69" i="2" s="1"/>
  <c r="O196" i="7"/>
  <c r="O193" i="7"/>
  <c r="O197" i="7"/>
  <c r="O189" i="7"/>
  <c r="V91" i="2"/>
  <c r="V93" i="2" s="1"/>
  <c r="V94" i="2" s="1"/>
  <c r="V109" i="2" s="1"/>
  <c r="O184" i="7"/>
  <c r="AF15" i="2"/>
  <c r="AF16" i="2" s="1"/>
  <c r="AE16" i="2"/>
  <c r="V187" i="2"/>
  <c r="U199" i="2"/>
  <c r="Y145" i="2"/>
  <c r="Z144" i="2"/>
  <c r="Y57" i="2"/>
  <c r="Z54" i="2"/>
  <c r="Z55" i="2" s="1"/>
  <c r="Z56" i="2" s="1"/>
  <c r="Y64" i="2"/>
  <c r="O191" i="7"/>
  <c r="O192" i="7"/>
  <c r="O194" i="7"/>
  <c r="O185" i="7"/>
  <c r="O200" i="7"/>
  <c r="U60" i="2"/>
  <c r="V70" i="2" s="1"/>
  <c r="AD198" i="2"/>
  <c r="AD136" i="2"/>
  <c r="AD169" i="2"/>
  <c r="AD106" i="2"/>
  <c r="X125" i="2"/>
  <c r="W137" i="2"/>
  <c r="X146" i="2"/>
  <c r="X154" i="2"/>
  <c r="W85" i="2"/>
  <c r="W86" i="2" s="1"/>
  <c r="W87" i="2" s="1"/>
  <c r="W88" i="2"/>
  <c r="W89" i="2" s="1"/>
  <c r="W90" i="2" s="1"/>
  <c r="O198" i="7"/>
  <c r="O183" i="7"/>
  <c r="O169" i="7" s="1"/>
  <c r="T173" i="2" s="1"/>
  <c r="O199" i="7"/>
  <c r="O188" i="7"/>
  <c r="W150" i="2"/>
  <c r="W151" i="2" s="1"/>
  <c r="W152" i="2" s="1"/>
  <c r="W147" i="2"/>
  <c r="W148" i="2" s="1"/>
  <c r="W149" i="2" s="1"/>
  <c r="Q170" i="2"/>
  <c r="R158" i="2"/>
  <c r="Y83" i="2"/>
  <c r="Z82" i="2"/>
  <c r="J107" i="2"/>
  <c r="K95" i="2"/>
  <c r="V58" i="2"/>
  <c r="W68" i="2" s="1"/>
  <c r="O190" i="7"/>
  <c r="O187" i="7"/>
  <c r="O186" i="7"/>
  <c r="AC61" i="2"/>
  <c r="AB62" i="2"/>
  <c r="AB63" i="2" s="1"/>
  <c r="V153" i="2"/>
  <c r="V155" i="2" s="1"/>
  <c r="V157" i="2" s="1"/>
  <c r="W75" i="2"/>
  <c r="R81" i="7" s="1"/>
  <c r="X92" i="2"/>
  <c r="X84" i="2"/>
  <c r="X72" i="2"/>
  <c r="X59" i="2"/>
  <c r="F96" i="7"/>
  <c r="F91" i="7" s="1"/>
  <c r="K110" i="2" s="1"/>
  <c r="F105" i="7"/>
  <c r="F115" i="7"/>
  <c r="F104" i="7"/>
  <c r="F120" i="7"/>
  <c r="F100" i="7"/>
  <c r="F121" i="7"/>
  <c r="F119" i="7"/>
  <c r="F109" i="7"/>
  <c r="F101" i="7"/>
  <c r="F107" i="7"/>
  <c r="F111" i="7"/>
  <c r="F116" i="7"/>
  <c r="F106" i="7"/>
  <c r="F99" i="7"/>
  <c r="F122" i="7"/>
  <c r="F110" i="7"/>
  <c r="F103" i="7"/>
  <c r="F117" i="7"/>
  <c r="F102" i="7"/>
  <c r="F108" i="7"/>
  <c r="F113" i="7"/>
  <c r="F98" i="7"/>
  <c r="F114" i="7"/>
  <c r="F118" i="7"/>
  <c r="F112" i="7"/>
  <c r="F97" i="7"/>
  <c r="W230" i="7"/>
  <c r="W208" i="7" s="1"/>
  <c r="AB202" i="2" s="1"/>
  <c r="Q43" i="7"/>
  <c r="Q45" i="7"/>
  <c r="Q44" i="7"/>
  <c r="Q37" i="7"/>
  <c r="Q36" i="7"/>
  <c r="Q42" i="7"/>
  <c r="Q39" i="7"/>
  <c r="Q34" i="7"/>
  <c r="Q31" i="7"/>
  <c r="Q38" i="7"/>
  <c r="Q35" i="7"/>
  <c r="Q41" i="7"/>
  <c r="Q40" i="7"/>
  <c r="Q33" i="7"/>
  <c r="Q32" i="7"/>
  <c r="Q79" i="7"/>
  <c r="Q78" i="7"/>
  <c r="Q81" i="7"/>
  <c r="Q76" i="7"/>
  <c r="Q73" i="7"/>
  <c r="Q83" i="7"/>
  <c r="Q82" i="7"/>
  <c r="Q75" i="7"/>
  <c r="Q74" i="7"/>
  <c r="Q77" i="7"/>
  <c r="Q69" i="7"/>
  <c r="Q72" i="7"/>
  <c r="Q71" i="7"/>
  <c r="Q70" i="7"/>
  <c r="Q80" i="7"/>
  <c r="R45" i="7"/>
  <c r="R44" i="7"/>
  <c r="R43" i="7"/>
  <c r="R42" i="7"/>
  <c r="R39" i="7"/>
  <c r="R34" i="7"/>
  <c r="R41" i="7"/>
  <c r="R40" i="7"/>
  <c r="R33" i="7"/>
  <c r="R32" i="7"/>
  <c r="R38" i="7"/>
  <c r="R35" i="7"/>
  <c r="R37" i="7"/>
  <c r="R36" i="7"/>
  <c r="W152" i="7"/>
  <c r="W130" i="7" s="1"/>
  <c r="AB140" i="2" s="1"/>
  <c r="P189" i="7" l="1"/>
  <c r="P188" i="7"/>
  <c r="P196" i="7"/>
  <c r="P199" i="7"/>
  <c r="P186" i="7"/>
  <c r="P200" i="7"/>
  <c r="P190" i="7"/>
  <c r="P192" i="7"/>
  <c r="P187" i="7"/>
  <c r="P198" i="7"/>
  <c r="P195" i="7"/>
  <c r="P184" i="7"/>
  <c r="P193" i="7"/>
  <c r="P194" i="7"/>
  <c r="P191" i="7"/>
  <c r="P197" i="7"/>
  <c r="P185" i="7"/>
  <c r="R31" i="7"/>
  <c r="R14" i="7" s="1"/>
  <c r="W74" i="2" s="1"/>
  <c r="R69" i="7"/>
  <c r="R52" i="7" s="1"/>
  <c r="W77" i="2" s="1"/>
  <c r="X76" i="2"/>
  <c r="X73" i="2"/>
  <c r="R76" i="7"/>
  <c r="Y65" i="2"/>
  <c r="Y66" i="2" s="1"/>
  <c r="Y67" i="2" s="1"/>
  <c r="Y69" i="2" s="1"/>
  <c r="P169" i="7"/>
  <c r="U173" i="2" s="1"/>
  <c r="AC62" i="2"/>
  <c r="AC63" i="2" s="1"/>
  <c r="AD61" i="2"/>
  <c r="Y92" i="2"/>
  <c r="Y84" i="2"/>
  <c r="V60" i="2"/>
  <c r="W70" i="2" s="1"/>
  <c r="AA144" i="2"/>
  <c r="Z145" i="2"/>
  <c r="AE136" i="2"/>
  <c r="AE106" i="2"/>
  <c r="AE198" i="2"/>
  <c r="AE169" i="2"/>
  <c r="W58" i="2"/>
  <c r="X68" i="2" s="1"/>
  <c r="K107" i="2"/>
  <c r="L95" i="2"/>
  <c r="R170" i="2"/>
  <c r="S158" i="2"/>
  <c r="X147" i="2"/>
  <c r="X148" i="2" s="1"/>
  <c r="X149" i="2" s="1"/>
  <c r="X150" i="2"/>
  <c r="X151" i="2" s="1"/>
  <c r="X152" i="2" s="1"/>
  <c r="Y154" i="2"/>
  <c r="Y146" i="2"/>
  <c r="AF169" i="2"/>
  <c r="AF198" i="2"/>
  <c r="AF136" i="2"/>
  <c r="AF106" i="2"/>
  <c r="X85" i="2"/>
  <c r="X86" i="2" s="1"/>
  <c r="X87" i="2" s="1"/>
  <c r="X88" i="2"/>
  <c r="X89" i="2" s="1"/>
  <c r="X90" i="2" s="1"/>
  <c r="V172" i="2"/>
  <c r="Q188" i="7" s="1"/>
  <c r="Z57" i="2"/>
  <c r="AA54" i="2"/>
  <c r="AA55" i="2" s="1"/>
  <c r="AA56" i="2" s="1"/>
  <c r="Z64" i="2"/>
  <c r="X75" i="2"/>
  <c r="S74" i="7" s="1"/>
  <c r="Z83" i="2"/>
  <c r="AA82" i="2"/>
  <c r="W153" i="2"/>
  <c r="W155" i="2" s="1"/>
  <c r="W157" i="2" s="1"/>
  <c r="W91" i="2"/>
  <c r="W93" i="2" s="1"/>
  <c r="W94" i="2" s="1"/>
  <c r="Y125" i="2"/>
  <c r="X137" i="2"/>
  <c r="Y72" i="2"/>
  <c r="Y59" i="2"/>
  <c r="W187" i="2"/>
  <c r="V199" i="2"/>
  <c r="R71" i="7"/>
  <c r="R72" i="7"/>
  <c r="R80" i="7"/>
  <c r="R83" i="7"/>
  <c r="R78" i="7"/>
  <c r="R75" i="7"/>
  <c r="R79" i="7"/>
  <c r="R74" i="7"/>
  <c r="R73" i="7"/>
  <c r="R70" i="7"/>
  <c r="R77" i="7"/>
  <c r="R82" i="7"/>
  <c r="G114" i="7"/>
  <c r="G109" i="7"/>
  <c r="G100" i="7"/>
  <c r="G116" i="7"/>
  <c r="G99" i="7"/>
  <c r="G113" i="7"/>
  <c r="G103" i="7"/>
  <c r="G120" i="7"/>
  <c r="G110" i="7"/>
  <c r="G119" i="7"/>
  <c r="G115" i="7"/>
  <c r="G121" i="7"/>
  <c r="G107" i="7"/>
  <c r="G108" i="7"/>
  <c r="G98" i="7"/>
  <c r="G118" i="7"/>
  <c r="G111" i="7"/>
  <c r="G105" i="7"/>
  <c r="G117" i="7"/>
  <c r="G122" i="7"/>
  <c r="G112" i="7"/>
  <c r="G97" i="7"/>
  <c r="G91" i="7" s="1"/>
  <c r="L110" i="2" s="1"/>
  <c r="G106" i="7"/>
  <c r="G104" i="7"/>
  <c r="G102" i="7"/>
  <c r="G101" i="7"/>
  <c r="X231" i="7"/>
  <c r="X208" i="7" s="1"/>
  <c r="AC202" i="2" s="1"/>
  <c r="S41" i="7"/>
  <c r="S40" i="7"/>
  <c r="S33" i="7"/>
  <c r="S45" i="7"/>
  <c r="S38" i="7"/>
  <c r="S35" i="7"/>
  <c r="S43" i="7"/>
  <c r="S42" i="7"/>
  <c r="S39" i="7"/>
  <c r="S44" i="7"/>
  <c r="S37" i="7"/>
  <c r="S36" i="7"/>
  <c r="S34" i="7"/>
  <c r="X153" i="7"/>
  <c r="X130" i="7" s="1"/>
  <c r="AC140" i="2" s="1"/>
  <c r="S32" i="7" l="1"/>
  <c r="S14" i="7" s="1"/>
  <c r="X74" i="2" s="1"/>
  <c r="S70" i="7"/>
  <c r="S52" i="7" s="1"/>
  <c r="X77" i="2" s="1"/>
  <c r="Y76" i="2"/>
  <c r="Y73" i="2"/>
  <c r="Z65" i="2"/>
  <c r="Z66" i="2" s="1"/>
  <c r="Z67" i="2" s="1"/>
  <c r="Z69" i="2" s="1"/>
  <c r="Q197" i="7"/>
  <c r="Q194" i="7"/>
  <c r="Q185" i="7"/>
  <c r="Q169" i="7" s="1"/>
  <c r="V173" i="2" s="1"/>
  <c r="Q186" i="7"/>
  <c r="X153" i="2"/>
  <c r="X155" i="2" s="1"/>
  <c r="X157" i="2" s="1"/>
  <c r="X187" i="2"/>
  <c r="W199" i="2"/>
  <c r="AA145" i="2"/>
  <c r="AB144" i="2"/>
  <c r="Y88" i="2"/>
  <c r="Y89" i="2" s="1"/>
  <c r="Y90" i="2" s="1"/>
  <c r="Y85" i="2"/>
  <c r="Y86" i="2" s="1"/>
  <c r="Y87" i="2" s="1"/>
  <c r="Q189" i="7"/>
  <c r="Q192" i="7"/>
  <c r="Q191" i="7"/>
  <c r="Q200" i="7"/>
  <c r="Y75" i="2"/>
  <c r="T77" i="7" s="1"/>
  <c r="AA83" i="2"/>
  <c r="AB82" i="2"/>
  <c r="Z59" i="2"/>
  <c r="Z72" i="2"/>
  <c r="S170" i="2"/>
  <c r="T158" i="2"/>
  <c r="X58" i="2"/>
  <c r="Y68" i="2" s="1"/>
  <c r="W60" i="2"/>
  <c r="X70" i="2" s="1"/>
  <c r="W172" i="2"/>
  <c r="Q193" i="7"/>
  <c r="Q198" i="7"/>
  <c r="Q199" i="7"/>
  <c r="Q190" i="7"/>
  <c r="Z125" i="2"/>
  <c r="Y137" i="2"/>
  <c r="Z84" i="2"/>
  <c r="Z92" i="2"/>
  <c r="X91" i="2"/>
  <c r="X93" i="2" s="1"/>
  <c r="X94" i="2" s="1"/>
  <c r="AD62" i="2"/>
  <c r="AD63" i="2" s="1"/>
  <c r="AE61" i="2"/>
  <c r="AA57" i="2"/>
  <c r="AB54" i="2"/>
  <c r="AB55" i="2" s="1"/>
  <c r="AB56" i="2" s="1"/>
  <c r="AA64" i="2"/>
  <c r="Q195" i="7"/>
  <c r="Q196" i="7"/>
  <c r="Q187" i="7"/>
  <c r="W109" i="2"/>
  <c r="Y150" i="2"/>
  <c r="Y151" i="2" s="1"/>
  <c r="Y152" i="2" s="1"/>
  <c r="Y147" i="2"/>
  <c r="Y148" i="2" s="1"/>
  <c r="Y149" i="2" s="1"/>
  <c r="L107" i="2"/>
  <c r="M95" i="2"/>
  <c r="Z154" i="2"/>
  <c r="Z146" i="2"/>
  <c r="H115" i="7"/>
  <c r="H117" i="7"/>
  <c r="H110" i="7"/>
  <c r="H120" i="7"/>
  <c r="H112" i="7"/>
  <c r="H105" i="7"/>
  <c r="H111" i="7"/>
  <c r="H104" i="7"/>
  <c r="H122" i="7"/>
  <c r="H99" i="7"/>
  <c r="H108" i="7"/>
  <c r="H109" i="7"/>
  <c r="H100" i="7"/>
  <c r="H101" i="7"/>
  <c r="H103" i="7"/>
  <c r="H119" i="7"/>
  <c r="H107" i="7"/>
  <c r="H116" i="7"/>
  <c r="H118" i="7"/>
  <c r="H113" i="7"/>
  <c r="H98" i="7"/>
  <c r="H91" i="7" s="1"/>
  <c r="M110" i="2" s="1"/>
  <c r="H114" i="7"/>
  <c r="H102" i="7"/>
  <c r="H121" i="7"/>
  <c r="H106" i="7"/>
  <c r="Y232" i="7"/>
  <c r="Y208" i="7" s="1"/>
  <c r="AD202" i="2" s="1"/>
  <c r="S71" i="7"/>
  <c r="S77" i="7"/>
  <c r="S82" i="7"/>
  <c r="S72" i="7"/>
  <c r="S81" i="7"/>
  <c r="S75" i="7"/>
  <c r="S76" i="7"/>
  <c r="S78" i="7"/>
  <c r="S80" i="7"/>
  <c r="S83" i="7"/>
  <c r="S73" i="7"/>
  <c r="S79" i="7"/>
  <c r="T43" i="7"/>
  <c r="T45" i="7"/>
  <c r="T38" i="7"/>
  <c r="T35" i="7"/>
  <c r="T44" i="7"/>
  <c r="T37" i="7"/>
  <c r="T36" i="7"/>
  <c r="T40" i="7"/>
  <c r="T42" i="7"/>
  <c r="T39" i="7"/>
  <c r="T34" i="7"/>
  <c r="T41" i="7"/>
  <c r="Y154" i="7"/>
  <c r="Y130" i="7" s="1"/>
  <c r="AD140" i="2" s="1"/>
  <c r="X172" i="2" l="1"/>
  <c r="T33" i="7"/>
  <c r="T14" i="7" s="1"/>
  <c r="Y74" i="2" s="1"/>
  <c r="T71" i="7"/>
  <c r="T52" i="7" s="1"/>
  <c r="Y77" i="2" s="1"/>
  <c r="Z76" i="2"/>
  <c r="Z73" i="2"/>
  <c r="AA65" i="2"/>
  <c r="AA66" i="2" s="1"/>
  <c r="AA67" i="2" s="1"/>
  <c r="AA69" i="2" s="1"/>
  <c r="M107" i="2"/>
  <c r="N95" i="2"/>
  <c r="Z85" i="2"/>
  <c r="Z86" i="2" s="1"/>
  <c r="Z87" i="2" s="1"/>
  <c r="Z88" i="2"/>
  <c r="Z89" i="2" s="1"/>
  <c r="Z90" i="2" s="1"/>
  <c r="R196" i="7"/>
  <c r="R186" i="7"/>
  <c r="R169" i="7" s="1"/>
  <c r="W173" i="2" s="1"/>
  <c r="R198" i="7"/>
  <c r="R197" i="7"/>
  <c r="R193" i="7"/>
  <c r="R190" i="7"/>
  <c r="R200" i="7"/>
  <c r="R199" i="7"/>
  <c r="R187" i="7"/>
  <c r="R195" i="7"/>
  <c r="R192" i="7"/>
  <c r="R191" i="7"/>
  <c r="R189" i="7"/>
  <c r="R188" i="7"/>
  <c r="R194" i="7"/>
  <c r="Z75" i="2"/>
  <c r="U76" i="7" s="1"/>
  <c r="AC144" i="2"/>
  <c r="AB145" i="2"/>
  <c r="AF61" i="2"/>
  <c r="AE62" i="2"/>
  <c r="AE63" i="2" s="1"/>
  <c r="T170" i="2"/>
  <c r="U158" i="2"/>
  <c r="AA84" i="2"/>
  <c r="AA92" i="2"/>
  <c r="AC54" i="2"/>
  <c r="AC55" i="2" s="1"/>
  <c r="AC56" i="2" s="1"/>
  <c r="AB57" i="2"/>
  <c r="AB64" i="2"/>
  <c r="AA154" i="2"/>
  <c r="AA146" i="2"/>
  <c r="Z147" i="2"/>
  <c r="Z148" i="2" s="1"/>
  <c r="Z149" i="2" s="1"/>
  <c r="Z150" i="2"/>
  <c r="Z151" i="2" s="1"/>
  <c r="Z152" i="2" s="1"/>
  <c r="Y153" i="2"/>
  <c r="Y155" i="2" s="1"/>
  <c r="Y157" i="2" s="1"/>
  <c r="AA72" i="2"/>
  <c r="AA59" i="2"/>
  <c r="X109" i="2"/>
  <c r="AA125" i="2"/>
  <c r="Z137" i="2"/>
  <c r="X60" i="2"/>
  <c r="Y70" i="2" s="1"/>
  <c r="Y58" i="2"/>
  <c r="Z68" i="2" s="1"/>
  <c r="AC82" i="2"/>
  <c r="AB83" i="2"/>
  <c r="Y91" i="2"/>
  <c r="Y93" i="2" s="1"/>
  <c r="Y94" i="2" s="1"/>
  <c r="Y187" i="2"/>
  <c r="X199" i="2"/>
  <c r="I102" i="7"/>
  <c r="I105" i="7"/>
  <c r="I111" i="7"/>
  <c r="I112" i="7"/>
  <c r="I99" i="7"/>
  <c r="I91" i="7" s="1"/>
  <c r="N110" i="2" s="1"/>
  <c r="I119" i="7"/>
  <c r="I120" i="7"/>
  <c r="I101" i="7"/>
  <c r="I103" i="7"/>
  <c r="I109" i="7"/>
  <c r="I104" i="7"/>
  <c r="I107" i="7"/>
  <c r="I108" i="7"/>
  <c r="I110" i="7"/>
  <c r="I117" i="7"/>
  <c r="I118" i="7"/>
  <c r="I121" i="7"/>
  <c r="I114" i="7"/>
  <c r="I113" i="7"/>
  <c r="I116" i="7"/>
  <c r="I122" i="7"/>
  <c r="I106" i="7"/>
  <c r="I115" i="7"/>
  <c r="I100" i="7"/>
  <c r="AA234" i="7"/>
  <c r="AA208" i="7" s="1"/>
  <c r="AF202" i="2" s="1"/>
  <c r="Z233" i="7"/>
  <c r="Z208" i="7" s="1"/>
  <c r="AE202" i="2" s="1"/>
  <c r="T73" i="7"/>
  <c r="T72" i="7"/>
  <c r="T75" i="7"/>
  <c r="T76" i="7"/>
  <c r="T80" i="7"/>
  <c r="T83" i="7"/>
  <c r="T78" i="7"/>
  <c r="T74" i="7"/>
  <c r="T79" i="7"/>
  <c r="T82" i="7"/>
  <c r="T81" i="7"/>
  <c r="Z155" i="7"/>
  <c r="Z130" i="7" s="1"/>
  <c r="AE140" i="2" s="1"/>
  <c r="AA156" i="7"/>
  <c r="AA130" i="7" s="1"/>
  <c r="AF140" i="2" s="1"/>
  <c r="S199" i="7" l="1"/>
  <c r="S197" i="7"/>
  <c r="S195" i="7"/>
  <c r="S188" i="7"/>
  <c r="S200" i="7"/>
  <c r="S191" i="7"/>
  <c r="S189" i="7"/>
  <c r="S196" i="7"/>
  <c r="S194" i="7"/>
  <c r="S187" i="7"/>
  <c r="S169" i="7" s="1"/>
  <c r="X173" i="2" s="1"/>
  <c r="S192" i="7"/>
  <c r="S193" i="7"/>
  <c r="S190" i="7"/>
  <c r="S198" i="7"/>
  <c r="U34" i="7"/>
  <c r="U14" i="7" s="1"/>
  <c r="Z74" i="2" s="1"/>
  <c r="U72" i="7"/>
  <c r="AA76" i="2"/>
  <c r="AA73" i="2"/>
  <c r="AB65" i="2"/>
  <c r="AB66" i="2" s="1"/>
  <c r="AB67" i="2" s="1"/>
  <c r="AB69" i="2" s="1"/>
  <c r="U80" i="7"/>
  <c r="U83" i="7"/>
  <c r="U81" i="7"/>
  <c r="U77" i="7"/>
  <c r="U78" i="7"/>
  <c r="U82" i="7"/>
  <c r="U74" i="7"/>
  <c r="U73" i="7"/>
  <c r="U79" i="7"/>
  <c r="U75" i="7"/>
  <c r="Z58" i="2"/>
  <c r="AA68" i="2" s="1"/>
  <c r="AB84" i="2"/>
  <c r="AB92" i="2"/>
  <c r="Y60" i="2"/>
  <c r="Z70" i="2" s="1"/>
  <c r="Z153" i="2"/>
  <c r="Z155" i="2" s="1"/>
  <c r="Z157" i="2" s="1"/>
  <c r="AA85" i="2"/>
  <c r="AA86" i="2" s="1"/>
  <c r="AA87" i="2" s="1"/>
  <c r="AA88" i="2"/>
  <c r="AA89" i="2" s="1"/>
  <c r="AA90" i="2" s="1"/>
  <c r="AG61" i="2"/>
  <c r="AF62" i="2"/>
  <c r="AF63" i="2" s="1"/>
  <c r="Y109" i="2"/>
  <c r="AB125" i="2"/>
  <c r="AA137" i="2"/>
  <c r="AC83" i="2"/>
  <c r="AD82" i="2"/>
  <c r="AB72" i="2"/>
  <c r="AB59" i="2"/>
  <c r="U170" i="2"/>
  <c r="V158" i="2"/>
  <c r="AB154" i="2"/>
  <c r="AB146" i="2"/>
  <c r="Z91" i="2"/>
  <c r="Z93" i="2" s="1"/>
  <c r="Z94" i="2" s="1"/>
  <c r="N107" i="2"/>
  <c r="O95" i="2"/>
  <c r="Z187" i="2"/>
  <c r="Y199" i="2"/>
  <c r="AA75" i="2"/>
  <c r="Y172" i="2"/>
  <c r="AA147" i="2"/>
  <c r="AA148" i="2" s="1"/>
  <c r="AA149" i="2" s="1"/>
  <c r="AA150" i="2"/>
  <c r="AA151" i="2" s="1"/>
  <c r="AA152" i="2" s="1"/>
  <c r="AD54" i="2"/>
  <c r="AD55" i="2" s="1"/>
  <c r="AD56" i="2" s="1"/>
  <c r="AC57" i="2"/>
  <c r="AC64" i="2"/>
  <c r="AD144" i="2"/>
  <c r="AC145" i="2"/>
  <c r="J108" i="7"/>
  <c r="J113" i="7"/>
  <c r="J112" i="7"/>
  <c r="J111" i="7"/>
  <c r="J104" i="7"/>
  <c r="J122" i="7"/>
  <c r="J101" i="7"/>
  <c r="J117" i="7"/>
  <c r="J118" i="7"/>
  <c r="J119" i="7"/>
  <c r="J116" i="7"/>
  <c r="J110" i="7"/>
  <c r="J115" i="7"/>
  <c r="J120" i="7"/>
  <c r="J102" i="7"/>
  <c r="J107" i="7"/>
  <c r="J121" i="7"/>
  <c r="J100" i="7"/>
  <c r="J91" i="7" s="1"/>
  <c r="O110" i="2" s="1"/>
  <c r="J103" i="7"/>
  <c r="J114" i="7"/>
  <c r="J105" i="7"/>
  <c r="J109" i="7"/>
  <c r="J106" i="7"/>
  <c r="U52" i="7"/>
  <c r="Z77" i="2" s="1"/>
  <c r="V35" i="7"/>
  <c r="U43" i="7"/>
  <c r="U45" i="7"/>
  <c r="U44" i="7"/>
  <c r="U37" i="7"/>
  <c r="U36" i="7"/>
  <c r="U42" i="7"/>
  <c r="U39" i="7"/>
  <c r="U41" i="7"/>
  <c r="U40" i="7"/>
  <c r="U38" i="7"/>
  <c r="U35" i="7"/>
  <c r="V73" i="7" l="1"/>
  <c r="AB76" i="2"/>
  <c r="AB73" i="2"/>
  <c r="AC65" i="2"/>
  <c r="AC66" i="2" s="1"/>
  <c r="AC67" i="2" s="1"/>
  <c r="AC69" i="2" s="1"/>
  <c r="AE144" i="2"/>
  <c r="AD145" i="2"/>
  <c r="AB147" i="2"/>
  <c r="AB148" i="2" s="1"/>
  <c r="AB149" i="2" s="1"/>
  <c r="AB150" i="2"/>
  <c r="AB151" i="2" s="1"/>
  <c r="AB152" i="2" s="1"/>
  <c r="AB75" i="2"/>
  <c r="AC92" i="2"/>
  <c r="AC84" i="2"/>
  <c r="AA153" i="2"/>
  <c r="AA155" i="2" s="1"/>
  <c r="AA157" i="2" s="1"/>
  <c r="O107" i="2"/>
  <c r="P95" i="2"/>
  <c r="AA91" i="2"/>
  <c r="AA93" i="2" s="1"/>
  <c r="AA94" i="2" s="1"/>
  <c r="Z172" i="2"/>
  <c r="U190" i="7" s="1"/>
  <c r="AB85" i="2"/>
  <c r="AB86" i="2" s="1"/>
  <c r="AB87" i="2" s="1"/>
  <c r="AB88" i="2"/>
  <c r="AB89" i="2" s="1"/>
  <c r="AB90" i="2" s="1"/>
  <c r="AC59" i="2"/>
  <c r="AC72" i="2"/>
  <c r="T197" i="7"/>
  <c r="T199" i="7"/>
  <c r="T194" i="7"/>
  <c r="T195" i="7"/>
  <c r="T192" i="7"/>
  <c r="T193" i="7"/>
  <c r="T198" i="7"/>
  <c r="T200" i="7"/>
  <c r="T189" i="7"/>
  <c r="T188" i="7"/>
  <c r="T169" i="7" s="1"/>
  <c r="Y173" i="2" s="1"/>
  <c r="T196" i="7"/>
  <c r="T190" i="7"/>
  <c r="T191" i="7"/>
  <c r="V170" i="2"/>
  <c r="W158" i="2"/>
  <c r="AC125" i="2"/>
  <c r="AB137" i="2"/>
  <c r="Z60" i="2"/>
  <c r="AA70" i="2" s="1"/>
  <c r="AC146" i="2"/>
  <c r="AC154" i="2"/>
  <c r="AD57" i="2"/>
  <c r="AE54" i="2"/>
  <c r="AE55" i="2" s="1"/>
  <c r="AE56" i="2" s="1"/>
  <c r="AD64" i="2"/>
  <c r="AA187" i="2"/>
  <c r="Z199" i="2"/>
  <c r="Z109" i="2"/>
  <c r="AD83" i="2"/>
  <c r="AE82" i="2"/>
  <c r="AH61" i="2"/>
  <c r="AG62" i="2"/>
  <c r="AG63" i="2" s="1"/>
  <c r="AA58" i="2"/>
  <c r="AB68" i="2" s="1"/>
  <c r="K107" i="7"/>
  <c r="K108" i="7"/>
  <c r="K122" i="7"/>
  <c r="K102" i="7"/>
  <c r="K117" i="7"/>
  <c r="K120" i="7"/>
  <c r="K121" i="7"/>
  <c r="K104" i="7"/>
  <c r="K103" i="7"/>
  <c r="K101" i="7"/>
  <c r="K91" i="7" s="1"/>
  <c r="P110" i="2" s="1"/>
  <c r="K118" i="7"/>
  <c r="K105" i="7"/>
  <c r="K111" i="7"/>
  <c r="K110" i="7"/>
  <c r="K119" i="7"/>
  <c r="K116" i="7"/>
  <c r="K112" i="7"/>
  <c r="K113" i="7"/>
  <c r="K114" i="7"/>
  <c r="K109" i="7"/>
  <c r="K115" i="7"/>
  <c r="K106" i="7"/>
  <c r="W36" i="7"/>
  <c r="V81" i="7"/>
  <c r="V76" i="7"/>
  <c r="V83" i="7"/>
  <c r="V82" i="7"/>
  <c r="V75" i="7"/>
  <c r="V74" i="7"/>
  <c r="V80" i="7"/>
  <c r="V77" i="7"/>
  <c r="V79" i="7"/>
  <c r="V78" i="7"/>
  <c r="W45" i="7"/>
  <c r="W44" i="7"/>
  <c r="W41" i="7"/>
  <c r="W40" i="7"/>
  <c r="W42" i="7"/>
  <c r="W43" i="7"/>
  <c r="W38" i="7"/>
  <c r="W37" i="7"/>
  <c r="W39" i="7"/>
  <c r="V45" i="7"/>
  <c r="V44" i="7"/>
  <c r="V42" i="7"/>
  <c r="V39" i="7"/>
  <c r="V41" i="7"/>
  <c r="V40" i="7"/>
  <c r="V37" i="7"/>
  <c r="V36" i="7"/>
  <c r="V43" i="7"/>
  <c r="V38" i="7"/>
  <c r="V14" i="7"/>
  <c r="AA74" i="2" s="1"/>
  <c r="V52" i="7"/>
  <c r="AA77" i="2" s="1"/>
  <c r="W74" i="7" l="1"/>
  <c r="AC76" i="2"/>
  <c r="AC73" i="2"/>
  <c r="AD65" i="2"/>
  <c r="AD66" i="2" s="1"/>
  <c r="AD67" i="2" s="1"/>
  <c r="AD69" i="2" s="1"/>
  <c r="U197" i="7"/>
  <c r="U200" i="7"/>
  <c r="U193" i="7"/>
  <c r="U192" i="7"/>
  <c r="U196" i="7"/>
  <c r="U199" i="7"/>
  <c r="U194" i="7"/>
  <c r="U191" i="7"/>
  <c r="U189" i="7"/>
  <c r="U169" i="7" s="1"/>
  <c r="Z173" i="2" s="1"/>
  <c r="AB58" i="2"/>
  <c r="AC68" i="2" s="1"/>
  <c r="AE83" i="2"/>
  <c r="AF82" i="2"/>
  <c r="AD72" i="2"/>
  <c r="AD59" i="2"/>
  <c r="AA60" i="2"/>
  <c r="AB70" i="2" s="1"/>
  <c r="W170" i="2"/>
  <c r="X158" i="2"/>
  <c r="AC85" i="2"/>
  <c r="AC86" i="2" s="1"/>
  <c r="AC87" i="2" s="1"/>
  <c r="AC88" i="2"/>
  <c r="AC89" i="2" s="1"/>
  <c r="AC90" i="2" s="1"/>
  <c r="AB187" i="2"/>
  <c r="AA199" i="2"/>
  <c r="AC75" i="2"/>
  <c r="X79" i="7" s="1"/>
  <c r="AA172" i="2"/>
  <c r="AB153" i="2"/>
  <c r="AB155" i="2" s="1"/>
  <c r="AB157" i="2" s="1"/>
  <c r="AD92" i="2"/>
  <c r="AD84" i="2"/>
  <c r="AC147" i="2"/>
  <c r="AC148" i="2" s="1"/>
  <c r="AC149" i="2" s="1"/>
  <c r="AC150" i="2"/>
  <c r="AC151" i="2" s="1"/>
  <c r="AC152" i="2" s="1"/>
  <c r="AA109" i="2"/>
  <c r="AD154" i="2"/>
  <c r="AD146" i="2"/>
  <c r="U198" i="7"/>
  <c r="U195" i="7"/>
  <c r="AI61" i="2"/>
  <c r="AH62" i="2"/>
  <c r="AH63" i="2" s="1"/>
  <c r="AF54" i="2"/>
  <c r="AF55" i="2" s="1"/>
  <c r="AF56" i="2" s="1"/>
  <c r="AE57" i="2"/>
  <c r="AE64" i="2"/>
  <c r="AD125" i="2"/>
  <c r="AC137" i="2"/>
  <c r="AB91" i="2"/>
  <c r="AB93" i="2" s="1"/>
  <c r="AB94" i="2" s="1"/>
  <c r="P107" i="2"/>
  <c r="Q95" i="2"/>
  <c r="AF144" i="2"/>
  <c r="AE145" i="2"/>
  <c r="L117" i="7"/>
  <c r="L120" i="7"/>
  <c r="L111" i="7"/>
  <c r="L112" i="7"/>
  <c r="L103" i="7"/>
  <c r="L113" i="7"/>
  <c r="L119" i="7"/>
  <c r="L102" i="7"/>
  <c r="L91" i="7" s="1"/>
  <c r="Q110" i="2" s="1"/>
  <c r="L106" i="7"/>
  <c r="L107" i="7"/>
  <c r="L109" i="7"/>
  <c r="L105" i="7"/>
  <c r="L114" i="7"/>
  <c r="L116" i="7"/>
  <c r="L118" i="7"/>
  <c r="L115" i="7"/>
  <c r="L110" i="7"/>
  <c r="L108" i="7"/>
  <c r="L121" i="7"/>
  <c r="L122" i="7"/>
  <c r="L104" i="7"/>
  <c r="W14" i="7"/>
  <c r="AB74" i="2" s="1"/>
  <c r="X43" i="7"/>
  <c r="X45" i="7"/>
  <c r="X38" i="7"/>
  <c r="X44" i="7"/>
  <c r="X41" i="7"/>
  <c r="X42" i="7"/>
  <c r="X39" i="7"/>
  <c r="X40" i="7"/>
  <c r="W83" i="7"/>
  <c r="W82" i="7"/>
  <c r="W75" i="7"/>
  <c r="W80" i="7"/>
  <c r="W77" i="7"/>
  <c r="W79" i="7"/>
  <c r="W78" i="7"/>
  <c r="W76" i="7"/>
  <c r="W81" i="7"/>
  <c r="W52" i="7"/>
  <c r="AB77" i="2" s="1"/>
  <c r="X37" i="7" l="1"/>
  <c r="X14" i="7" s="1"/>
  <c r="AC74" i="2" s="1"/>
  <c r="X75" i="7"/>
  <c r="X52" i="7" s="1"/>
  <c r="AC77" i="2" s="1"/>
  <c r="AD76" i="2"/>
  <c r="AD73" i="2"/>
  <c r="AE65" i="2"/>
  <c r="AE66" i="2" s="1"/>
  <c r="AE67" i="2" s="1"/>
  <c r="AE69" i="2" s="1"/>
  <c r="AC91" i="2"/>
  <c r="AC93" i="2" s="1"/>
  <c r="AC94" i="2" s="1"/>
  <c r="AC109" i="2" s="1"/>
  <c r="AG144" i="2"/>
  <c r="AF145" i="2"/>
  <c r="AB172" i="2"/>
  <c r="AF83" i="2"/>
  <c r="AG82" i="2"/>
  <c r="AG54" i="2"/>
  <c r="AG55" i="2" s="1"/>
  <c r="AG56" i="2" s="1"/>
  <c r="AF57" i="2"/>
  <c r="AF64" i="2"/>
  <c r="Q107" i="2"/>
  <c r="R95" i="2"/>
  <c r="AE125" i="2"/>
  <c r="AD137" i="2"/>
  <c r="AD147" i="2"/>
  <c r="AD148" i="2" s="1"/>
  <c r="AD149" i="2" s="1"/>
  <c r="AD150" i="2"/>
  <c r="AD151" i="2" s="1"/>
  <c r="AD152" i="2" s="1"/>
  <c r="X170" i="2"/>
  <c r="Y158" i="2"/>
  <c r="AD75" i="2"/>
  <c r="AE92" i="2"/>
  <c r="AE84" i="2"/>
  <c r="AI62" i="2"/>
  <c r="AI63" i="2" s="1"/>
  <c r="AJ61" i="2"/>
  <c r="AC153" i="2"/>
  <c r="AC155" i="2" s="1"/>
  <c r="AC157" i="2" s="1"/>
  <c r="AD88" i="2"/>
  <c r="AD89" i="2" s="1"/>
  <c r="AD90" i="2" s="1"/>
  <c r="AD85" i="2"/>
  <c r="AD86" i="2" s="1"/>
  <c r="AD87" i="2" s="1"/>
  <c r="V193" i="7"/>
  <c r="V196" i="7"/>
  <c r="V199" i="7"/>
  <c r="V195" i="7"/>
  <c r="V191" i="7"/>
  <c r="V200" i="7"/>
  <c r="V194" i="7"/>
  <c r="V198" i="7"/>
  <c r="V197" i="7"/>
  <c r="V192" i="7"/>
  <c r="V190" i="7"/>
  <c r="V169" i="7" s="1"/>
  <c r="AA173" i="2" s="1"/>
  <c r="AC187" i="2"/>
  <c r="AB199" i="2"/>
  <c r="AE146" i="2"/>
  <c r="AE154" i="2"/>
  <c r="AB109" i="2"/>
  <c r="AE72" i="2"/>
  <c r="AE59" i="2"/>
  <c r="AB60" i="2"/>
  <c r="AC70" i="2" s="1"/>
  <c r="AC58" i="2"/>
  <c r="AD68" i="2" s="1"/>
  <c r="M109" i="7"/>
  <c r="M106" i="7"/>
  <c r="M117" i="7"/>
  <c r="M112" i="7"/>
  <c r="M118" i="7"/>
  <c r="M111" i="7"/>
  <c r="M110" i="7"/>
  <c r="M122" i="7"/>
  <c r="M108" i="7"/>
  <c r="M104" i="7"/>
  <c r="M120" i="7"/>
  <c r="M119" i="7"/>
  <c r="M116" i="7"/>
  <c r="M107" i="7"/>
  <c r="M103" i="7"/>
  <c r="M91" i="7" s="1"/>
  <c r="R110" i="2" s="1"/>
  <c r="M121" i="7"/>
  <c r="M113" i="7"/>
  <c r="M105" i="7"/>
  <c r="M115" i="7"/>
  <c r="M114" i="7"/>
  <c r="X76" i="7"/>
  <c r="X77" i="7"/>
  <c r="X81" i="7"/>
  <c r="X80" i="7"/>
  <c r="X83" i="7"/>
  <c r="X78" i="7"/>
  <c r="X82" i="7"/>
  <c r="Y43" i="7"/>
  <c r="Y45" i="7"/>
  <c r="Y44" i="7"/>
  <c r="Y42" i="7"/>
  <c r="Y39" i="7"/>
  <c r="Y41" i="7"/>
  <c r="Y40" i="7"/>
  <c r="Y76" i="7" l="1"/>
  <c r="Y52" i="7" s="1"/>
  <c r="AD77" i="2" s="1"/>
  <c r="Y38" i="7"/>
  <c r="Y14" i="7" s="1"/>
  <c r="AD74" i="2" s="1"/>
  <c r="AE76" i="2"/>
  <c r="AE73" i="2"/>
  <c r="AF65" i="2"/>
  <c r="AF66" i="2" s="1"/>
  <c r="AF67" i="2" s="1"/>
  <c r="AF69" i="2" s="1"/>
  <c r="AD58" i="2"/>
  <c r="AE68" i="2" s="1"/>
  <c r="AJ62" i="2"/>
  <c r="AJ63" i="2" s="1"/>
  <c r="AK61" i="2"/>
  <c r="AK62" i="2" s="1"/>
  <c r="AK63" i="2" s="1"/>
  <c r="AE88" i="2"/>
  <c r="AE89" i="2" s="1"/>
  <c r="AE90" i="2" s="1"/>
  <c r="AE85" i="2"/>
  <c r="AE86" i="2" s="1"/>
  <c r="AE87" i="2" s="1"/>
  <c r="Y170" i="2"/>
  <c r="Z158" i="2"/>
  <c r="AH82" i="2"/>
  <c r="AG83" i="2"/>
  <c r="AE75" i="2"/>
  <c r="AD187" i="2"/>
  <c r="AC199" i="2"/>
  <c r="AD91" i="2"/>
  <c r="AD93" i="2" s="1"/>
  <c r="AD94" i="2" s="1"/>
  <c r="AF92" i="2"/>
  <c r="AF84" i="2"/>
  <c r="W192" i="7"/>
  <c r="W196" i="7"/>
  <c r="W200" i="7"/>
  <c r="W199" i="7"/>
  <c r="W193" i="7"/>
  <c r="W191" i="7"/>
  <c r="W169" i="7" s="1"/>
  <c r="AB173" i="2" s="1"/>
  <c r="W198" i="7"/>
  <c r="W197" i="7"/>
  <c r="W194" i="7"/>
  <c r="W195" i="7"/>
  <c r="AF125" i="2"/>
  <c r="AE137" i="2"/>
  <c r="AF72" i="2"/>
  <c r="AF59" i="2"/>
  <c r="AF146" i="2"/>
  <c r="AF154" i="2"/>
  <c r="AC60" i="2"/>
  <c r="AD70" i="2" s="1"/>
  <c r="AE147" i="2"/>
  <c r="AE148" i="2" s="1"/>
  <c r="AE149" i="2" s="1"/>
  <c r="AE150" i="2"/>
  <c r="AE151" i="2" s="1"/>
  <c r="AE152" i="2" s="1"/>
  <c r="AC172" i="2"/>
  <c r="AD153" i="2"/>
  <c r="AD155" i="2" s="1"/>
  <c r="AD157" i="2" s="1"/>
  <c r="R107" i="2"/>
  <c r="S95" i="2"/>
  <c r="AH54" i="2"/>
  <c r="AH55" i="2" s="1"/>
  <c r="AH56" i="2" s="1"/>
  <c r="AG57" i="2"/>
  <c r="AG64" i="2"/>
  <c r="AG145" i="2"/>
  <c r="AH144" i="2"/>
  <c r="N105" i="7"/>
  <c r="N110" i="7"/>
  <c r="N114" i="7"/>
  <c r="N107" i="7"/>
  <c r="N108" i="7"/>
  <c r="N120" i="7"/>
  <c r="N122" i="7"/>
  <c r="N121" i="7"/>
  <c r="N109" i="7"/>
  <c r="N118" i="7"/>
  <c r="N104" i="7"/>
  <c r="N91" i="7" s="1"/>
  <c r="S110" i="2" s="1"/>
  <c r="N115" i="7"/>
  <c r="N112" i="7"/>
  <c r="N113" i="7"/>
  <c r="N117" i="7"/>
  <c r="N106" i="7"/>
  <c r="N116" i="7"/>
  <c r="N119" i="7"/>
  <c r="N111" i="7"/>
  <c r="Y79" i="7"/>
  <c r="Y78" i="7"/>
  <c r="Y81" i="7"/>
  <c r="Y83" i="7"/>
  <c r="Y82" i="7"/>
  <c r="Y80" i="7"/>
  <c r="Y77" i="7"/>
  <c r="Z45" i="7"/>
  <c r="Z44" i="7"/>
  <c r="Z42" i="7"/>
  <c r="Z43" i="7"/>
  <c r="Z41" i="7"/>
  <c r="Z40" i="7"/>
  <c r="Z39" i="7" l="1"/>
  <c r="Z14" i="7" s="1"/>
  <c r="AE74" i="2" s="1"/>
  <c r="Z77" i="7"/>
  <c r="Z52" i="7" s="1"/>
  <c r="AE77" i="2" s="1"/>
  <c r="AF76" i="2"/>
  <c r="AF73" i="2"/>
  <c r="AG65" i="2"/>
  <c r="AG66" i="2" s="1"/>
  <c r="AG67" i="2" s="1"/>
  <c r="AG69" i="2" s="1"/>
  <c r="AE91" i="2"/>
  <c r="AE93" i="2" s="1"/>
  <c r="AE94" i="2" s="1"/>
  <c r="AE109" i="2" s="1"/>
  <c r="AE153" i="2"/>
  <c r="AE155" i="2" s="1"/>
  <c r="AE157" i="2" s="1"/>
  <c r="AF150" i="2"/>
  <c r="AF151" i="2" s="1"/>
  <c r="AF152" i="2" s="1"/>
  <c r="AF147" i="2"/>
  <c r="AF148" i="2" s="1"/>
  <c r="AF149" i="2" s="1"/>
  <c r="AF88" i="2"/>
  <c r="AF89" i="2" s="1"/>
  <c r="AF90" i="2" s="1"/>
  <c r="AF85" i="2"/>
  <c r="AF86" i="2" s="1"/>
  <c r="AF87" i="2" s="1"/>
  <c r="Z170" i="2"/>
  <c r="AA158" i="2"/>
  <c r="AG59" i="2"/>
  <c r="AG72" i="2"/>
  <c r="AD172" i="2"/>
  <c r="Y194" i="7" s="1"/>
  <c r="AH145" i="2"/>
  <c r="AI144" i="2"/>
  <c r="AI54" i="2"/>
  <c r="AI55" i="2" s="1"/>
  <c r="AI56" i="2" s="1"/>
  <c r="AH57" i="2"/>
  <c r="AH64" i="2"/>
  <c r="AD60" i="2"/>
  <c r="AE70" i="2" s="1"/>
  <c r="AG125" i="2"/>
  <c r="AF137" i="2"/>
  <c r="AD109" i="2"/>
  <c r="AG84" i="2"/>
  <c r="AG92" i="2"/>
  <c r="AG146" i="2"/>
  <c r="AG154" i="2"/>
  <c r="S107" i="2"/>
  <c r="T95" i="2"/>
  <c r="X194" i="7"/>
  <c r="X193" i="7"/>
  <c r="X198" i="7"/>
  <c r="X192" i="7"/>
  <c r="X169" i="7" s="1"/>
  <c r="AC173" i="2" s="1"/>
  <c r="X196" i="7"/>
  <c r="X197" i="7"/>
  <c r="X200" i="7"/>
  <c r="X199" i="7"/>
  <c r="X195" i="7"/>
  <c r="AF75" i="2"/>
  <c r="AA79" i="7" s="1"/>
  <c r="AE187" i="2"/>
  <c r="AD199" i="2"/>
  <c r="AH83" i="2"/>
  <c r="AI82" i="2"/>
  <c r="AE58" i="2"/>
  <c r="AF68" i="2" s="1"/>
  <c r="O108" i="7"/>
  <c r="O112" i="7"/>
  <c r="O114" i="7"/>
  <c r="O121" i="7"/>
  <c r="O110" i="7"/>
  <c r="O113" i="7"/>
  <c r="O122" i="7"/>
  <c r="O105" i="7"/>
  <c r="O91" i="7" s="1"/>
  <c r="T110" i="2" s="1"/>
  <c r="O119" i="7"/>
  <c r="O117" i="7"/>
  <c r="O107" i="7"/>
  <c r="O111" i="7"/>
  <c r="O109" i="7"/>
  <c r="O106" i="7"/>
  <c r="O115" i="7"/>
  <c r="O120" i="7"/>
  <c r="O118" i="7"/>
  <c r="O116" i="7"/>
  <c r="Z81" i="7"/>
  <c r="Z83" i="7"/>
  <c r="Z82" i="7"/>
  <c r="Z80" i="7"/>
  <c r="Z78" i="7"/>
  <c r="Z79" i="7"/>
  <c r="AE172" i="2" l="1"/>
  <c r="AA40" i="7"/>
  <c r="AA14" i="7" s="1"/>
  <c r="AF74" i="2" s="1"/>
  <c r="AA78" i="7"/>
  <c r="AA52" i="7" s="1"/>
  <c r="AF77" i="2" s="1"/>
  <c r="AG76" i="2"/>
  <c r="AG73" i="2"/>
  <c r="AH65" i="2"/>
  <c r="AH66" i="2" s="1"/>
  <c r="AH67" i="2" s="1"/>
  <c r="AH69" i="2" s="1"/>
  <c r="Y193" i="7"/>
  <c r="Y169" i="7" s="1"/>
  <c r="AD173" i="2" s="1"/>
  <c r="AF153" i="2"/>
  <c r="AF155" i="2" s="1"/>
  <c r="AF157" i="2" s="1"/>
  <c r="Y198" i="7"/>
  <c r="Y197" i="7"/>
  <c r="Y196" i="7"/>
  <c r="Y199" i="7"/>
  <c r="Y195" i="7"/>
  <c r="Y200" i="7"/>
  <c r="AA80" i="7"/>
  <c r="AA82" i="7"/>
  <c r="AA81" i="7"/>
  <c r="AA83" i="7"/>
  <c r="AF91" i="2"/>
  <c r="AF93" i="2" s="1"/>
  <c r="AF94" i="2" s="1"/>
  <c r="AF109" i="2" s="1"/>
  <c r="AH84" i="2"/>
  <c r="AH92" i="2"/>
  <c r="AG147" i="2"/>
  <c r="AG148" i="2" s="1"/>
  <c r="AG149" i="2" s="1"/>
  <c r="AG150" i="2"/>
  <c r="AG151" i="2" s="1"/>
  <c r="AG152" i="2" s="1"/>
  <c r="AG88" i="2"/>
  <c r="AG89" i="2" s="1"/>
  <c r="AG90" i="2" s="1"/>
  <c r="AG85" i="2"/>
  <c r="AG86" i="2" s="1"/>
  <c r="AG87" i="2" s="1"/>
  <c r="AE60" i="2"/>
  <c r="AF70" i="2" s="1"/>
  <c r="AJ144" i="2"/>
  <c r="AI145" i="2"/>
  <c r="AA170" i="2"/>
  <c r="AB158" i="2"/>
  <c r="T107" i="2"/>
  <c r="U95" i="2"/>
  <c r="AH146" i="2"/>
  <c r="AH154" i="2"/>
  <c r="AG75" i="2"/>
  <c r="AF58" i="2"/>
  <c r="AG68" i="2" s="1"/>
  <c r="AF187" i="2"/>
  <c r="AE199" i="2"/>
  <c r="AH125" i="2"/>
  <c r="AG137" i="2"/>
  <c r="AH59" i="2"/>
  <c r="AH72" i="2"/>
  <c r="AJ82" i="2"/>
  <c r="AI83" i="2"/>
  <c r="AJ54" i="2"/>
  <c r="AJ55" i="2" s="1"/>
  <c r="AJ56" i="2" s="1"/>
  <c r="AI57" i="2"/>
  <c r="AI64" i="2"/>
  <c r="P106" i="7"/>
  <c r="P91" i="7" s="1"/>
  <c r="U110" i="2" s="1"/>
  <c r="P108" i="7"/>
  <c r="P121" i="7"/>
  <c r="P111" i="7"/>
  <c r="P110" i="7"/>
  <c r="P115" i="7"/>
  <c r="P109" i="7"/>
  <c r="P107" i="7"/>
  <c r="P120" i="7"/>
  <c r="P116" i="7"/>
  <c r="P114" i="7"/>
  <c r="P122" i="7"/>
  <c r="P119" i="7"/>
  <c r="P118" i="7"/>
  <c r="P113" i="7"/>
  <c r="P117" i="7"/>
  <c r="P112" i="7"/>
  <c r="AA42" i="7"/>
  <c r="AA41" i="7"/>
  <c r="AA45" i="7"/>
  <c r="AA43" i="7"/>
  <c r="AA44" i="7"/>
  <c r="Z196" i="7" l="1"/>
  <c r="Z200" i="7"/>
  <c r="Z194" i="7"/>
  <c r="Z169" i="7" s="1"/>
  <c r="AE173" i="2" s="1"/>
  <c r="Z198" i="7"/>
  <c r="Z197" i="7"/>
  <c r="Z195" i="7"/>
  <c r="Z199" i="7"/>
  <c r="AF172" i="2"/>
  <c r="AB41" i="7"/>
  <c r="AB14" i="7" s="1"/>
  <c r="AG74" i="2" s="1"/>
  <c r="AB79" i="7"/>
  <c r="AH76" i="2"/>
  <c r="AH73" i="2"/>
  <c r="AI65" i="2"/>
  <c r="AI66" i="2" s="1"/>
  <c r="AI67" i="2" s="1"/>
  <c r="AI69" i="2" s="1"/>
  <c r="AG153" i="2"/>
  <c r="AG155" i="2" s="1"/>
  <c r="AG157" i="2" s="1"/>
  <c r="AG91" i="2"/>
  <c r="AG93" i="2" s="1"/>
  <c r="AG94" i="2" s="1"/>
  <c r="AG109" i="2" s="1"/>
  <c r="AI92" i="2"/>
  <c r="AI84" i="2"/>
  <c r="AH137" i="2"/>
  <c r="AI125" i="2"/>
  <c r="AH150" i="2"/>
  <c r="AH151" i="2" s="1"/>
  <c r="AH152" i="2" s="1"/>
  <c r="AH147" i="2"/>
  <c r="AH148" i="2" s="1"/>
  <c r="AH149" i="2" s="1"/>
  <c r="AJ83" i="2"/>
  <c r="AK82" i="2"/>
  <c r="AK83" i="2" s="1"/>
  <c r="AH75" i="2"/>
  <c r="AI146" i="2"/>
  <c r="AI154" i="2"/>
  <c r="AI72" i="2"/>
  <c r="AI59" i="2"/>
  <c r="AG187" i="2"/>
  <c r="AF199" i="2"/>
  <c r="AK144" i="2"/>
  <c r="AK145" i="2" s="1"/>
  <c r="AJ145" i="2"/>
  <c r="AH85" i="2"/>
  <c r="AH86" i="2" s="1"/>
  <c r="AH87" i="2" s="1"/>
  <c r="AH88" i="2"/>
  <c r="AH89" i="2" s="1"/>
  <c r="AH90" i="2" s="1"/>
  <c r="AK54" i="2"/>
  <c r="AK55" i="2" s="1"/>
  <c r="AK56" i="2" s="1"/>
  <c r="AJ57" i="2"/>
  <c r="AJ64" i="2"/>
  <c r="AG58" i="2"/>
  <c r="AH68" i="2" s="1"/>
  <c r="U107" i="2"/>
  <c r="V95" i="2"/>
  <c r="AB170" i="2"/>
  <c r="AC158" i="2"/>
  <c r="AF60" i="2"/>
  <c r="AG70" i="2" s="1"/>
  <c r="Q107" i="7"/>
  <c r="Q91" i="7" s="1"/>
  <c r="V110" i="2" s="1"/>
  <c r="Q117" i="7"/>
  <c r="Q109" i="7"/>
  <c r="Q114" i="7"/>
  <c r="Q118" i="7"/>
  <c r="Q120" i="7"/>
  <c r="Q119" i="7"/>
  <c r="Q116" i="7"/>
  <c r="Q113" i="7"/>
  <c r="Q121" i="7"/>
  <c r="Q111" i="7"/>
  <c r="Q108" i="7"/>
  <c r="Q110" i="7"/>
  <c r="Q115" i="7"/>
  <c r="Q122" i="7"/>
  <c r="Q112" i="7"/>
  <c r="AB80" i="7"/>
  <c r="AB81" i="7"/>
  <c r="AB83" i="7"/>
  <c r="AB82" i="7"/>
  <c r="AB43" i="7"/>
  <c r="AB45" i="7"/>
  <c r="AB44" i="7"/>
  <c r="AB42" i="7"/>
  <c r="AB52" i="7"/>
  <c r="AG77" i="2" s="1"/>
  <c r="AA197" i="7" l="1"/>
  <c r="AA196" i="7"/>
  <c r="AA199" i="7"/>
  <c r="AA198" i="7"/>
  <c r="AA200" i="7"/>
  <c r="AA195" i="7"/>
  <c r="AA169" i="7" s="1"/>
  <c r="AF173" i="2" s="1"/>
  <c r="AG172" i="2"/>
  <c r="AC42" i="7"/>
  <c r="AC14" i="7" s="1"/>
  <c r="AH74" i="2" s="1"/>
  <c r="AC80" i="7"/>
  <c r="AC52" i="7" s="1"/>
  <c r="AH77" i="2" s="1"/>
  <c r="AI76" i="2"/>
  <c r="AI73" i="2"/>
  <c r="AJ65" i="2"/>
  <c r="AJ66" i="2" s="1"/>
  <c r="AJ67" i="2" s="1"/>
  <c r="AJ69" i="2" s="1"/>
  <c r="AH153" i="2"/>
  <c r="AH155" i="2" s="1"/>
  <c r="AH157" i="2" s="1"/>
  <c r="AH58" i="2"/>
  <c r="AI68" i="2" s="1"/>
  <c r="AI147" i="2"/>
  <c r="AI148" i="2" s="1"/>
  <c r="AI149" i="2" s="1"/>
  <c r="AI150" i="2"/>
  <c r="AI151" i="2" s="1"/>
  <c r="AI152" i="2" s="1"/>
  <c r="AK84" i="2"/>
  <c r="AK92" i="2"/>
  <c r="AI137" i="2"/>
  <c r="AJ125" i="2"/>
  <c r="V107" i="2"/>
  <c r="W95" i="2"/>
  <c r="AH91" i="2"/>
  <c r="AH93" i="2" s="1"/>
  <c r="AH94" i="2" s="1"/>
  <c r="AG199" i="2"/>
  <c r="AH187" i="2"/>
  <c r="AJ92" i="2"/>
  <c r="AJ84" i="2"/>
  <c r="AG60" i="2"/>
  <c r="AH70" i="2" s="1"/>
  <c r="AJ59" i="2"/>
  <c r="AJ72" i="2"/>
  <c r="AJ146" i="2"/>
  <c r="AJ154" i="2"/>
  <c r="AI75" i="2"/>
  <c r="AI85" i="2"/>
  <c r="AI86" i="2" s="1"/>
  <c r="AI87" i="2" s="1"/>
  <c r="AI88" i="2"/>
  <c r="AI89" i="2" s="1"/>
  <c r="AI90" i="2" s="1"/>
  <c r="AC170" i="2"/>
  <c r="AD158" i="2"/>
  <c r="AK57" i="2"/>
  <c r="AK64" i="2"/>
  <c r="AK154" i="2"/>
  <c r="AK146" i="2"/>
  <c r="R114" i="7"/>
  <c r="R122" i="7"/>
  <c r="R116" i="7"/>
  <c r="R113" i="7"/>
  <c r="R118" i="7"/>
  <c r="R117" i="7"/>
  <c r="R121" i="7"/>
  <c r="R109" i="7"/>
  <c r="R120" i="7"/>
  <c r="R115" i="7"/>
  <c r="R111" i="7"/>
  <c r="R108" i="7"/>
  <c r="R91" i="7" s="1"/>
  <c r="W110" i="2" s="1"/>
  <c r="R110" i="7"/>
  <c r="R119" i="7"/>
  <c r="R112" i="7"/>
  <c r="AC43" i="7"/>
  <c r="AC45" i="7"/>
  <c r="AC44" i="7"/>
  <c r="AC81" i="7"/>
  <c r="AC83" i="7"/>
  <c r="AC82" i="7"/>
  <c r="AB200" i="7" l="1"/>
  <c r="AB197" i="7"/>
  <c r="AB199" i="7"/>
  <c r="AB198" i="7"/>
  <c r="AB196" i="7"/>
  <c r="AB169" i="7" s="1"/>
  <c r="AG173" i="2" s="1"/>
  <c r="AH172" i="2"/>
  <c r="AD43" i="7"/>
  <c r="AD14" i="7" s="1"/>
  <c r="AI74" i="2" s="1"/>
  <c r="AJ76" i="2"/>
  <c r="AJ73" i="2"/>
  <c r="AK65" i="2"/>
  <c r="AK66" i="2" s="1"/>
  <c r="AK67" i="2" s="1"/>
  <c r="AK69" i="2" s="1"/>
  <c r="AJ147" i="2"/>
  <c r="AJ148" i="2" s="1"/>
  <c r="AJ149" i="2" s="1"/>
  <c r="AJ150" i="2"/>
  <c r="AJ151" i="2" s="1"/>
  <c r="AJ152" i="2" s="1"/>
  <c r="AH60" i="2"/>
  <c r="AI70" i="2" s="1"/>
  <c r="AH199" i="2"/>
  <c r="AI187" i="2"/>
  <c r="AK125" i="2"/>
  <c r="AK137" i="2" s="1"/>
  <c r="AJ137" i="2"/>
  <c r="AI153" i="2"/>
  <c r="AI155" i="2" s="1"/>
  <c r="AI157" i="2" s="1"/>
  <c r="AI91" i="2"/>
  <c r="AI93" i="2" s="1"/>
  <c r="AI94" i="2" s="1"/>
  <c r="AJ75" i="2"/>
  <c r="AE83" i="7" s="1"/>
  <c r="AJ85" i="2"/>
  <c r="AJ86" i="2" s="1"/>
  <c r="AJ87" i="2" s="1"/>
  <c r="AJ88" i="2"/>
  <c r="AJ89" i="2" s="1"/>
  <c r="AJ90" i="2" s="1"/>
  <c r="AH109" i="2"/>
  <c r="W107" i="2"/>
  <c r="X95" i="2"/>
  <c r="AI58" i="2"/>
  <c r="AJ68" i="2" s="1"/>
  <c r="AK59" i="2"/>
  <c r="AK72" i="2"/>
  <c r="AK147" i="2"/>
  <c r="AK148" i="2" s="1"/>
  <c r="AK149" i="2" s="1"/>
  <c r="AK150" i="2"/>
  <c r="AK151" i="2" s="1"/>
  <c r="AK152" i="2" s="1"/>
  <c r="AD170" i="2"/>
  <c r="AE158" i="2"/>
  <c r="AK85" i="2"/>
  <c r="AK86" i="2" s="1"/>
  <c r="AK87" i="2" s="1"/>
  <c r="AK88" i="2"/>
  <c r="AK89" i="2" s="1"/>
  <c r="AK90" i="2" s="1"/>
  <c r="AD81" i="7"/>
  <c r="AD52" i="7" s="1"/>
  <c r="AI77" i="2" s="1"/>
  <c r="AD45" i="7"/>
  <c r="AD44" i="7"/>
  <c r="AD83" i="7"/>
  <c r="AD82" i="7"/>
  <c r="AC198" i="7" l="1"/>
  <c r="AC197" i="7"/>
  <c r="AC169" i="7" s="1"/>
  <c r="AH173" i="2" s="1"/>
  <c r="AC199" i="7"/>
  <c r="AC200" i="7"/>
  <c r="AE82" i="7"/>
  <c r="AE52" i="7" s="1"/>
  <c r="AJ77" i="2" s="1"/>
  <c r="AE44" i="7"/>
  <c r="AE14" i="7" s="1"/>
  <c r="AJ74" i="2" s="1"/>
  <c r="AK76" i="2"/>
  <c r="AK73" i="2"/>
  <c r="AK91" i="2"/>
  <c r="AK93" i="2" s="1"/>
  <c r="AK94" i="2" s="1"/>
  <c r="AK109" i="2" s="1"/>
  <c r="AK153" i="2"/>
  <c r="AK155" i="2" s="1"/>
  <c r="AK157" i="2" s="1"/>
  <c r="AJ58" i="2"/>
  <c r="AK68" i="2" s="1"/>
  <c r="AI60" i="2"/>
  <c r="AJ70" i="2" s="1"/>
  <c r="AE170" i="2"/>
  <c r="AF158" i="2"/>
  <c r="AI199" i="2"/>
  <c r="AJ187" i="2"/>
  <c r="X107" i="2"/>
  <c r="Y95" i="2"/>
  <c r="AI109" i="2"/>
  <c r="AJ153" i="2"/>
  <c r="AJ155" i="2" s="1"/>
  <c r="AJ157" i="2" s="1"/>
  <c r="AK75" i="2"/>
  <c r="AJ91" i="2"/>
  <c r="AJ93" i="2" s="1"/>
  <c r="AJ94" i="2" s="1"/>
  <c r="AI172" i="2"/>
  <c r="S115" i="7"/>
  <c r="S120" i="7"/>
  <c r="S117" i="7"/>
  <c r="S114" i="7"/>
  <c r="S121" i="7"/>
  <c r="S122" i="7"/>
  <c r="S116" i="7"/>
  <c r="S119" i="7"/>
  <c r="S110" i="7"/>
  <c r="S109" i="7"/>
  <c r="S91" i="7" s="1"/>
  <c r="X110" i="2" s="1"/>
  <c r="S111" i="7"/>
  <c r="S112" i="7"/>
  <c r="S118" i="7"/>
  <c r="S113" i="7"/>
  <c r="T113" i="7"/>
  <c r="T114" i="7"/>
  <c r="T112" i="7"/>
  <c r="T118" i="7"/>
  <c r="T117" i="7"/>
  <c r="T116" i="7"/>
  <c r="T111" i="7"/>
  <c r="T122" i="7"/>
  <c r="T115" i="7"/>
  <c r="T110" i="7"/>
  <c r="T120" i="7"/>
  <c r="T121" i="7"/>
  <c r="T119" i="7"/>
  <c r="AE45" i="7"/>
  <c r="AK172" i="2" l="1"/>
  <c r="AF200" i="7" s="1"/>
  <c r="AF83" i="7"/>
  <c r="AF52" i="7" s="1"/>
  <c r="AK77" i="2" s="1"/>
  <c r="AF45" i="7"/>
  <c r="AF14" i="7" s="1"/>
  <c r="AK74" i="2" s="1"/>
  <c r="T91" i="7"/>
  <c r="Y110" i="2" s="1"/>
  <c r="AJ109" i="2"/>
  <c r="AK187" i="2"/>
  <c r="AK199" i="2" s="1"/>
  <c r="AJ199" i="2"/>
  <c r="AJ60" i="2"/>
  <c r="AK70" i="2" s="1"/>
  <c r="AD199" i="7"/>
  <c r="AD198" i="7"/>
  <c r="AD169" i="7" s="1"/>
  <c r="AI173" i="2" s="1"/>
  <c r="AD200" i="7"/>
  <c r="Y107" i="2"/>
  <c r="Z95" i="2"/>
  <c r="AF170" i="2"/>
  <c r="AG158" i="2"/>
  <c r="AJ172" i="2"/>
  <c r="AK58" i="2"/>
  <c r="U114" i="7"/>
  <c r="U120" i="7"/>
  <c r="U119" i="7"/>
  <c r="U121" i="7"/>
  <c r="U122" i="7"/>
  <c r="U115" i="7"/>
  <c r="U111" i="7"/>
  <c r="U91" i="7" s="1"/>
  <c r="Z110" i="2" s="1"/>
  <c r="U118" i="7"/>
  <c r="U117" i="7"/>
  <c r="U113" i="7"/>
  <c r="U112" i="7"/>
  <c r="U116" i="7"/>
  <c r="Z107" i="2" l="1"/>
  <c r="AA95" i="2"/>
  <c r="AK60" i="2"/>
  <c r="AE199" i="7"/>
  <c r="AE169" i="7" s="1"/>
  <c r="AJ173" i="2" s="1"/>
  <c r="AE200" i="7"/>
  <c r="AF169" i="7" s="1"/>
  <c r="AK173" i="2" s="1"/>
  <c r="AG170" i="2"/>
  <c r="AH158" i="2"/>
  <c r="V113" i="7"/>
  <c r="V120" i="7"/>
  <c r="V121" i="7"/>
  <c r="V117" i="7"/>
  <c r="V112" i="7"/>
  <c r="V91" i="7" s="1"/>
  <c r="AA110" i="2" s="1"/>
  <c r="V114" i="7"/>
  <c r="V122" i="7"/>
  <c r="V118" i="7"/>
  <c r="V115" i="7"/>
  <c r="V116" i="7"/>
  <c r="V119" i="7"/>
  <c r="AH170" i="2" l="1"/>
  <c r="AI158" i="2"/>
  <c r="AA107" i="2"/>
  <c r="AB95" i="2"/>
  <c r="W113" i="7"/>
  <c r="W91" i="7" s="1"/>
  <c r="AB110" i="2" s="1"/>
  <c r="W115" i="7"/>
  <c r="W121" i="7"/>
  <c r="W120" i="7"/>
  <c r="W118" i="7"/>
  <c r="W117" i="7"/>
  <c r="W114" i="7"/>
  <c r="W116" i="7"/>
  <c r="W122" i="7"/>
  <c r="W119" i="7"/>
  <c r="AB107" i="2" l="1"/>
  <c r="AC95" i="2"/>
  <c r="AI170" i="2"/>
  <c r="AJ158" i="2"/>
  <c r="X114" i="7"/>
  <c r="X91" i="7" s="1"/>
  <c r="AC110" i="2" s="1"/>
  <c r="X116" i="7"/>
  <c r="X117" i="7"/>
  <c r="X121" i="7"/>
  <c r="X115" i="7"/>
  <c r="X122" i="7"/>
  <c r="X120" i="7"/>
  <c r="X118" i="7"/>
  <c r="X119" i="7"/>
  <c r="AJ170" i="2" l="1"/>
  <c r="AK158" i="2"/>
  <c r="AK170" i="2" s="1"/>
  <c r="AC107" i="2"/>
  <c r="AD95" i="2"/>
  <c r="Z119" i="7"/>
  <c r="Z118" i="7"/>
  <c r="Z122" i="7"/>
  <c r="Z120" i="7"/>
  <c r="Z116" i="7"/>
  <c r="Z117" i="7"/>
  <c r="Z121" i="7"/>
  <c r="Y122" i="7"/>
  <c r="Y120" i="7"/>
  <c r="Y116" i="7"/>
  <c r="Y119" i="7"/>
  <c r="Y121" i="7"/>
  <c r="Y117" i="7"/>
  <c r="Y115" i="7"/>
  <c r="Y91" i="7" s="1"/>
  <c r="AD110" i="2" s="1"/>
  <c r="Y118" i="7"/>
  <c r="AA122" i="7"/>
  <c r="AD107" i="2" l="1"/>
  <c r="AE95" i="2"/>
  <c r="Z91" i="7"/>
  <c r="AE110" i="2" s="1"/>
  <c r="AB118" i="7"/>
  <c r="AA118" i="7"/>
  <c r="AA117" i="7"/>
  <c r="AA91" i="7" s="1"/>
  <c r="AF110" i="2" s="1"/>
  <c r="AA120" i="7"/>
  <c r="AA119" i="7"/>
  <c r="AA121" i="7"/>
  <c r="AE107" i="2" l="1"/>
  <c r="AF95" i="2"/>
  <c r="AB122" i="7"/>
  <c r="AB121" i="7"/>
  <c r="AB119" i="7"/>
  <c r="AB120" i="7"/>
  <c r="AB91" i="7"/>
  <c r="AG110" i="2" s="1"/>
  <c r="AF107" i="2" l="1"/>
  <c r="AG95" i="2"/>
  <c r="AC122" i="7"/>
  <c r="AC120" i="7"/>
  <c r="AC119" i="7"/>
  <c r="AC91" i="7" s="1"/>
  <c r="AH110" i="2" s="1"/>
  <c r="AC121" i="7"/>
  <c r="AG107" i="2" l="1"/>
  <c r="AH95" i="2"/>
  <c r="AF122" i="7"/>
  <c r="AH107" i="2" l="1"/>
  <c r="AI95" i="2"/>
  <c r="AD121" i="7"/>
  <c r="AD122" i="7"/>
  <c r="AD120" i="7"/>
  <c r="AD91" i="7" s="1"/>
  <c r="AI110" i="2" s="1"/>
  <c r="AE122" i="7"/>
  <c r="AE121" i="7"/>
  <c r="AF91" i="7" l="1"/>
  <c r="AK110" i="2" s="1"/>
  <c r="AI107" i="2"/>
  <c r="AJ95" i="2"/>
  <c r="AE91" i="7"/>
  <c r="AJ110" i="2" s="1"/>
  <c r="AJ107" i="2" l="1"/>
  <c r="AK95" i="2"/>
  <c r="AK107" i="2" s="1"/>
</calcChain>
</file>

<file path=xl/sharedStrings.xml><?xml version="1.0" encoding="utf-8"?>
<sst xmlns="http://schemas.openxmlformats.org/spreadsheetml/2006/main" count="718" uniqueCount="369">
  <si>
    <t>ammeublement</t>
  </si>
  <si>
    <t>notaire</t>
  </si>
  <si>
    <t>agence</t>
  </si>
  <si>
    <t>duree</t>
  </si>
  <si>
    <t>apport</t>
  </si>
  <si>
    <t>interet</t>
  </si>
  <si>
    <t>assurance</t>
  </si>
  <si>
    <t>emprunt</t>
  </si>
  <si>
    <t>coutProjet</t>
  </si>
  <si>
    <t>mensualite</t>
  </si>
  <si>
    <t>KPI</t>
  </si>
  <si>
    <t>valeur</t>
  </si>
  <si>
    <t>Champs</t>
  </si>
  <si>
    <t>Paramètres</t>
  </si>
  <si>
    <t>Valeur</t>
  </si>
  <si>
    <t>A1*</t>
  </si>
  <si>
    <t>A2*</t>
  </si>
  <si>
    <t>A3*</t>
  </si>
  <si>
    <t>B1*</t>
  </si>
  <si>
    <t>B2*</t>
  </si>
  <si>
    <t>B3*</t>
  </si>
  <si>
    <t>Total des charges financières (intêrets + assurance)</t>
  </si>
  <si>
    <t>Définition</t>
  </si>
  <si>
    <t>unité</t>
  </si>
  <si>
    <t>année</t>
  </si>
  <si>
    <t>mois</t>
  </si>
  <si>
    <t>%</t>
  </si>
  <si>
    <t>Calcul de l'impôt sur le revenu en prenant en compte le plafonnement de la réduction liée aux parts de quotien familial supplémentaires</t>
  </si>
  <si>
    <t>Coût des intérêts d'emprunt</t>
  </si>
  <si>
    <t>Coût de l'assurance crédit</t>
  </si>
  <si>
    <t>Bénéfice avant remboursement de la dette : revenu - charges d'exploitation - charges financières</t>
  </si>
  <si>
    <t>Bénéfice avant impôts : revenu - charges d'exploitation - charges financières - remboursement de la dette</t>
  </si>
  <si>
    <t>Déficit foncier déductible du revenu d'activité pour le régime location nue au réel</t>
  </si>
  <si>
    <t>Cumul du capital remboursé à la fin de l'année depuis le début de l'emprunt</t>
  </si>
  <si>
    <r>
      <t xml:space="preserve">Calcul de l'impôt sur le revenu total à payer </t>
    </r>
    <r>
      <rPr>
        <b/>
        <u/>
        <sz val="11"/>
        <color theme="1"/>
        <rFont val="Calibri"/>
        <family val="2"/>
        <scheme val="minor"/>
      </rPr>
      <t>sans prendre</t>
    </r>
    <r>
      <rPr>
        <u/>
        <sz val="11"/>
        <color theme="1"/>
        <rFont val="Calibri"/>
        <family val="2"/>
        <scheme val="minor"/>
      </rPr>
      <t xml:space="preserve"> </t>
    </r>
    <r>
      <rPr>
        <b/>
        <u/>
        <sz val="11"/>
        <color theme="1"/>
        <rFont val="Calibri"/>
        <family val="2"/>
        <scheme val="minor"/>
      </rPr>
      <t>en</t>
    </r>
    <r>
      <rPr>
        <u/>
        <sz val="11"/>
        <color theme="1"/>
        <rFont val="Calibri"/>
        <family val="2"/>
        <scheme val="minor"/>
      </rPr>
      <t xml:space="preserve"> </t>
    </r>
    <r>
      <rPr>
        <b/>
        <u/>
        <sz val="11"/>
        <color theme="1"/>
        <rFont val="Calibri"/>
        <family val="2"/>
        <scheme val="minor"/>
      </rPr>
      <t>compte</t>
    </r>
    <r>
      <rPr>
        <sz val="11"/>
        <color theme="1"/>
        <rFont val="Calibri"/>
        <family val="2"/>
        <scheme val="minor"/>
      </rPr>
      <t xml:space="preserve"> les parts de quotien familial supplémentaires (parts des enfants)</t>
    </r>
  </si>
  <si>
    <r>
      <t xml:space="preserve">Calcul de l'impôt sur le revenu total à payer </t>
    </r>
    <r>
      <rPr>
        <b/>
        <u/>
        <sz val="11"/>
        <color theme="1"/>
        <rFont val="Calibri"/>
        <family val="2"/>
        <scheme val="minor"/>
      </rPr>
      <t>en prenant</t>
    </r>
    <r>
      <rPr>
        <u/>
        <sz val="11"/>
        <color theme="1"/>
        <rFont val="Calibri"/>
        <family val="2"/>
        <scheme val="minor"/>
      </rPr>
      <t xml:space="preserve"> </t>
    </r>
    <r>
      <rPr>
        <b/>
        <u/>
        <sz val="11"/>
        <color theme="1"/>
        <rFont val="Calibri"/>
        <family val="2"/>
        <scheme val="minor"/>
      </rPr>
      <t>en</t>
    </r>
    <r>
      <rPr>
        <u/>
        <sz val="11"/>
        <color theme="1"/>
        <rFont val="Calibri"/>
        <family val="2"/>
        <scheme val="minor"/>
      </rPr>
      <t xml:space="preserve"> </t>
    </r>
    <r>
      <rPr>
        <b/>
        <u/>
        <sz val="11"/>
        <color theme="1"/>
        <rFont val="Calibri"/>
        <family val="2"/>
        <scheme val="minor"/>
      </rPr>
      <t>compte</t>
    </r>
    <r>
      <rPr>
        <sz val="11"/>
        <color theme="1"/>
        <rFont val="Calibri"/>
        <family val="2"/>
        <scheme val="minor"/>
      </rPr>
      <t xml:space="preserve"> les parts de quotien familial supplémentaires (parts des enfants)</t>
    </r>
  </si>
  <si>
    <t>part</t>
  </si>
  <si>
    <t>euro</t>
  </si>
  <si>
    <t>Total des charges d'exploitation (frais de gestion locative, charges courantes, taxe foncière, pno &amp; gli)</t>
  </si>
  <si>
    <t>Capital remboursé à la fin de l'année</t>
  </si>
  <si>
    <t>Coût de l'assurance propriétaire non-occupant et garantie loyers impayés. Champ est indexé sur l'inflation</t>
  </si>
  <si>
    <t xml:space="preserve">Excédent brut d'exploitation : revenu - charges d'exploitation </t>
  </si>
  <si>
    <t>Dotations aux amortissements de l'ammeublement</t>
  </si>
  <si>
    <t>Total des dotations aux amortissements</t>
  </si>
  <si>
    <t>Loyer Annuel</t>
  </si>
  <si>
    <t>Interêt</t>
  </si>
  <si>
    <t>CUMUL Capital Remboursé</t>
  </si>
  <si>
    <t>Capital Remboursé</t>
  </si>
  <si>
    <t>Assurance</t>
  </si>
  <si>
    <t>Charges locataires</t>
  </si>
  <si>
    <t>Frais de gestion locative</t>
  </si>
  <si>
    <t>Charges courantes</t>
  </si>
  <si>
    <t>Taxe foncière</t>
  </si>
  <si>
    <t>PNO &amp; GLI</t>
  </si>
  <si>
    <t>Charges d'exploitation</t>
  </si>
  <si>
    <t>Excédent brut d'exploitation</t>
  </si>
  <si>
    <t>Bénéfice avant remboursement de la dette</t>
  </si>
  <si>
    <t>Bénéfice avant impôts</t>
  </si>
  <si>
    <t>Total amortissement</t>
  </si>
  <si>
    <t>Revenu  d'activité imposable</t>
  </si>
  <si>
    <t>Impot sur le revenu d'activité</t>
  </si>
  <si>
    <t>Total charges financières</t>
  </si>
  <si>
    <t>Total charges d'exploitation</t>
  </si>
  <si>
    <t>Plafonnement déduction parts fiscales supp</t>
  </si>
  <si>
    <t>A1 (voir glossaire)</t>
  </si>
  <si>
    <t>A2 (voir glossaire)</t>
  </si>
  <si>
    <t>A3 (voir glossaire)</t>
  </si>
  <si>
    <t>B1 (voir glossaire)</t>
  </si>
  <si>
    <t>B2 (voir glossaire)</t>
  </si>
  <si>
    <t>B3 (voir glossaire)</t>
  </si>
  <si>
    <t>Charges déductibles pour le régime location nue au réel. Les travaux sont passés en charges déductible sur ce régime ce qui créé une grosse enveloppe de déficit foncier reportable la première année.</t>
  </si>
  <si>
    <t>Déficit foncier reportable déductible du revenu d'activité pour le régime location nue au réel.  Lorsque les charges déductibles sont supérieures aux loyers encaissées, une enveloppe de déficit foncier reportable sur les autres années est crée.</t>
  </si>
  <si>
    <t>Revenu d'activité imposable (si couple : somme des deux revenus d'activités)</t>
  </si>
  <si>
    <r>
      <t>Calcul du quotien familial</t>
    </r>
    <r>
      <rPr>
        <b/>
        <sz val="11"/>
        <color theme="1"/>
        <rFont val="Calibri"/>
        <family val="2"/>
        <scheme val="minor"/>
      </rPr>
      <t> </t>
    </r>
    <r>
      <rPr>
        <b/>
        <u/>
        <sz val="11"/>
        <color theme="1"/>
        <rFont val="Calibri"/>
        <family val="2"/>
        <scheme val="minor"/>
      </rPr>
      <t>sans prendre</t>
    </r>
    <r>
      <rPr>
        <u/>
        <sz val="11"/>
        <color theme="1"/>
        <rFont val="Calibri"/>
        <family val="2"/>
        <scheme val="minor"/>
      </rPr>
      <t xml:space="preserve"> </t>
    </r>
    <r>
      <rPr>
        <b/>
        <u/>
        <sz val="11"/>
        <color theme="1"/>
        <rFont val="Calibri"/>
        <family val="2"/>
        <scheme val="minor"/>
      </rPr>
      <t>en</t>
    </r>
    <r>
      <rPr>
        <u/>
        <sz val="11"/>
        <color theme="1"/>
        <rFont val="Calibri"/>
        <family val="2"/>
        <scheme val="minor"/>
      </rPr>
      <t xml:space="preserve"> </t>
    </r>
    <r>
      <rPr>
        <b/>
        <u/>
        <sz val="11"/>
        <color theme="1"/>
        <rFont val="Calibri"/>
        <family val="2"/>
        <scheme val="minor"/>
      </rPr>
      <t>compte</t>
    </r>
    <r>
      <rPr>
        <sz val="11"/>
        <color theme="1"/>
        <rFont val="Calibri"/>
        <family val="2"/>
        <scheme val="minor"/>
      </rPr>
      <t xml:space="preserve"> les parts de quotien familial supplémentaires (parts des enfants)</t>
    </r>
  </si>
  <si>
    <t>Plafonnement de la déduction d'impôt liée aux parts de quotien familial supplémentaires (parts des enfants)</t>
  </si>
  <si>
    <r>
      <rPr>
        <u/>
        <sz val="11"/>
        <color theme="1"/>
        <rFont val="Calibri"/>
        <family val="2"/>
        <scheme val="minor"/>
      </rPr>
      <t>CUMUL</t>
    </r>
    <r>
      <rPr>
        <sz val="11"/>
        <color theme="1"/>
        <rFont val="Calibri"/>
        <family val="2"/>
        <scheme val="minor"/>
      </rPr>
      <t xml:space="preserve"> Capital Remboursé</t>
    </r>
  </si>
  <si>
    <r>
      <t xml:space="preserve">Toutes les valeurs font référence à une année en particulier sauf lorsque le libellé du champ comporte la mention </t>
    </r>
    <r>
      <rPr>
        <b/>
        <u/>
        <sz val="11"/>
        <color theme="0"/>
        <rFont val="Calibri"/>
        <family val="2"/>
        <scheme val="minor"/>
      </rPr>
      <t>CUMUL</t>
    </r>
  </si>
  <si>
    <t>Revenu</t>
  </si>
  <si>
    <t>Financement</t>
  </si>
  <si>
    <t>Amortissements</t>
  </si>
  <si>
    <t>Indicateurs de performance</t>
  </si>
  <si>
    <t>Prix de revente</t>
  </si>
  <si>
    <t>CUMUL capital restant dû</t>
  </si>
  <si>
    <t>* FAI = frais d'agence inclus</t>
  </si>
  <si>
    <t>FINANCEMENT</t>
  </si>
  <si>
    <t>CHARGES 
D'EXPlOITATION</t>
  </si>
  <si>
    <t>AMORTISSEMENTS</t>
  </si>
  <si>
    <t>PERF. AVANT
IMPOTS</t>
  </si>
  <si>
    <t>REVENU D'ACTIVITE</t>
  </si>
  <si>
    <t>Revente</t>
  </si>
  <si>
    <t>Revenu foncier imposable</t>
  </si>
  <si>
    <t>Impôt sur le revenu foncier</t>
  </si>
  <si>
    <t>Plus-value</t>
  </si>
  <si>
    <t>Résultat après remboursement du capital restant dû</t>
  </si>
  <si>
    <t>Revenu total imposable</t>
  </si>
  <si>
    <t>C1 (voir glossaire)</t>
  </si>
  <si>
    <t>C2 (voir glossaire)</t>
  </si>
  <si>
    <t>C3 (voir glossaire)</t>
  </si>
  <si>
    <t>D1 (voir glossaire)</t>
  </si>
  <si>
    <t>D2 (voir glossaire)</t>
  </si>
  <si>
    <t>D3 (voir glossaire)</t>
  </si>
  <si>
    <t>Impôt sur le revenu total</t>
  </si>
  <si>
    <t>Cotisations sociales revenu foncier</t>
  </si>
  <si>
    <t>Cash-flow net d'impôts</t>
  </si>
  <si>
    <t>CUMUL Cash-flow net d'impôts</t>
  </si>
  <si>
    <t>Abatement impôt sur le revenu</t>
  </si>
  <si>
    <t>Base de calcul de l'impôt sur le revenu de la plus-value</t>
  </si>
  <si>
    <t>Impôt sur le revenu de la plus value</t>
  </si>
  <si>
    <t>Abatement cotisations sociales</t>
  </si>
  <si>
    <t>Base de calcul des cotisations sociales sur plus-value</t>
  </si>
  <si>
    <t>Cotisation sociales sur le revenu de la plus value</t>
  </si>
  <si>
    <t>Impôt &amp; cotisation sociales sur plus value</t>
  </si>
  <si>
    <t>Résultat après impôt &amp; cotisation sociales</t>
  </si>
  <si>
    <t xml:space="preserve">Cumul du cash-flow (positif ou négatif) généré depuis le début de l'activité à la fin de l'année de référence </t>
  </si>
  <si>
    <t>Pourcentage de la plus value qui ne sera pas assujetie à l'impôt sur le revenu. Augmente tous les ans à partir de la sixième année. La plus value est libre d'impôts sur le revenu après 22 années de détention.</t>
  </si>
  <si>
    <t>Formule : Base de calcul de l'impôt sur le revenu de la plus-value * 19%. Les plus-values supérieures à 50 000 € sont imposées jusqu'à 25%</t>
  </si>
  <si>
    <t>Formule : Base de calcul des cotisations sociales sur plus-value * 17,2%.</t>
  </si>
  <si>
    <t xml:space="preserve">Formule :  Plus value * (1 - % Abatement cotisations sociales). 
Si plus value = 100 000 € et abatement = 30%, Base de calcul des cotisations sociales sur plus-value = 70 000 € </t>
  </si>
  <si>
    <t xml:space="preserve">Formule :  Plus value * (1 - % abatement impôts sur le revenu). 
Si plus value = 100 000 € et abatement = 40%, Base de calcul de l'impôt sur le revenu sur plus-value = 60 000 € </t>
  </si>
  <si>
    <t>Pourcentage de la plus value qui ne sera pas assujetie aux cotisations sociales. Augmente tous les ans à partir de la sixième année. La plus value est libre de cotisations sociales après 30 années de détention.</t>
  </si>
  <si>
    <t>Formule : Impôt sur le revenu de la plus value + Cotisation sociales sur le revenu de la plus value</t>
  </si>
  <si>
    <t>LMNP au réel -&gt; Formule plus-value : prix de vente - (prix d'achat + frais de notaire + frais d'agence)</t>
  </si>
  <si>
    <t>Formule : plus-value - Impôt &amp; cotisation sociales sur plus value</t>
  </si>
  <si>
    <t>Formule : Résultat après impôt &amp; cotisation sociales - capital restant dû.</t>
  </si>
  <si>
    <t xml:space="preserve">Cumul du cash-flow AVANT flat-taxe (positif ou négatif) généré depuis le début de l'activité à la fin de l'année de référence </t>
  </si>
  <si>
    <t>Cumul du cash-flow APRES  flat-taxe (positif ou négatif) généré depuis le début de l'activité à la fin de l'année de référence</t>
  </si>
  <si>
    <t>Cumul des dotations aux amortissements de l'immeuble. Permet de calculer valeur nette comptable</t>
  </si>
  <si>
    <t>Formule : prix de revente - valeur nette comptable</t>
  </si>
  <si>
    <t>Impôt sur le revenu foncier (barème de l'impôt sur les sociétés : si revenu &lt; 38 200  -&gt;  15% ; si revevenu compris entre 38200 et 500 000 -&gt; 28% ; si revenu &gt; 500 000 -&gt; 33,33%)</t>
  </si>
  <si>
    <t xml:space="preserve">Formule : Bénéfice avant impôts + plus value liée à la revente. </t>
  </si>
  <si>
    <t>La plus value vient s'ajouter au cash-flow de l'exercice pour composer la base de revenu imposable à l'impôt sur les sociétés. Ce montant est imposé selon le barème de l'impôt sur les sociétés (si revenu &lt; 38 200  -&gt;  15% ; si revevenu compris entre 38200 et 500 000 -&gt; 28% ; si revenu &gt; 500 000 -&gt; 33,33%)</t>
  </si>
  <si>
    <t>Montant restant dans la SCI après la revente. Ce modèle considère que les cash-flows des années précédentes ont été distribués sous forme de dividendes.
Formule : Prix de revente + bénéfice avant impôt - Impôt sur les sociétés année de la revente</t>
  </si>
  <si>
    <t>Formule : Résultat net d'impôt sur les sociétés année de la revente - capital restant dû. Si la revente intervient avant la fin de l'emprunt, il faudra rembourser la banque avec le produit de la revente du bien.</t>
  </si>
  <si>
    <t>Formule : CUMUL Cash flow après flat taxe + Résultat année revente après flat-taxe. C'est le montant net qui revient à l'investisseur.</t>
  </si>
  <si>
    <t>Section</t>
  </si>
  <si>
    <t>Contribution à verser si immeuble à plus de 15 ans. Représente 2,5% des loyers bruts encaissés durant l'exercice</t>
  </si>
  <si>
    <t>Reduction impôt revenu d'activité</t>
  </si>
  <si>
    <t>Amortissement frais d'acquisition (notaire)</t>
  </si>
  <si>
    <t>Déduction impôts revenu activité (Nue au Réel)</t>
  </si>
  <si>
    <t>Amortissement du bien</t>
  </si>
  <si>
    <t>Amortissement de l'ammeublement</t>
  </si>
  <si>
    <t xml:space="preserve">Si la revente intervient avant la fin de l'emprunt, il faudra rembourser la banque avec le fruit de la revente du bien. 
Formule : Résultat après impôt &amp; cotisation sociales - capital restant dû. </t>
  </si>
  <si>
    <t>Rendement annuel net du projet durant toute la durée de détention. Ce rendement varie selon la durée de détention, le cash-flow annuel et le prix de revente bu bien
Formule : (Résultat net de l'opération / nombre d'année de détention) / coût du projet</t>
  </si>
  <si>
    <t>Dotations aux amortissements des frais d'acquisition (notaire)</t>
  </si>
  <si>
    <t>Impôt sur les bénéfices</t>
  </si>
  <si>
    <t>Bénéfices imposables</t>
  </si>
  <si>
    <t>Année de revente : bénéfices imposables</t>
  </si>
  <si>
    <t>renta brute</t>
  </si>
  <si>
    <t>Plus-value LMNP au réel</t>
  </si>
  <si>
    <t>Plus-Value Location Nue au Micro Foncier</t>
  </si>
  <si>
    <t>Plus-Value Location Nue au Réel</t>
  </si>
  <si>
    <t>Total charges deductibles + amortissements - SCI IS</t>
  </si>
  <si>
    <t>Déficit foncier SCI IS</t>
  </si>
  <si>
    <r>
      <rPr>
        <b/>
        <sz val="20"/>
        <color theme="1"/>
        <rFont val="Calibri"/>
        <family val="2"/>
        <scheme val="minor"/>
      </rPr>
      <t>Location meublée non-professionnelle au régime réel</t>
    </r>
    <r>
      <rPr>
        <b/>
        <sz val="12"/>
        <color theme="1"/>
        <rFont val="Calibri"/>
        <family val="2"/>
        <scheme val="minor"/>
      </rPr>
      <t xml:space="preserve">
</t>
    </r>
    <r>
      <rPr>
        <sz val="12"/>
        <color theme="1"/>
        <rFont val="Calibri"/>
        <family val="2"/>
        <scheme val="minor"/>
      </rPr>
      <t>Régime de plus value des particuliers</t>
    </r>
  </si>
  <si>
    <r>
      <rPr>
        <b/>
        <sz val="20"/>
        <color theme="1"/>
        <rFont val="Calibri"/>
        <family val="2"/>
        <scheme val="minor"/>
      </rPr>
      <t>Société civile immobilière à l'impôt sur les sociétés</t>
    </r>
    <r>
      <rPr>
        <b/>
        <sz val="12"/>
        <color theme="1"/>
        <rFont val="Calibri"/>
        <family val="2"/>
        <scheme val="minor"/>
      </rPr>
      <t xml:space="preserve">
</t>
    </r>
    <r>
      <rPr>
        <sz val="12"/>
        <color theme="1"/>
        <rFont val="Calibri"/>
        <family val="2"/>
        <scheme val="minor"/>
      </rPr>
      <t>* flat-taxe ou prélèvement forfaitaire unique est l'imposition des 
dividendes versés aux associés d'une SCI à l'IS</t>
    </r>
  </si>
  <si>
    <r>
      <rPr>
        <b/>
        <sz val="20"/>
        <rFont val="Calibri"/>
        <family val="2"/>
        <scheme val="minor"/>
      </rPr>
      <t>Location meublée non-professionnelle au micro-bic</t>
    </r>
    <r>
      <rPr>
        <sz val="12"/>
        <rFont val="Calibri"/>
        <family val="2"/>
        <scheme val="minor"/>
      </rPr>
      <t xml:space="preserve">
Régime de plus value des particuliers</t>
    </r>
  </si>
  <si>
    <r>
      <rPr>
        <b/>
        <sz val="20"/>
        <rFont val="Calibri"/>
        <family val="2"/>
        <scheme val="minor"/>
      </rPr>
      <t>Location nue au micro-foncier</t>
    </r>
    <r>
      <rPr>
        <b/>
        <sz val="12"/>
        <rFont val="Calibri"/>
        <family val="2"/>
        <scheme val="minor"/>
      </rPr>
      <t xml:space="preserve">
</t>
    </r>
    <r>
      <rPr>
        <sz val="12"/>
        <rFont val="Calibri"/>
        <family val="2"/>
        <scheme val="minor"/>
      </rPr>
      <t>Régime de plus value des particuliers</t>
    </r>
  </si>
  <si>
    <t>Déficit foncier - LMNP au réel</t>
  </si>
  <si>
    <t>Total charges deductibles - Nue au Réel</t>
  </si>
  <si>
    <t>Déduction impôts revenu activité - Nue au Réel</t>
  </si>
  <si>
    <t>Deficit foncier - Nue au Réel</t>
  </si>
  <si>
    <t>Nue Réel</t>
  </si>
  <si>
    <t>Charges financières</t>
  </si>
  <si>
    <t>-</t>
  </si>
  <si>
    <t>Frais bancaires</t>
  </si>
  <si>
    <t>Frais de courtage</t>
  </si>
  <si>
    <t>Immeuble</t>
  </si>
  <si>
    <t>PV</t>
  </si>
  <si>
    <t>AMOR</t>
  </si>
  <si>
    <t>CHAR</t>
  </si>
  <si>
    <t>Charges</t>
  </si>
  <si>
    <r>
      <t xml:space="preserve">AMOR </t>
    </r>
    <r>
      <rPr>
        <b/>
        <sz val="11"/>
        <color theme="1"/>
        <rFont val="Calibri"/>
        <family val="2"/>
        <scheme val="minor"/>
      </rPr>
      <t>ou</t>
    </r>
    <r>
      <rPr>
        <sz val="11"/>
        <color theme="1"/>
        <rFont val="Calibri"/>
        <family val="2"/>
        <scheme val="minor"/>
      </rPr>
      <t xml:space="preserve"> CHAR</t>
    </r>
  </si>
  <si>
    <r>
      <t xml:space="preserve">AMOR </t>
    </r>
    <r>
      <rPr>
        <b/>
        <sz val="11"/>
        <color theme="1"/>
        <rFont val="Calibri"/>
        <family val="2"/>
        <scheme val="minor"/>
      </rPr>
      <t>ou</t>
    </r>
    <r>
      <rPr>
        <sz val="11"/>
        <color theme="1"/>
        <rFont val="Calibri"/>
        <family val="2"/>
        <scheme val="minor"/>
      </rPr>
      <t xml:space="preserve"> CHAR </t>
    </r>
    <r>
      <rPr>
        <b/>
        <sz val="11"/>
        <color theme="1"/>
        <rFont val="Calibri"/>
        <family val="2"/>
        <scheme val="minor"/>
      </rPr>
      <t xml:space="preserve">et </t>
    </r>
    <r>
      <rPr>
        <sz val="11"/>
        <color theme="1"/>
        <rFont val="Calibri"/>
        <family val="2"/>
        <scheme val="minor"/>
      </rPr>
      <t>PV</t>
    </r>
  </si>
  <si>
    <t>Ammeublement</t>
  </si>
  <si>
    <t>Nue Micro-foncier</t>
  </si>
  <si>
    <t>LMNP Micro-bic</t>
  </si>
  <si>
    <t>SCI à l'IS (1)</t>
  </si>
  <si>
    <t>LMNP Réel (2)</t>
  </si>
  <si>
    <t>Notaire ***</t>
  </si>
  <si>
    <t>Agence ***</t>
  </si>
  <si>
    <r>
      <t xml:space="preserve">AMOR </t>
    </r>
    <r>
      <rPr>
        <b/>
        <sz val="11"/>
        <color theme="1"/>
        <rFont val="Calibri"/>
        <family val="2"/>
        <scheme val="minor"/>
      </rPr>
      <t>ou</t>
    </r>
    <r>
      <rPr>
        <sz val="11"/>
        <color theme="1"/>
        <rFont val="Calibri"/>
        <family val="2"/>
        <scheme val="minor"/>
      </rPr>
      <t xml:space="preserve"> CHAR </t>
    </r>
    <r>
      <rPr>
        <b/>
        <sz val="11"/>
        <color theme="1"/>
        <rFont val="Calibri"/>
        <family val="2"/>
        <scheme val="minor"/>
      </rPr>
      <t>et</t>
    </r>
    <r>
      <rPr>
        <sz val="11"/>
        <color theme="1"/>
        <rFont val="Calibri"/>
        <family val="2"/>
        <scheme val="minor"/>
      </rPr>
      <t xml:space="preserve"> PV</t>
    </r>
  </si>
  <si>
    <t>Travaux entretien/rénovation*</t>
  </si>
  <si>
    <t>==&gt; Charges et amortissements permettent de crée du déficit foncier reportable</t>
  </si>
  <si>
    <t>Définitions</t>
  </si>
  <si>
    <t>CUMUL Amortissements</t>
  </si>
  <si>
    <t>Plus-Value Location Nue au Micro-Bic</t>
  </si>
  <si>
    <r>
      <rPr>
        <b/>
        <sz val="20"/>
        <color theme="1"/>
        <rFont val="Calibri"/>
        <family val="2"/>
        <scheme val="minor"/>
      </rPr>
      <t>Revenu d'activité</t>
    </r>
    <r>
      <rPr>
        <b/>
        <sz val="14"/>
        <color theme="1"/>
        <rFont val="Calibri"/>
        <family val="2"/>
        <scheme val="minor"/>
      </rPr>
      <t xml:space="preserve">
Imposition sans investissement</t>
    </r>
  </si>
  <si>
    <t>Total charges deductibles (Nue au Réel)</t>
  </si>
  <si>
    <t>Deficit foncier (Nue au Réel)</t>
  </si>
  <si>
    <t>C1</t>
  </si>
  <si>
    <t>C3</t>
  </si>
  <si>
    <t>C2</t>
  </si>
  <si>
    <t>D1</t>
  </si>
  <si>
    <t>D2</t>
  </si>
  <si>
    <t>D3</t>
  </si>
  <si>
    <t>Revenu foncier imposable (loyer - Nue au Réel Total charges deductibles)</t>
  </si>
  <si>
    <t>Revenu total imposable (revenu d'activité + revenu foncier imposable)</t>
  </si>
  <si>
    <t>Calcul du quotien familial basé sur le revenus d'activité imposable + le revenu foncier imposable en Location Nue au Réel, sans prendre en compte des parts de quotien familial supplémentaires (parts des enfants)</t>
  </si>
  <si>
    <t>Calcul de l'impôt pour chaque part fiscal sur le revenu d'activité imposable + le revenu foncier en Location Nue au Réel, sans prendre en compte les parts de quotien familial supplémentaires (parts des enfants)</t>
  </si>
  <si>
    <t>Calcul de l'impôt à payer sur le revenu d'activité imposable + le revenu foncier imposable en Location Nue au Réel, sans prendre en compte les parts de quotien familial supplémentaires (parts des enfants)</t>
  </si>
  <si>
    <t>Calcul du quotien familial basé sur le revenu activité imposable + le revenu foncier imposable en Location Nue au Réel,  en prenant en compte les parts de quotien familial supplémentaire (parts des enfants)</t>
  </si>
  <si>
    <t>Calcul de l'impôt pour chaque part fiscal sur le revenu d'activité + le revenu foncier en Location Nue au Réel, en prenant en compte les parts de quotien familial supplémentaires (parts des enfants)</t>
  </si>
  <si>
    <t>Calcul de l'impôt à payer sur le revenu d'activité imposable + le revenu foncier imposable en Location Nue au Réel, en prenant en compte les parts de quotien familial supplémentaires (parts des enfants)</t>
  </si>
  <si>
    <t>Impôt sur le revenu total (revenu d'activité imposable + revenu foncier imposable)</t>
  </si>
  <si>
    <t>Cotisations sociales représentant 17,2% du revenu foncier imposable</t>
  </si>
  <si>
    <t>Impôt sur le revenu foncier (l'impôt sur le revenu total - impôt sur le revenu d'activité)</t>
  </si>
  <si>
    <t>Cash flow net impôt sur les revenu. (bénfices avant impôts + Nue Réel Reduction impôt revenu d'activité - impots sur le revenu foncier - cotisation sociales sur le revenu foncier)</t>
  </si>
  <si>
    <t>Seulement en location nue au réel, les 10 700 premiers euros de déficit foncier liés à des travaux doivent être déduits du revenu d'activité de l'investisseur. Au dela, le déficit foncier est déduit sur le revenu foncier. Il est inclut dans le calcul du cash-flow car c'est un gain lié à l'investissement</t>
  </si>
  <si>
    <r>
      <rPr>
        <b/>
        <sz val="18"/>
        <color theme="1"/>
        <rFont val="Calibri"/>
        <family val="2"/>
        <scheme val="minor"/>
      </rPr>
      <t>Société civile immobilière à l'impôt sur les sociétés</t>
    </r>
    <r>
      <rPr>
        <b/>
        <sz val="12"/>
        <color theme="1"/>
        <rFont val="Calibri"/>
        <family val="2"/>
        <scheme val="minor"/>
      </rPr>
      <t xml:space="preserve">
* flat-taxe ou prélèvement forfaitaire unique est l'imposition des 
dividendes versés aux associés d'une SCI à l'IS</t>
    </r>
  </si>
  <si>
    <t>Total charges deductibles + amortissements - LMNP Réel</t>
  </si>
  <si>
    <t>Déficit foncier LMNP Réel</t>
  </si>
  <si>
    <t>Cash flow net impôt sur les revenu. (bénfices avant impôts - impots sur le revenu foncier - cotisation sociales sur le revenu foncier)</t>
  </si>
  <si>
    <t>Calcul du quotien familial basé sur le revenus d'activité imposable + le revenu foncier imposable en LMNP au réel, sans prendre en compte des parts de quotien familial supplémentaires (parts des enfants)</t>
  </si>
  <si>
    <t>Calcul de l'impôt pour chaque part fiscal sur le revenu d'activité imposable + le revenu foncier en LMNP au réel, sans prendre en compte les parts de quotien familial supplémentaires (parts des enfants)</t>
  </si>
  <si>
    <t>Calcul de l'impôt à payer sur le revenu d'activité imposable + le revenu foncier imposable en LMNP au réel, sans prendre en compte les parts de quotien familial supplémentaires (parts des enfants)</t>
  </si>
  <si>
    <t>Calcul du quotien familial basé sur le revenu activité imposable + le revenu foncier imposable en LMNP au réel,  en prenant en compte les parts de quotien familial supplémentaire (parts des enfants)</t>
  </si>
  <si>
    <t>Calcul de l'impôt pour chaque part fiscal sur le revenu d'activité + le revenu foncier en LMNP au réel, en prenant en compte les parts de quotien familial supplémentaires (parts des enfants)</t>
  </si>
  <si>
    <t>Calcul de l'impôt à payer sur le revenu d'activité imposable + le revenu foncier imposable en LMNP au réel, en prenant en compte les parts de quotien familial supplémentaires (parts des enfants)</t>
  </si>
  <si>
    <t>Impôt sur le revenu total (revenu d'activité imposable + revenu foncier imposable)  selon le barème de m'impôt sur le revenu</t>
  </si>
  <si>
    <t>Revenu foncier. Sous ce régime, il représente 50% des loyers perçus durant l'année. Ce régime ne permet de déduire aucune charge du revenu imposable</t>
  </si>
  <si>
    <t>Calcul du quotien familial basé sur le revenus d'activité imposable + le revenu foncier imposable en LMNP Micro, sans prendre en compte des parts de quotien familial supplémentaires (parts des enfants)</t>
  </si>
  <si>
    <t>Calcul de l'impôt pour chaque part fiscal sur le revenu d'activité imposable + le revenu foncier en LMNP Micro, sans prendre en compte les parts de quotien familial supplémentaires (parts des enfants)</t>
  </si>
  <si>
    <t>Calcul de l'impôt à payer sur le revenu d'activité imposable + le revenu foncier imposable en LMNP Micro, sans prendre en compte les parts de quotien familial supplémentaires (parts des enfants)</t>
  </si>
  <si>
    <t>Calcul du quotien familial basé sur le revenu activité imposable + le revenu foncier imposable en LMNP Micro,  en prenant en compte les parts de quotien familial supplémentaire (parts des enfants)</t>
  </si>
  <si>
    <t>Calcul de l'impôt pour chaque part fiscal sur le revenu d'activité + le revenu foncier en LMNP Micro, en prenant en compte les parts de quotien familial supplémentaires (parts des enfants)</t>
  </si>
  <si>
    <t>Calcul de l'impôt à payer sur le revenu d'activité imposable + le revenu foncier imposable en LMNP Micro, en prenant en compte les parts de quotien familial supplémentaires (parts des enfants)</t>
  </si>
  <si>
    <t>Impôt sur le revenu total (revenu d'activité imposable + revenu foncier imposable) selon le barème de m'impôt sur le revenu</t>
  </si>
  <si>
    <t>Revenu foncier imposable. Sous ce régime, il représente 70% des loyers perçus durant l'année. Ce régime ne permet de déduire aucune charge du revenu imposable</t>
  </si>
  <si>
    <t>Calcul du quotien familial basé sur le revenus d'activité imposable + le revenu foncier imposable en Nue Micro, sans prendre en compte des parts de quotien familial supplémentaires (parts des enfants)</t>
  </si>
  <si>
    <t>Calcul de l'impôt pour chaque part fiscal sur le revenu d'activité imposable + le revenu foncier en Nue Micro, sans prendre en compte les parts de quotien familial supplémentaires (parts des enfants)</t>
  </si>
  <si>
    <t>Calcul de l'impôt à payer sur le revenu d'activité imposable + le revenu foncier imposable en Nue Micro, sans prendre en compte les parts de quotien familial supplémentaires (parts des enfants)</t>
  </si>
  <si>
    <t>Calcul du quotien familial basé sur le revenu activité imposable + le revenu foncier imposable en Nue Micro,  en prenant en compte les parts de quotien familial supplémentaire (parts des enfants)</t>
  </si>
  <si>
    <t>Calcul de l'impôt pour chaque part fiscal sur le revenu d'activité + le revenu foncier en Nue Micro, en prenant en compte les parts de quotien familial supplémentaires (parts des enfants)</t>
  </si>
  <si>
    <t>Calcul de l'impôt à payer sur le revenu d'activité imposable + le revenu foncier imposable en Nue Micro, en prenant en compte les parts de quotien familial supplémentaires (parts des enfants)</t>
  </si>
  <si>
    <t>Le régime des plus-values des particuliers permet, après 5 ans de détention du bien, de majorer forfaitairement son prix d’acquisition au taux de 15 % correspondant à des travaux de contruction. Pas besoin de justificatifs, ni même d’avoir réalisé en pratique ces travaux. Dès la 5ième année de détention, le simulateur assignera la plus grande valeur entre le coût des travaux de construction ou le forfait à 15% pour calculer la plus value. Si aucun travaux de construction, le forfait s'applique par défaut.</t>
  </si>
  <si>
    <r>
      <rPr>
        <b/>
        <sz val="18"/>
        <rFont val="Calibri"/>
        <family val="2"/>
        <scheme val="minor"/>
      </rPr>
      <t xml:space="preserve">LOCATION MEUBLEE NON-PROFESSIONNELLE (LMNP) </t>
    </r>
    <r>
      <rPr>
        <b/>
        <sz val="12"/>
        <rFont val="Calibri"/>
        <family val="2"/>
        <scheme val="minor"/>
      </rPr>
      <t xml:space="preserve">
AU MICRO-BIC</t>
    </r>
    <r>
      <rPr>
        <sz val="12"/>
        <rFont val="Calibri"/>
        <family val="2"/>
        <scheme val="minor"/>
      </rPr>
      <t xml:space="preserve">
Régime de plus value des particuliers</t>
    </r>
  </si>
  <si>
    <r>
      <rPr>
        <b/>
        <sz val="18"/>
        <color theme="1"/>
        <rFont val="Calibri"/>
        <family val="2"/>
        <scheme val="minor"/>
      </rPr>
      <t>LOCATIONMEUBLEE NON-PROFESSIONNELLE (LMNP) 
AU REGIME REEL</t>
    </r>
    <r>
      <rPr>
        <b/>
        <sz val="12"/>
        <color theme="1"/>
        <rFont val="Calibri"/>
        <family val="2"/>
        <scheme val="minor"/>
      </rPr>
      <t xml:space="preserve">
</t>
    </r>
    <r>
      <rPr>
        <sz val="12"/>
        <color theme="1"/>
        <rFont val="Calibri"/>
        <family val="2"/>
        <scheme val="minor"/>
      </rPr>
      <t>Régime de plus value des particuliers</t>
    </r>
  </si>
  <si>
    <r>
      <rPr>
        <b/>
        <sz val="18"/>
        <rFont val="Calibri"/>
        <family val="2"/>
        <scheme val="minor"/>
      </rPr>
      <t>LOCATION NUE AU REGIME REEL</t>
    </r>
    <r>
      <rPr>
        <b/>
        <sz val="12"/>
        <rFont val="Calibri"/>
        <family val="2"/>
        <scheme val="minor"/>
      </rPr>
      <t xml:space="preserve">
</t>
    </r>
    <r>
      <rPr>
        <sz val="12"/>
        <rFont val="Calibri"/>
        <family val="2"/>
        <scheme val="minor"/>
      </rPr>
      <t>Régime de plus value des particuliers</t>
    </r>
  </si>
  <si>
    <r>
      <rPr>
        <b/>
        <sz val="18"/>
        <rFont val="Calibri"/>
        <family val="2"/>
        <scheme val="minor"/>
      </rPr>
      <t>LOCATION NUE AU MICRO-FONCIER</t>
    </r>
    <r>
      <rPr>
        <b/>
        <sz val="12"/>
        <rFont val="Calibri"/>
        <family val="2"/>
        <scheme val="minor"/>
      </rPr>
      <t xml:space="preserve">
</t>
    </r>
    <r>
      <rPr>
        <sz val="12"/>
        <rFont val="Calibri"/>
        <family val="2"/>
        <scheme val="minor"/>
      </rPr>
      <t>Régime de plus value des particuliers</t>
    </r>
  </si>
  <si>
    <t>Loyers encaissés (loyer mensuel * taux d'occupation). Ce paramètre est indexé sur l'inflation</t>
  </si>
  <si>
    <t>Frais de gestion locative. Ce paramètre est indexé sur l'inflation</t>
  </si>
  <si>
    <t>Charges courantes, inclure les charges locataires. Ce paramètre est indexé sur l'inflation</t>
  </si>
  <si>
    <t>Taxe foncière. Ce paramètre est indexé sur l'inflation</t>
  </si>
  <si>
    <t>Charges locataires (non-compris dans les charges d'exploitation, à inclure dans les charges courantes). Ce paramètre est indexé sur l'inflation</t>
  </si>
  <si>
    <t>Dotations aux amortissements du bien. 90% du bien est amortissable. Les 10% restant correspondant au terrain qui n'est pas amortissable</t>
  </si>
  <si>
    <r>
      <t xml:space="preserve">Calcul de l'impôt sur le revenu pour chaque part fiscale </t>
    </r>
    <r>
      <rPr>
        <b/>
        <u/>
        <sz val="11"/>
        <color theme="1"/>
        <rFont val="Calibri"/>
        <family val="2"/>
        <scheme val="minor"/>
      </rPr>
      <t>sans prendre en compte</t>
    </r>
    <r>
      <rPr>
        <sz val="11"/>
        <color theme="1"/>
        <rFont val="Calibri"/>
        <family val="2"/>
        <scheme val="minor"/>
      </rPr>
      <t xml:space="preserve"> les parts de quotien familial supplémentaires (parts des enfants)</t>
    </r>
  </si>
  <si>
    <r>
      <t>Calcul du quotien familial </t>
    </r>
    <r>
      <rPr>
        <b/>
        <u/>
        <sz val="11"/>
        <color theme="1"/>
        <rFont val="Calibri"/>
        <family val="2"/>
        <scheme val="minor"/>
      </rPr>
      <t>en prenant en compte</t>
    </r>
    <r>
      <rPr>
        <sz val="11"/>
        <color theme="1"/>
        <rFont val="Calibri"/>
        <family val="2"/>
        <scheme val="minor"/>
      </rPr>
      <t xml:space="preserve"> les parts de quotien familial supplémentaire (parts des enfants)</t>
    </r>
  </si>
  <si>
    <r>
      <t>Calcul de l'impôt sur le revenu pour chaque part fiscale</t>
    </r>
    <r>
      <rPr>
        <b/>
        <sz val="11"/>
        <color theme="1"/>
        <rFont val="Calibri"/>
        <family val="2"/>
        <scheme val="minor"/>
      </rPr>
      <t xml:space="preserve"> </t>
    </r>
    <r>
      <rPr>
        <b/>
        <u/>
        <sz val="11"/>
        <color theme="1"/>
        <rFont val="Calibri"/>
        <family val="2"/>
        <scheme val="minor"/>
      </rPr>
      <t>en prenant en compte</t>
    </r>
    <r>
      <rPr>
        <sz val="11"/>
        <color theme="1"/>
        <rFont val="Calibri"/>
        <family val="2"/>
        <scheme val="minor"/>
      </rPr>
      <t xml:space="preserve"> les parts de quotien familial supplémentaires (parts des enfants)</t>
    </r>
  </si>
  <si>
    <t>Lorsque les charges déductibles sont supérieures aux loyers encaissées, une enveloppe de déficit foncier reportable sur les autres années est crée et est consommée pour réduire le revenu imposable jusqu'à son épuisement.</t>
  </si>
  <si>
    <t>Cash-flow avant flat taxe. Ce cash est bloqué dans la SCI, pour en bénéficier, l'investisseur devra se verser des dividendes et payer la flax-taxe de 30% dès le 1er euro de dividendes versé.</t>
  </si>
  <si>
    <t>Cash flow après flat taxe (somme récupérée par l'investisseur s'il se verse la totalité du cash-flow annuel sous forme de dividendes. Les dividendes sont soumis au prélèvement forfaite unique (flat-taxe), soit 30% du montant que l'investisseur se versera.</t>
  </si>
  <si>
    <t>Valeur de l'actif l'année de la revente. Le prix de revente sera soustrait à la valeur nette comptable pour calculer la plus-value. La fiscalité à la revente en SCI à l'IS très élevé à terme car plus le temps passe plus la valeur nette comptable diminue. Formule : prix d'acquisition du bien - CUMUL Amortissements immeuble.</t>
  </si>
  <si>
    <t>Amortissement frais d'acquisition (notaire &amp; agence)</t>
  </si>
  <si>
    <t>Amortissement du bien (sans frais d'agence)</t>
  </si>
  <si>
    <t>Revenu foncier imposable (loyer annuel - charges déductibles). S'il existe une enveloppe de déficit foncier, on piochera dans cette dernière pour abaisser le revenu imposable à zéro.</t>
  </si>
  <si>
    <t xml:space="preserve">Lorsque les charges déductibles sont supérieures aux loyers encaissées, une enveloppe de déficit foncier reportable sur les autres années est crée et est consommée pour réduire le revenu imposable jusqu'à son épuisement. </t>
  </si>
  <si>
    <t>*** Au LMNP au régime réel, les frais de notaire et d'agence peuvent être passés en charges l'année de l'acquisition plutôt qu'en amortissement. Ceci à pour effet de générer une enveloppe de déficit en début d'activité qui viendra gommer le revenu imposable durant les premières années de l'activité.</t>
  </si>
  <si>
    <t>Amortissments</t>
  </si>
  <si>
    <t>Mode de déductibilité des différentes dépenses liées à l'investissement</t>
  </si>
  <si>
    <t>Dépenses permettant de diminuer la plus-value à la revente en s'ajoutant au prix d'acquisition</t>
  </si>
  <si>
    <r>
      <t xml:space="preserve">* En LMNP au réel et SCI à l'IS les travaux peuvent être passés en charges. En location nue au régime réel, les travaux de rénovation peuvent être également passés en charges et il est obligatoire d'imputer les premiers 10 700 € de déficit foncier au revenu global de l'investisseur.
Définition des dépenses de travaux : </t>
    </r>
    <r>
      <rPr>
        <b/>
        <sz val="11"/>
        <color rgb="FF0070C0"/>
        <rFont val="Calibri"/>
        <family val="2"/>
        <scheme val="minor"/>
      </rPr>
      <t>https://bofip.impots.gouv.fr/bofip/3943-PGP.html/identifiant%3DBOI-RFPI-BASE-20-30-10-20140203</t>
    </r>
  </si>
  <si>
    <r>
      <rPr>
        <sz val="11"/>
        <color theme="1"/>
        <rFont val="Calibri"/>
        <family val="2"/>
        <scheme val="minor"/>
      </rPr>
      <t xml:space="preserve">Catégorisation des dépenses entre charges et immobilisation (amortissements) : </t>
    </r>
    <r>
      <rPr>
        <b/>
        <sz val="11"/>
        <color rgb="FF0070C0"/>
        <rFont val="Calibri"/>
        <family val="2"/>
        <scheme val="minor"/>
      </rPr>
      <t>https://www.compta-facile.com/charge-ou-immobilisation/</t>
    </r>
  </si>
  <si>
    <t>Lmnp au réel</t>
  </si>
  <si>
    <t>Location nue au réel</t>
  </si>
  <si>
    <t>Location nue au micro-foncier</t>
  </si>
  <si>
    <t>C1  (voir glossaire)</t>
  </si>
  <si>
    <t>Taux de rendement interne (TRI)</t>
  </si>
  <si>
    <t>Flux de trésorerie annuel (base de calcul du TRI)</t>
  </si>
  <si>
    <t>TRI</t>
  </si>
  <si>
    <t>Année</t>
  </si>
  <si>
    <t>Lmnp au micro-bic</t>
  </si>
  <si>
    <t>Résultat net de l'opération 
(cumul cash-flows nets + revente nette - apport)</t>
  </si>
  <si>
    <t>SCI à l'IS après flat-taxe</t>
  </si>
  <si>
    <t>Année de revente : Impôt sur les bénéfices + CRL</t>
  </si>
  <si>
    <t>Contribution sur les revenus locatifs (CRL)</t>
  </si>
  <si>
    <t>Année de revente : Résultat net d'impôt sur les sociétés</t>
  </si>
  <si>
    <t>SCI à l'IS avant flat-taxe</t>
  </si>
  <si>
    <r>
      <rPr>
        <u/>
        <sz val="11"/>
        <color theme="1"/>
        <rFont val="Calibri"/>
        <family val="2"/>
        <scheme val="minor"/>
      </rPr>
      <t>Année de revente</t>
    </r>
    <r>
      <rPr>
        <sz val="11"/>
        <color theme="1"/>
        <rFont val="Calibri"/>
        <family val="2"/>
        <scheme val="minor"/>
      </rPr>
      <t xml:space="preserve"> : bénéfices imposables</t>
    </r>
  </si>
  <si>
    <r>
      <rPr>
        <u/>
        <sz val="11"/>
        <color theme="1"/>
        <rFont val="Calibri"/>
        <family val="2"/>
        <scheme val="minor"/>
      </rPr>
      <t>Année de revente</t>
    </r>
    <r>
      <rPr>
        <sz val="11"/>
        <color theme="1"/>
        <rFont val="Calibri"/>
        <family val="2"/>
        <scheme val="minor"/>
      </rPr>
      <t xml:space="preserve"> : Résultat net d'impôt sur les sociétés</t>
    </r>
  </si>
  <si>
    <r>
      <rPr>
        <u/>
        <sz val="11"/>
        <color theme="1"/>
        <rFont val="Calibri"/>
        <family val="2"/>
        <scheme val="minor"/>
      </rPr>
      <t>Année de revente</t>
    </r>
    <r>
      <rPr>
        <sz val="11"/>
        <color theme="1"/>
        <rFont val="Calibri"/>
        <family val="2"/>
        <scheme val="minor"/>
      </rPr>
      <t xml:space="preserve"> : Plus-value</t>
    </r>
  </si>
  <si>
    <r>
      <rPr>
        <u/>
        <sz val="11"/>
        <color theme="1"/>
        <rFont val="Calibri"/>
        <family val="2"/>
        <scheme val="minor"/>
      </rPr>
      <t>Année de revente</t>
    </r>
    <r>
      <rPr>
        <sz val="11"/>
        <color theme="1"/>
        <rFont val="Calibri"/>
        <family val="2"/>
        <scheme val="minor"/>
      </rPr>
      <t xml:space="preserve"> : Valeur nette comptable</t>
    </r>
  </si>
  <si>
    <r>
      <t>- Ce simulateur est une reproduction des règles de calcul utilisées pour obtenir le cash-flow après impôt sur l'application web simulimo.com
- Il inclut toutes les étapes de calcul intermédiaire pour vous permettre de mieux c</t>
    </r>
    <r>
      <rPr>
        <b/>
        <sz val="12"/>
        <color theme="1"/>
        <rFont val="Calibri"/>
        <family val="2"/>
        <scheme val="minor"/>
      </rPr>
      <t xml:space="preserve">omprendre les paramètres influençant le cash-flow net d'impôt </t>
    </r>
    <r>
      <rPr>
        <sz val="12"/>
        <color theme="1"/>
        <rFont val="Calibri"/>
        <family val="2"/>
        <scheme val="minor"/>
      </rPr>
      <t xml:space="preserve">de votre projet.
- En remplissant le formulaire avec les paramètres de votre projet, vous constaterez que le cash-flow net d'impôt de chaque régime fiscal sera le même que sur l'application web </t>
    </r>
    <r>
      <rPr>
        <b/>
        <sz val="12"/>
        <color rgb="FF0070C0"/>
        <rFont val="Calibri"/>
        <family val="2"/>
        <scheme val="minor"/>
      </rPr>
      <t>https://www.simulimo.com</t>
    </r>
  </si>
  <si>
    <t>Cash-flow net d'impôt sur les sociétés (IS)</t>
  </si>
  <si>
    <t>CUMUL Cash-flow net d'impôt sur les sociétés (IS)</t>
  </si>
  <si>
    <t>Cash flow net prélèvement forfaitaire unique (PFU)</t>
  </si>
  <si>
    <t>CUMUL Cash flow net prélèvement forfaitaire unique (PFU)</t>
  </si>
  <si>
    <t>De part leur caractère instantanné, les charges vont s'imputer directement au résultat de l'activité</t>
  </si>
  <si>
    <t>La charge d’amortissement va s’imputer sur le résultat chaque année jusqu’à la dépréciation totale de l'actif immobiliser</t>
  </si>
  <si>
    <t>Poste de dépense</t>
  </si>
  <si>
    <t>Flux de trésorerie annuels net : revenu - charges (charges financière, charges d'exploitation, impôts, remboursement de la dette). C'est sur la base de ces flux que le TRI est calculé.</t>
  </si>
  <si>
    <t>Rendement annuel net du projet durant toute la durée de détention. Ce rendement varie selon la durée de détention, le cash-flow annuel et le prix de revente bu bien.</t>
  </si>
  <si>
    <t>Champs visualisés dans l'application</t>
  </si>
  <si>
    <t>Année de revente : Valeur nette comptable</t>
  </si>
  <si>
    <t>Année de revente : Plus-value</t>
  </si>
  <si>
    <t>Flux de trésorerie net annuel - net IS (base de calcul du TRI)</t>
  </si>
  <si>
    <t>Année de revente : flux de trésorerie net PFU 
(base de calcul du TRI)</t>
  </si>
  <si>
    <t>Flux de trésorerie annuel - net PFU (base de calcul du TRI)</t>
  </si>
  <si>
    <t>Année de revente : Taux de rendement interne (TRI) net PFU</t>
  </si>
  <si>
    <t>Année de revente :  Flux de trésorerie net - après remboursement du 
capital restant dû (base de calcul du TRI)</t>
  </si>
  <si>
    <t>Rendement annuel net du projet durant toute la durée de détention. Ce rendement varie selon la durée de détention, le cash-flow annuel et le prix de revente bu bien</t>
  </si>
  <si>
    <t>Résultat net de l'opération
(cumul cash-flows nets + revente nette - apport)</t>
  </si>
  <si>
    <t>L'année 1, le flux de trésorerie est égal à l'apport +/- le cash-flow net d'impôt les sociétés  de l'année. Les autres années, le flux de trésorerie est égal au cash-flow net d'impôt les société. L'année de revente, il on rajoute au cash-flow de l'année le résultat net de la revente. Voir onglet TRI</t>
  </si>
  <si>
    <t>L'année 1, le flux de trésorerie est égal à l'apport +/- le cash-flow net de prélèvement forfaitaire unique  de l'année. Les autres années, le flux de trésorerie est égal au cash-flow netde prélèvement forfaitaire unique. L'année de revente, il on rajoute au cash-flow de l'année le résultat net de la revente. Voir onglet TRI</t>
  </si>
  <si>
    <t>Année de revente : résultat de l'opération net IS 
(cumul cash-flows + revente - apport)</t>
  </si>
  <si>
    <t>Année de revente : résultat de l'opération net PFU
(cumul cash-flows + revente - apport)</t>
  </si>
  <si>
    <t>C'est le cash-flow total généré par l'opération net de prélèvement forfaitaire unique. Il prend en compte le cumul des cash-flow annuels et le cash généré par la revente. C'est la mesure de l'enrichissement en valeur absolue de l'investisseur via la réalisation de l'opération.</t>
  </si>
  <si>
    <t>C'est le cash-flow total généré par l'opération net de prélèvement forfaitaire unique. Il prend en compte le cumul des cash-flow annuels et le cash généré par la revente. C'est le total du cash-flow net généré par la société durée toutes les années de détention, après revente du bien et remboursement de la banque si nécessaire.</t>
  </si>
  <si>
    <t>Résultat après remboursement du capital restant dû
(capital récupérer après revente)</t>
  </si>
  <si>
    <t>Revenu foncier imposable (loyer - Total charges deduc)</t>
  </si>
  <si>
    <t>Somme des charges et amortissements qui diminueront le revenu imposable. Au LMNP au réel, les frais de notaire et frais dragence peuvent être passés en charges la première année. Formule : total charges financière + total charges d'exploitation + total amortissement (sauf frais de notaire et agence) + frais de notaire + agence  (la 1ère année)</t>
  </si>
  <si>
    <t>Comptabilité</t>
  </si>
  <si>
    <t>Total charges deductibles + amortissements</t>
  </si>
  <si>
    <t>frais bancaires</t>
  </si>
  <si>
    <t>frais courtier</t>
  </si>
  <si>
    <t>loyer mensuel</t>
  </si>
  <si>
    <t>charges locatives</t>
  </si>
  <si>
    <t>taux d'occupation</t>
  </si>
  <si>
    <t>taxe foncière</t>
  </si>
  <si>
    <t>gestion locative</t>
  </si>
  <si>
    <t>charges courantes</t>
  </si>
  <si>
    <t>assurance PNO &amp; GLI</t>
  </si>
  <si>
    <t>augmentation annuelle
moyenne investisseur 1</t>
  </si>
  <si>
    <t>augmentation annuelle
moyenne investisseur 2</t>
  </si>
  <si>
    <t>taux de revalorisation
annuelle du bien</t>
  </si>
  <si>
    <t>parts fiscales</t>
  </si>
  <si>
    <t>taux d'inflation</t>
  </si>
  <si>
    <t>prix du bien FAI*</t>
  </si>
  <si>
    <r>
      <t xml:space="preserve">revenu </t>
    </r>
    <r>
      <rPr>
        <u/>
        <sz val="11"/>
        <color theme="1"/>
        <rFont val="Calibri"/>
        <family val="2"/>
        <scheme val="minor"/>
      </rPr>
      <t>annuel brut</t>
    </r>
    <r>
      <rPr>
        <sz val="11"/>
        <color theme="1"/>
        <rFont val="Calibri"/>
        <family val="2"/>
        <scheme val="minor"/>
      </rPr>
      <t xml:space="preserve">
investisseur 2</t>
    </r>
  </si>
  <si>
    <r>
      <t xml:space="preserve">revenu </t>
    </r>
    <r>
      <rPr>
        <u/>
        <sz val="11"/>
        <color theme="1"/>
        <rFont val="Calibri"/>
        <family val="2"/>
        <scheme val="minor"/>
      </rPr>
      <t>annuel brut</t>
    </r>
    <r>
      <rPr>
        <sz val="11"/>
        <color theme="1"/>
        <rFont val="Calibri"/>
        <family val="2"/>
        <scheme val="minor"/>
      </rPr>
      <t xml:space="preserve">
investisseur 1</t>
    </r>
  </si>
  <si>
    <t>Revenu  d'activité imposable (net de frais)</t>
  </si>
  <si>
    <t>travaux</t>
  </si>
  <si>
    <t>Amortissement des travaux</t>
  </si>
  <si>
    <t>Comparaison travaux vs. forfait 15%</t>
  </si>
  <si>
    <t>CHAR / PV</t>
  </si>
  <si>
    <r>
      <t xml:space="preserve">(1) Dans le cas d'une SCI à l'IS, tous les éléments (immeuble, travaux, meubles, frais d'acquisition) insrits à l'actif du bilan de la société seront amortis année après année permettant de diminuer le revenu imposable par la génération de "charges fictives" correspondant à la perte de valeur de ces éléments. Notez que chaque élément est amortis sur une durée différente. Ce mécanisme à également pour effet de faire diminuer chaque année la valeur nette comptable des actifs de la société. Lors de la revente, la plus value sera calculée en faisant la différence entre le prix de cession et leur valeur nette comptable. En SCI à l'IS, le temps qui passe fait donc augmenter la plus-value par le mécanisme des amortissements indépendemment de la revalorisation du bien sur le marché.
Les amortissements des meubles ne sont pas intégrés à la plus-value car le scénario de revente le plus probable est une vente du bien sans les meubles.
Plus d'information sur la SCI à l'IS et la valeur nette comptable : </t>
    </r>
    <r>
      <rPr>
        <b/>
        <sz val="11"/>
        <color rgb="FF0070C0"/>
        <rFont val="Calibri"/>
        <family val="2"/>
        <scheme val="minor"/>
      </rPr>
      <t>https://www.legifiscal.fr/placements/immobilier/amortissement-sci-impot-societes-is.html</t>
    </r>
  </si>
  <si>
    <t>(2) En LMNP au régime réel, la plus value est égale au prix de revente - prix d'acquisition majoré des frais de notaire et travaux. L'amortissement de ces éléments ne viendra donc pas augmenter la plus value. Voir BOFIP - DBOI-RFPI-PVI-20-10-20-20-20131220 article 265-260</t>
  </si>
  <si>
    <r>
      <t xml:space="preserve">** Au LMNP au réel, les travaux peuvent être à la fois amortis et permettre de diminuer la plus value en majorant le prix d'acquisition du bien. 
Définition plus-value des particuliers : </t>
    </r>
    <r>
      <rPr>
        <b/>
        <sz val="11"/>
        <color rgb="FF0070C0"/>
        <rFont val="Calibri"/>
        <family val="2"/>
        <scheme val="minor"/>
      </rPr>
      <t>https://bofip.impots.gouv.fr/bofip/265-PGP.html/identifiant%3DBOI-RFPI-PVI-20-10-20-20-20131220</t>
    </r>
    <r>
      <rPr>
        <sz val="11"/>
        <color theme="1"/>
        <rFont val="Calibri"/>
        <family val="2"/>
        <scheme val="minor"/>
      </rPr>
      <t xml:space="preserve">
Définition des dépenses de travaux : </t>
    </r>
    <r>
      <rPr>
        <b/>
        <sz val="11"/>
        <color rgb="FF0070C0"/>
        <rFont val="Calibri"/>
        <family val="2"/>
        <scheme val="minor"/>
      </rPr>
      <t>https://bofip.impots.gouv.fr/bofip/3943-PGP.html/identifiant%3DBOI-RFPI-BASE-20-30-10-20140203</t>
    </r>
  </si>
  <si>
    <t>Dotations aux amortissements des travaux</t>
  </si>
  <si>
    <t>(Prix d'acquisition FAI + travaux - frais d'gence) * pourcentage annuel d'augmentation de la valeur du bien défini par l'investisseur</t>
  </si>
  <si>
    <t>Somme des charges et amortissement qui diminueront le revenu imposable. Les travaux de réparations sont des charges et non des amortissements. 
Formule : total charges financière + total charges d'exploitation + amortissements du bien / travaux / meubles / frais d'acquisition</t>
  </si>
  <si>
    <t>Comparaison travaux  vs. forfait 15%</t>
  </si>
  <si>
    <t>TAUX DE RENDEMENT INTERNE</t>
  </si>
  <si>
    <t>NE PAS TOUCHER A CET ONGLET, IL PERMET DE CALCULER LE TAUX DE RENDEMENT INTERNE DANS L'ONGLET "SIMULIMO"</t>
  </si>
  <si>
    <t>Cotisation foncière des entreprises (CFE)</t>
  </si>
  <si>
    <t>Année de revente : Taux de rendement interne (TRI) net IS</t>
  </si>
  <si>
    <r>
      <rPr>
        <u/>
        <sz val="11"/>
        <color theme="1"/>
        <rFont val="Calibri"/>
        <family val="2"/>
        <scheme val="minor"/>
      </rPr>
      <t>Année de revente</t>
    </r>
    <r>
      <rPr>
        <sz val="11"/>
        <color theme="1"/>
        <rFont val="Calibri"/>
        <family val="2"/>
        <scheme val="minor"/>
      </rPr>
      <t xml:space="preserve"> : Impôt sur les bénéfices</t>
    </r>
  </si>
  <si>
    <r>
      <t xml:space="preserve">Flux de trésorerie net annuel - </t>
    </r>
    <r>
      <rPr>
        <b/>
        <sz val="11"/>
        <color theme="1"/>
        <rFont val="Calibri"/>
        <family val="2"/>
        <scheme val="minor"/>
      </rPr>
      <t>net IS</t>
    </r>
    <r>
      <rPr>
        <sz val="11"/>
        <color theme="1"/>
        <rFont val="Calibri"/>
        <family val="2"/>
        <scheme val="minor"/>
      </rPr>
      <t xml:space="preserve"> (base de calcul du TRI)
(année 1 : apport +/- cash-flow net IS, sinon cash-flow net IS)</t>
    </r>
  </si>
  <si>
    <t>Le TRI est basé sur :</t>
  </si>
  <si>
    <t>- cash flow année 1 prenant en compte l'apport</t>
  </si>
  <si>
    <t>- cash-flows annuels nets liés à  l'exploitation du bien (positif ou négatif)</t>
  </si>
  <si>
    <t>- cash-flow net lié à la revente du bien (dernière année d'exploitation) auquel s'ajoute le cash-flow d'exploitation de cette année</t>
  </si>
  <si>
    <r>
      <rPr>
        <b/>
        <sz val="11"/>
        <color theme="1"/>
        <rFont val="Calibri"/>
        <family val="2"/>
        <scheme val="minor"/>
      </rPr>
      <t>CUMUL</t>
    </r>
    <r>
      <rPr>
        <sz val="11"/>
        <color theme="1"/>
        <rFont val="Calibri"/>
        <family val="2"/>
        <scheme val="minor"/>
      </rPr>
      <t xml:space="preserve"> Amortissements</t>
    </r>
  </si>
  <si>
    <r>
      <rPr>
        <b/>
        <sz val="11"/>
        <color theme="0"/>
        <rFont val="Calibri"/>
        <family val="2"/>
        <scheme val="minor"/>
      </rPr>
      <t>CUMUL</t>
    </r>
    <r>
      <rPr>
        <sz val="11"/>
        <color theme="0"/>
        <rFont val="Calibri"/>
        <family val="2"/>
        <scheme val="minor"/>
      </rPr>
      <t xml:space="preserve"> Cash-flow net d'impôt sur les sociétés (IS)</t>
    </r>
  </si>
  <si>
    <r>
      <rPr>
        <b/>
        <sz val="11"/>
        <color theme="0"/>
        <rFont val="Calibri"/>
        <family val="2"/>
        <scheme val="minor"/>
      </rPr>
      <t>CUMUL</t>
    </r>
    <r>
      <rPr>
        <sz val="11"/>
        <color theme="0"/>
        <rFont val="Calibri"/>
        <family val="2"/>
        <scheme val="minor"/>
      </rPr>
      <t xml:space="preserve"> Cash flow net prélèvement forfaitaire unique (PFU)</t>
    </r>
  </si>
  <si>
    <r>
      <rPr>
        <b/>
        <u/>
        <sz val="20"/>
        <color theme="1"/>
        <rFont val="Calibri"/>
        <family val="2"/>
        <scheme val="minor"/>
      </rPr>
      <t>TRI</t>
    </r>
    <r>
      <rPr>
        <b/>
        <sz val="20"/>
        <color theme="1"/>
        <rFont val="Calibri"/>
        <family val="2"/>
        <scheme val="minor"/>
      </rPr>
      <t xml:space="preserve"> :</t>
    </r>
  </si>
  <si>
    <r>
      <rPr>
        <u/>
        <sz val="11"/>
        <color theme="1"/>
        <rFont val="Calibri"/>
        <family val="2"/>
        <scheme val="minor"/>
      </rPr>
      <t>Année de revente</t>
    </r>
    <r>
      <rPr>
        <sz val="11"/>
        <color theme="1"/>
        <rFont val="Calibri"/>
        <family val="2"/>
        <scheme val="minor"/>
      </rPr>
      <t xml:space="preserve"> :  Flux de trésorerie - </t>
    </r>
    <r>
      <rPr>
        <b/>
        <sz val="11"/>
        <color theme="1"/>
        <rFont val="Calibri"/>
        <family val="2"/>
        <scheme val="minor"/>
      </rPr>
      <t>net IS</t>
    </r>
  </si>
  <si>
    <r>
      <t xml:space="preserve">Taux de rendement interne (TRI) - </t>
    </r>
    <r>
      <rPr>
        <b/>
        <sz val="11"/>
        <color theme="0"/>
        <rFont val="Calibri"/>
        <family val="2"/>
        <scheme val="minor"/>
      </rPr>
      <t>net IS</t>
    </r>
  </si>
  <si>
    <r>
      <t xml:space="preserve">Flux de trésorerie annuel - </t>
    </r>
    <r>
      <rPr>
        <b/>
        <sz val="11"/>
        <color theme="1"/>
        <rFont val="Calibri"/>
        <family val="2"/>
        <scheme val="minor"/>
      </rPr>
      <t>net PFU</t>
    </r>
  </si>
  <si>
    <r>
      <rPr>
        <u/>
        <sz val="11"/>
        <color theme="1"/>
        <rFont val="Calibri"/>
        <family val="2"/>
        <scheme val="minor"/>
      </rPr>
      <t>Année de revente</t>
    </r>
    <r>
      <rPr>
        <sz val="11"/>
        <color theme="1"/>
        <rFont val="Calibri"/>
        <family val="2"/>
        <scheme val="minor"/>
      </rPr>
      <t xml:space="preserve"> :  Flux de trésorerie - </t>
    </r>
    <r>
      <rPr>
        <b/>
        <sz val="11"/>
        <color theme="1"/>
        <rFont val="Calibri"/>
        <family val="2"/>
        <scheme val="minor"/>
      </rPr>
      <t>net PFU</t>
    </r>
  </si>
  <si>
    <r>
      <t xml:space="preserve">Taux de rendement interne (TRI) - </t>
    </r>
    <r>
      <rPr>
        <b/>
        <sz val="11"/>
        <color theme="0"/>
        <rFont val="Calibri"/>
        <family val="2"/>
        <scheme val="minor"/>
      </rPr>
      <t>net PFU</t>
    </r>
  </si>
  <si>
    <r>
      <rPr>
        <u/>
        <sz val="11"/>
        <color theme="0"/>
        <rFont val="Calibri"/>
        <family val="2"/>
        <scheme val="minor"/>
      </rPr>
      <t>Année de revente</t>
    </r>
    <r>
      <rPr>
        <sz val="11"/>
        <color theme="0"/>
        <rFont val="Calibri"/>
        <family val="2"/>
        <scheme val="minor"/>
      </rPr>
      <t xml:space="preserve"> :  résultat après remboursement banque
</t>
    </r>
    <r>
      <rPr>
        <b/>
        <sz val="11"/>
        <color theme="0"/>
        <rFont val="Calibri"/>
        <family val="2"/>
        <scheme val="minor"/>
      </rPr>
      <t>net IS</t>
    </r>
  </si>
  <si>
    <r>
      <rPr>
        <u/>
        <sz val="11"/>
        <color theme="0"/>
        <rFont val="Calibri"/>
        <family val="2"/>
        <scheme val="minor"/>
      </rPr>
      <t>Année de revente</t>
    </r>
    <r>
      <rPr>
        <b/>
        <sz val="11"/>
        <color theme="0"/>
        <rFont val="Calibri"/>
        <family val="2"/>
        <scheme val="minor"/>
      </rPr>
      <t xml:space="preserve"> : </t>
    </r>
    <r>
      <rPr>
        <sz val="11"/>
        <color theme="0"/>
        <rFont val="Calibri"/>
        <family val="2"/>
        <scheme val="minor"/>
      </rPr>
      <t>résultat de l'opération</t>
    </r>
    <r>
      <rPr>
        <b/>
        <sz val="11"/>
        <color theme="0"/>
        <rFont val="Calibri"/>
        <family val="2"/>
        <scheme val="minor"/>
      </rPr>
      <t xml:space="preserve"> (net IS)</t>
    </r>
    <r>
      <rPr>
        <b/>
        <u/>
        <sz val="11"/>
        <color theme="0"/>
        <rFont val="Calibri"/>
        <family val="2"/>
        <scheme val="minor"/>
      </rPr>
      <t xml:space="preserve">
</t>
    </r>
    <r>
      <rPr>
        <sz val="11"/>
        <color theme="0"/>
        <rFont val="Calibri"/>
        <family val="2"/>
        <scheme val="minor"/>
      </rPr>
      <t>cumul cash-flows + revente - compte courant associés / apport</t>
    </r>
  </si>
  <si>
    <r>
      <rPr>
        <u/>
        <sz val="11"/>
        <color theme="0"/>
        <rFont val="Calibri"/>
        <family val="2"/>
        <scheme val="minor"/>
      </rPr>
      <t>Année de revente</t>
    </r>
    <r>
      <rPr>
        <sz val="11"/>
        <color theme="0"/>
        <rFont val="Calibri"/>
        <family val="2"/>
        <scheme val="minor"/>
      </rPr>
      <t xml:space="preserve"> : résultat de l'opération </t>
    </r>
    <r>
      <rPr>
        <b/>
        <sz val="11"/>
        <color theme="0"/>
        <rFont val="Calibri"/>
        <family val="2"/>
        <scheme val="minor"/>
      </rPr>
      <t>- net PFU</t>
    </r>
    <r>
      <rPr>
        <sz val="11"/>
        <color theme="0"/>
        <rFont val="Calibri"/>
        <family val="2"/>
        <scheme val="minor"/>
      </rPr>
      <t xml:space="preserve">
cumul cash-flows + revente - compte courant associés</t>
    </r>
  </si>
  <si>
    <r>
      <rPr>
        <u/>
        <sz val="11"/>
        <color theme="0"/>
        <rFont val="Calibri"/>
        <family val="2"/>
        <scheme val="minor"/>
      </rPr>
      <t>Année de revente</t>
    </r>
    <r>
      <rPr>
        <sz val="11"/>
        <color theme="0"/>
        <rFont val="Calibri"/>
        <family val="2"/>
        <scheme val="minor"/>
      </rPr>
      <t xml:space="preserve"> : résultat</t>
    </r>
    <r>
      <rPr>
        <b/>
        <sz val="11"/>
        <color theme="0"/>
        <rFont val="Calibri"/>
        <family val="2"/>
        <scheme val="minor"/>
      </rPr>
      <t xml:space="preserve"> net PFU
(</t>
    </r>
    <r>
      <rPr>
        <sz val="11"/>
        <color theme="0"/>
        <rFont val="Calibri"/>
        <family val="2"/>
        <scheme val="minor"/>
      </rPr>
      <t>revente - CCA) * 0,7 + CCA</t>
    </r>
  </si>
  <si>
    <t>Somme</t>
  </si>
  <si>
    <t>Moyenne</t>
  </si>
  <si>
    <t>Résultat cumulé</t>
  </si>
  <si>
    <t>Nombre</t>
  </si>
  <si>
    <r>
      <rPr>
        <b/>
        <sz val="20"/>
        <rFont val="Calibri"/>
        <family val="2"/>
        <scheme val="minor"/>
      </rPr>
      <t>Location nue au régime réel</t>
    </r>
    <r>
      <rPr>
        <b/>
        <sz val="12"/>
        <rFont val="Calibri"/>
        <family val="2"/>
        <scheme val="minor"/>
      </rPr>
      <t xml:space="preserve">
Régime de plus value des particuliers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</si>
</sst>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9"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u/>
      <sz val="11"/>
      <color theme="1"/>
      <name val="Calibri"/>
      <family val="2"/>
      <scheme val="minor"/>
    </font>
    <font>
      <u/>
      <sz val="11"/>
      <color theme="1"/>
      <name val="Calibri"/>
      <family val="2"/>
      <scheme val="minor"/>
    </font>
    <font>
      <sz val="12"/>
      <color theme="1"/>
      <name val="Calibri"/>
      <family val="2"/>
      <scheme val="minor"/>
    </font>
    <font>
      <b/>
      <sz val="12"/>
      <color theme="1"/>
      <name val="Calibri"/>
      <family val="2"/>
      <scheme val="minor"/>
    </font>
    <font>
      <b/>
      <sz val="14"/>
      <color theme="1"/>
      <name val="Calibri"/>
      <family val="2"/>
      <scheme val="minor"/>
    </font>
    <font>
      <b/>
      <u/>
      <sz val="11"/>
      <color theme="0"/>
      <name val="Calibri"/>
      <family val="2"/>
      <scheme val="minor"/>
    </font>
    <font>
      <sz val="11"/>
      <color theme="0"/>
      <name val="Calibri"/>
      <family val="2"/>
      <scheme val="minor"/>
    </font>
    <font>
      <b/>
      <sz val="12"/>
      <name val="Calibri"/>
      <family val="2"/>
      <scheme val="minor"/>
    </font>
    <font>
      <sz val="12"/>
      <name val="Calibri"/>
      <family val="2"/>
      <scheme val="minor"/>
    </font>
    <font>
      <b/>
      <sz val="11"/>
      <color rgb="FF007BE8"/>
      <name val="Calibri"/>
      <family val="2"/>
      <scheme val="minor"/>
    </font>
    <font>
      <b/>
      <sz val="20"/>
      <color theme="1"/>
      <name val="Calibri"/>
      <family val="2"/>
      <scheme val="minor"/>
    </font>
    <font>
      <b/>
      <sz val="20"/>
      <name val="Calibri"/>
      <family val="2"/>
      <scheme val="minor"/>
    </font>
    <font>
      <b/>
      <sz val="18"/>
      <color theme="1"/>
      <name val="Calibri"/>
      <family val="2"/>
      <scheme val="minor"/>
    </font>
    <font>
      <b/>
      <sz val="18"/>
      <name val="Calibri"/>
      <family val="2"/>
      <scheme val="minor"/>
    </font>
    <font>
      <u/>
      <sz val="11"/>
      <color theme="10"/>
      <name val="Calibri"/>
      <family val="2"/>
      <scheme val="minor"/>
    </font>
    <font>
      <b/>
      <sz val="11"/>
      <color rgb="FF0070C0"/>
      <name val="Calibri"/>
      <family val="2"/>
      <scheme val="minor"/>
    </font>
    <font>
      <sz val="11"/>
      <color theme="10"/>
      <name val="Calibri"/>
      <family val="2"/>
      <scheme val="minor"/>
    </font>
    <font>
      <b/>
      <sz val="16"/>
      <color theme="0"/>
      <name val="Calibri"/>
      <family val="2"/>
      <scheme val="minor"/>
    </font>
    <font>
      <sz val="10"/>
      <color rgb="FF333333"/>
      <name val="Consolas"/>
      <family val="3"/>
    </font>
    <font>
      <b/>
      <sz val="12"/>
      <color rgb="FF0070C0"/>
      <name val="Calibri"/>
      <family val="2"/>
      <scheme val="minor"/>
    </font>
    <font>
      <b/>
      <sz val="12"/>
      <color theme="0"/>
      <name val="Calibri"/>
      <family val="2"/>
      <scheme val="minor"/>
    </font>
    <font>
      <b/>
      <sz val="16"/>
      <color theme="1"/>
      <name val="Calibri"/>
      <family val="2"/>
      <scheme val="minor"/>
    </font>
    <font>
      <sz val="18"/>
      <color theme="1"/>
      <name val="Calibri"/>
      <family val="2"/>
      <scheme val="minor"/>
    </font>
    <font>
      <u/>
      <sz val="11"/>
      <color theme="0"/>
      <name val="Calibri"/>
      <family val="2"/>
      <scheme val="minor"/>
    </font>
    <font>
      <b/>
      <u/>
      <sz val="20"/>
      <color theme="1"/>
      <name val="Calibri"/>
      <family val="2"/>
      <scheme val="minor"/>
    </font>
  </fonts>
  <fills count="15">
    <fill>
      <patternFill patternType="none"/>
    </fill>
    <fill>
      <patternFill patternType="gray125"/>
    </fill>
    <fill>
      <patternFill patternType="solid">
        <fgColor rgb="FF0070C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2"/>
        <bgColor indexed="64"/>
      </patternFill>
    </fill>
    <fill>
      <patternFill patternType="solid">
        <fgColor rgb="FF007BE8"/>
        <bgColor indexed="64"/>
      </patternFill>
    </fill>
    <fill>
      <patternFill patternType="solid">
        <fgColor theme="8" tint="0.79998168889431442"/>
        <bgColor indexed="64"/>
      </patternFill>
    </fill>
    <fill>
      <patternFill patternType="solid">
        <fgColor theme="0" tint="-0.34998626667073579"/>
        <bgColor indexed="64"/>
      </patternFill>
    </fill>
    <fill>
      <patternFill patternType="solid">
        <fgColor rgb="FFFFFF00"/>
        <bgColor indexed="64"/>
      </patternFill>
    </fill>
    <fill>
      <patternFill patternType="solid">
        <fgColor rgb="FF00B050"/>
        <bgColor indexed="64"/>
      </patternFill>
    </fill>
    <fill>
      <patternFill patternType="solid">
        <fgColor theme="4" tint="0.79998168889431442"/>
        <bgColor indexed="64"/>
      </patternFill>
    </fill>
    <fill>
      <patternFill patternType="solid">
        <fgColor theme="2" tint="-9.9978637043366805E-2"/>
        <bgColor indexed="64"/>
      </patternFill>
    </fill>
  </fills>
  <borders count="16">
    <border>
      <left/>
      <right/>
      <top/>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18" fillId="0" borderId="0" applyNumberFormat="0" applyFill="0" applyBorder="0" applyAlignment="0" applyProtection="0"/>
  </cellStyleXfs>
  <cellXfs count="232">
    <xf numFmtId="0" fontId="0" fillId="0" borderId="0" xfId="0"/>
    <xf numFmtId="3" fontId="0" fillId="0" borderId="0" xfId="0" applyNumberFormat="1" applyBorder="1" applyAlignment="1">
      <alignment horizontal="center"/>
    </xf>
    <xf numFmtId="3" fontId="0" fillId="0" borderId="0" xfId="0" applyNumberFormat="1" applyFill="1" applyBorder="1" applyAlignment="1">
      <alignment horizontal="center"/>
    </xf>
    <xf numFmtId="0" fontId="0" fillId="0" borderId="0" xfId="0" applyAlignment="1">
      <alignment horizontal="center"/>
    </xf>
    <xf numFmtId="0" fontId="0" fillId="0" borderId="0" xfId="0" applyAlignment="1">
      <alignment vertical="center"/>
    </xf>
    <xf numFmtId="0" fontId="0" fillId="0" borderId="0" xfId="0" applyBorder="1" applyAlignment="1">
      <alignment vertical="center"/>
    </xf>
    <xf numFmtId="0" fontId="0" fillId="0" borderId="0" xfId="0" applyAlignment="1">
      <alignment wrapText="1"/>
    </xf>
    <xf numFmtId="0" fontId="0" fillId="0" borderId="3" xfId="0" applyBorder="1" applyAlignment="1">
      <alignment horizontal="left" vertical="center" wrapText="1" indent="1"/>
    </xf>
    <xf numFmtId="0" fontId="0" fillId="0" borderId="0" xfId="0" applyAlignment="1">
      <alignment horizontal="left" wrapText="1" indent="1"/>
    </xf>
    <xf numFmtId="0" fontId="0" fillId="0" borderId="3" xfId="0" applyFont="1" applyFill="1" applyBorder="1" applyAlignment="1">
      <alignment horizontal="left" vertical="center" indent="1"/>
    </xf>
    <xf numFmtId="0" fontId="0" fillId="0" borderId="3" xfId="0" applyFill="1" applyBorder="1" applyAlignment="1">
      <alignment horizontal="left" vertical="center" indent="1"/>
    </xf>
    <xf numFmtId="0" fontId="0" fillId="0" borderId="0" xfId="0" applyFill="1" applyAlignment="1">
      <alignment horizontal="left" indent="2"/>
    </xf>
    <xf numFmtId="0" fontId="0" fillId="0" borderId="3" xfId="0" applyFont="1" applyFill="1" applyBorder="1" applyAlignment="1">
      <alignment horizontal="left" vertical="center" wrapText="1" indent="1"/>
    </xf>
    <xf numFmtId="3" fontId="0" fillId="0" borderId="0" xfId="0" applyNumberFormat="1" applyBorder="1" applyAlignment="1">
      <alignment horizontal="center" vertical="center"/>
    </xf>
    <xf numFmtId="3" fontId="0" fillId="0" borderId="0" xfId="0" applyNumberFormat="1" applyFont="1" applyBorder="1" applyAlignment="1">
      <alignment horizontal="center" vertical="center"/>
    </xf>
    <xf numFmtId="0" fontId="0" fillId="0" borderId="0" xfId="0" applyFont="1" applyBorder="1" applyAlignment="1">
      <alignment horizontal="center" vertical="center"/>
    </xf>
    <xf numFmtId="0" fontId="0" fillId="0" borderId="12" xfId="0" applyFont="1" applyBorder="1" applyAlignment="1">
      <alignment horizontal="center" vertical="center"/>
    </xf>
    <xf numFmtId="0" fontId="0" fillId="0" borderId="0" xfId="0" applyBorder="1" applyAlignment="1">
      <alignment horizontal="center" vertical="center"/>
    </xf>
    <xf numFmtId="3" fontId="0" fillId="0" borderId="0" xfId="0" applyNumberFormat="1" applyFill="1" applyBorder="1" applyAlignment="1">
      <alignment horizontal="center" vertical="center"/>
    </xf>
    <xf numFmtId="3" fontId="0" fillId="0" borderId="12" xfId="0" applyNumberFormat="1" applyFont="1" applyBorder="1" applyAlignment="1">
      <alignment horizontal="center" vertical="center"/>
    </xf>
    <xf numFmtId="3" fontId="0" fillId="0" borderId="0" xfId="0" applyNumberFormat="1" applyFont="1" applyFill="1" applyBorder="1" applyAlignment="1">
      <alignment horizontal="center" vertical="center"/>
    </xf>
    <xf numFmtId="3" fontId="0" fillId="0" borderId="12" xfId="0" applyNumberFormat="1" applyFont="1" applyFill="1" applyBorder="1" applyAlignment="1">
      <alignment horizontal="center" vertical="center"/>
    </xf>
    <xf numFmtId="0" fontId="0" fillId="0" borderId="0" xfId="0" applyFill="1" applyBorder="1" applyAlignment="1">
      <alignment horizontal="left" vertical="center" indent="1"/>
    </xf>
    <xf numFmtId="0" fontId="0" fillId="0" borderId="4" xfId="0" applyFont="1" applyFill="1" applyBorder="1" applyAlignment="1">
      <alignment horizontal="left" vertical="center" indent="1"/>
    </xf>
    <xf numFmtId="0" fontId="0" fillId="0" borderId="5" xfId="0" applyFont="1" applyFill="1" applyBorder="1" applyAlignment="1">
      <alignment horizontal="left" vertical="center" indent="1"/>
    </xf>
    <xf numFmtId="0" fontId="0" fillId="0" borderId="6" xfId="0" applyFont="1" applyFill="1" applyBorder="1" applyAlignment="1">
      <alignment horizontal="left" vertical="center" indent="1"/>
    </xf>
    <xf numFmtId="0" fontId="0" fillId="0" borderId="0" xfId="0" applyAlignment="1">
      <alignment horizontal="left" vertical="center" indent="1"/>
    </xf>
    <xf numFmtId="0" fontId="0" fillId="0" borderId="0" xfId="0" applyFont="1" applyFill="1" applyBorder="1" applyAlignment="1">
      <alignment horizontal="left" vertical="center" indent="1"/>
    </xf>
    <xf numFmtId="0" fontId="0" fillId="0" borderId="0" xfId="0" applyBorder="1" applyAlignment="1">
      <alignment horizontal="left" vertical="center" indent="1"/>
    </xf>
    <xf numFmtId="0" fontId="0" fillId="0" borderId="0" xfId="0" applyBorder="1" applyAlignment="1">
      <alignment horizontal="center"/>
    </xf>
    <xf numFmtId="3" fontId="0" fillId="0" borderId="15" xfId="0" applyNumberFormat="1" applyFont="1" applyFill="1" applyBorder="1" applyAlignment="1">
      <alignment horizontal="center" vertical="center"/>
    </xf>
    <xf numFmtId="3" fontId="0" fillId="0" borderId="14" xfId="0" applyNumberFormat="1" applyFont="1" applyFill="1" applyBorder="1" applyAlignment="1">
      <alignment horizontal="center" vertical="center"/>
    </xf>
    <xf numFmtId="9" fontId="0" fillId="0" borderId="0" xfId="1" applyFont="1" applyBorder="1" applyAlignment="1">
      <alignment horizontal="center" vertical="center"/>
    </xf>
    <xf numFmtId="9" fontId="0" fillId="0" borderId="12" xfId="1" applyFont="1" applyBorder="1" applyAlignment="1">
      <alignment horizontal="center" vertical="center"/>
    </xf>
    <xf numFmtId="0" fontId="2" fillId="0" borderId="0" xfId="0" applyFont="1" applyFill="1" applyBorder="1" applyAlignment="1">
      <alignment horizontal="center" vertical="center"/>
    </xf>
    <xf numFmtId="9" fontId="0" fillId="0" borderId="0" xfId="1" applyNumberFormat="1" applyFont="1" applyFill="1" applyBorder="1" applyAlignment="1">
      <alignment horizontal="center" vertical="center"/>
    </xf>
    <xf numFmtId="0" fontId="0" fillId="0" borderId="0" xfId="0" applyFill="1" applyBorder="1" applyAlignment="1">
      <alignment horizontal="center" vertical="center"/>
    </xf>
    <xf numFmtId="164" fontId="0" fillId="0" borderId="0" xfId="1" applyNumberFormat="1" applyFont="1" applyFill="1" applyBorder="1" applyAlignment="1">
      <alignment horizontal="center" vertical="center"/>
    </xf>
    <xf numFmtId="0" fontId="0" fillId="0" borderId="0" xfId="0" applyFill="1" applyBorder="1" applyAlignment="1">
      <alignment vertical="center"/>
    </xf>
    <xf numFmtId="0" fontId="0" fillId="0" borderId="0" xfId="0" applyBorder="1" applyAlignment="1">
      <alignment horizontal="left" vertical="center" wrapText="1" indent="1"/>
    </xf>
    <xf numFmtId="0" fontId="0" fillId="0" borderId="6" xfId="0" applyBorder="1" applyAlignment="1">
      <alignment horizontal="left" vertical="center" wrapText="1" indent="1"/>
    </xf>
    <xf numFmtId="0" fontId="0" fillId="0" borderId="3" xfId="0" quotePrefix="1" applyBorder="1" applyAlignment="1">
      <alignment horizontal="left" vertical="center" wrapText="1" indent="1"/>
    </xf>
    <xf numFmtId="0" fontId="0" fillId="0" borderId="5" xfId="0" applyBorder="1" applyAlignment="1">
      <alignment horizontal="left" vertical="center" wrapText="1" indent="1"/>
    </xf>
    <xf numFmtId="0" fontId="7" fillId="0" borderId="0" xfId="0" applyFont="1" applyFill="1" applyBorder="1" applyAlignment="1">
      <alignment horizontal="center" vertical="center" textRotation="90" wrapText="1"/>
    </xf>
    <xf numFmtId="0" fontId="0" fillId="0" borderId="0" xfId="0" applyFill="1" applyBorder="1" applyAlignment="1">
      <alignment horizontal="left" vertical="center" wrapText="1" indent="1"/>
    </xf>
    <xf numFmtId="0" fontId="0" fillId="0" borderId="0" xfId="0" applyFill="1" applyBorder="1"/>
    <xf numFmtId="0" fontId="0" fillId="0" borderId="3" xfId="0" applyFill="1" applyBorder="1" applyAlignment="1">
      <alignment horizontal="left" vertical="center" wrapText="1" indent="1"/>
    </xf>
    <xf numFmtId="0" fontId="8" fillId="0" borderId="0" xfId="0" applyFont="1" applyFill="1" applyBorder="1" applyAlignment="1">
      <alignment horizontal="center" vertical="center" textRotation="90" wrapText="1"/>
    </xf>
    <xf numFmtId="0" fontId="11" fillId="0" borderId="0" xfId="0" applyFont="1" applyFill="1" applyBorder="1" applyAlignment="1">
      <alignment horizontal="center" vertical="center" textRotation="90"/>
    </xf>
    <xf numFmtId="0" fontId="11" fillId="0" borderId="0" xfId="0" applyFont="1" applyFill="1" applyBorder="1" applyAlignment="1">
      <alignment horizontal="center" vertical="center"/>
    </xf>
    <xf numFmtId="3" fontId="2" fillId="0" borderId="0" xfId="0" applyNumberFormat="1" applyFont="1" applyFill="1" applyBorder="1" applyAlignment="1">
      <alignment horizontal="left" vertical="center" indent="1"/>
    </xf>
    <xf numFmtId="3" fontId="2" fillId="0" borderId="0" xfId="0" applyNumberFormat="1" applyFont="1" applyFill="1" applyBorder="1" applyAlignment="1">
      <alignment horizontal="center" vertical="center"/>
    </xf>
    <xf numFmtId="3" fontId="0" fillId="0" borderId="15" xfId="0" applyNumberFormat="1" applyFont="1" applyBorder="1" applyAlignment="1">
      <alignment horizontal="center" vertical="center"/>
    </xf>
    <xf numFmtId="3" fontId="0" fillId="0" borderId="14" xfId="0" applyNumberFormat="1" applyFont="1" applyBorder="1" applyAlignment="1">
      <alignment horizontal="center" vertical="center"/>
    </xf>
    <xf numFmtId="0" fontId="10" fillId="0" borderId="0" xfId="0" applyFont="1" applyFill="1" applyBorder="1" applyAlignment="1">
      <alignment horizontal="center" vertical="center"/>
    </xf>
    <xf numFmtId="0" fontId="8" fillId="0" borderId="0" xfId="0" applyFont="1" applyFill="1" applyBorder="1" applyAlignment="1">
      <alignment horizontal="center" vertical="center" wrapText="1"/>
    </xf>
    <xf numFmtId="0" fontId="8" fillId="6" borderId="3" xfId="0" applyFont="1" applyFill="1" applyBorder="1" applyAlignment="1">
      <alignment horizontal="center" vertical="center" wrapText="1"/>
    </xf>
    <xf numFmtId="3" fontId="2" fillId="8" borderId="13" xfId="0" applyNumberFormat="1" applyFont="1" applyFill="1" applyBorder="1" applyAlignment="1">
      <alignment horizontal="center" vertical="center"/>
    </xf>
    <xf numFmtId="3" fontId="2" fillId="8" borderId="3" xfId="0" applyNumberFormat="1" applyFont="1" applyFill="1" applyBorder="1" applyAlignment="1">
      <alignment horizontal="left" vertical="center" indent="1"/>
    </xf>
    <xf numFmtId="3" fontId="2" fillId="8" borderId="3" xfId="0" applyNumberFormat="1" applyFont="1" applyFill="1" applyBorder="1" applyAlignment="1">
      <alignment horizontal="left" vertical="center" wrapText="1" indent="1"/>
    </xf>
    <xf numFmtId="0" fontId="8" fillId="0" borderId="0" xfId="0" applyFont="1" applyBorder="1" applyAlignment="1">
      <alignment vertical="center" textRotation="90"/>
    </xf>
    <xf numFmtId="0" fontId="0" fillId="0" borderId="4" xfId="0" applyBorder="1" applyAlignment="1">
      <alignment horizontal="center"/>
    </xf>
    <xf numFmtId="0" fontId="0" fillId="0" borderId="5" xfId="0" applyBorder="1" applyAlignment="1">
      <alignment horizontal="center"/>
    </xf>
    <xf numFmtId="0" fontId="0" fillId="0" borderId="4" xfId="0" applyBorder="1" applyAlignment="1">
      <alignment horizontal="left" indent="1"/>
    </xf>
    <xf numFmtId="0" fontId="0" fillId="0" borderId="5" xfId="0" applyBorder="1" applyAlignment="1">
      <alignment horizontal="left" indent="1"/>
    </xf>
    <xf numFmtId="0" fontId="2" fillId="10" borderId="3" xfId="0" applyFont="1" applyFill="1" applyBorder="1" applyAlignment="1">
      <alignment horizontal="left" indent="1"/>
    </xf>
    <xf numFmtId="0" fontId="2" fillId="10" borderId="3" xfId="0" applyFont="1" applyFill="1" applyBorder="1" applyAlignment="1">
      <alignment horizontal="center"/>
    </xf>
    <xf numFmtId="0" fontId="0" fillId="0" borderId="12" xfId="0" applyBorder="1" applyAlignment="1">
      <alignment horizontal="left" vertical="center" indent="1"/>
    </xf>
    <xf numFmtId="0" fontId="3" fillId="0" borderId="11" xfId="0" applyFont="1" applyBorder="1" applyAlignment="1">
      <alignment horizontal="left" vertical="center" indent="1"/>
    </xf>
    <xf numFmtId="0" fontId="3" fillId="0" borderId="11" xfId="0" quotePrefix="1" applyFont="1" applyBorder="1" applyAlignment="1">
      <alignment horizontal="left" vertical="center" indent="1"/>
    </xf>
    <xf numFmtId="0" fontId="3" fillId="0" borderId="9" xfId="0" applyFont="1" applyBorder="1" applyAlignment="1">
      <alignment horizontal="left" vertical="center" indent="1"/>
    </xf>
    <xf numFmtId="0" fontId="0" fillId="0" borderId="2" xfId="0" applyBorder="1" applyAlignment="1">
      <alignment horizontal="left" vertical="center" indent="1"/>
    </xf>
    <xf numFmtId="0" fontId="0" fillId="0" borderId="10" xfId="0" applyBorder="1" applyAlignment="1">
      <alignment horizontal="left" vertical="center" indent="1"/>
    </xf>
    <xf numFmtId="0" fontId="0" fillId="0" borderId="0" xfId="0" applyFont="1" applyBorder="1" applyAlignment="1">
      <alignment horizontal="left" vertical="center" indent="1"/>
    </xf>
    <xf numFmtId="0" fontId="0" fillId="0" borderId="2" xfId="0" applyFont="1" applyBorder="1" applyAlignment="1">
      <alignment horizontal="left" vertical="center" indent="1"/>
    </xf>
    <xf numFmtId="0" fontId="20" fillId="0" borderId="11" xfId="2" applyFont="1" applyBorder="1" applyAlignment="1">
      <alignment horizontal="left" vertical="center" indent="1"/>
    </xf>
    <xf numFmtId="1" fontId="0" fillId="0" borderId="0" xfId="0" applyNumberFormat="1" applyBorder="1" applyAlignment="1">
      <alignment horizontal="center" vertical="center"/>
    </xf>
    <xf numFmtId="0" fontId="24" fillId="10" borderId="3" xfId="0" applyFont="1" applyFill="1" applyBorder="1" applyAlignment="1">
      <alignment horizontal="center" vertical="center"/>
    </xf>
    <xf numFmtId="0" fontId="0" fillId="7" borderId="3" xfId="0" applyFont="1" applyFill="1" applyBorder="1" applyAlignment="1">
      <alignment horizontal="left" vertical="center" indent="1"/>
    </xf>
    <xf numFmtId="0" fontId="0" fillId="7" borderId="3" xfId="0" applyFont="1" applyFill="1" applyBorder="1" applyAlignment="1">
      <alignment horizontal="left" vertical="center" wrapText="1" indent="1"/>
    </xf>
    <xf numFmtId="0" fontId="0" fillId="7" borderId="3" xfId="0" applyFill="1" applyBorder="1" applyAlignment="1">
      <alignment horizontal="left" vertical="center" wrapText="1" indent="1"/>
    </xf>
    <xf numFmtId="0" fontId="21" fillId="0" borderId="0" xfId="0" applyFont="1" applyFill="1" applyBorder="1"/>
    <xf numFmtId="0" fontId="10" fillId="0" borderId="0" xfId="0" applyFont="1" applyFill="1" applyBorder="1" applyAlignment="1">
      <alignment horizontal="center"/>
    </xf>
    <xf numFmtId="0" fontId="6" fillId="0" borderId="0" xfId="0" quotePrefix="1" applyFont="1" applyBorder="1" applyAlignment="1">
      <alignment horizontal="left" vertical="center" wrapText="1" indent="1"/>
    </xf>
    <xf numFmtId="0" fontId="0" fillId="0" borderId="3" xfId="0" applyBorder="1" applyAlignment="1">
      <alignment horizontal="left" vertical="center" indent="1"/>
    </xf>
    <xf numFmtId="3" fontId="0" fillId="0" borderId="3" xfId="0" applyNumberFormat="1" applyBorder="1" applyAlignment="1">
      <alignment horizontal="center" vertical="center"/>
    </xf>
    <xf numFmtId="164" fontId="0" fillId="0" borderId="3" xfId="1" applyNumberFormat="1" applyFont="1" applyBorder="1" applyAlignment="1">
      <alignment horizontal="center" vertical="center"/>
    </xf>
    <xf numFmtId="9" fontId="0" fillId="0" borderId="3" xfId="1" applyNumberFormat="1" applyFont="1" applyBorder="1" applyAlignment="1">
      <alignment horizontal="center" vertical="center"/>
    </xf>
    <xf numFmtId="0" fontId="0" fillId="0" borderId="3" xfId="0" applyBorder="1" applyAlignment="1">
      <alignment horizontal="center" vertical="center"/>
    </xf>
    <xf numFmtId="10" fontId="0" fillId="0" borderId="3" xfId="0" applyNumberFormat="1" applyBorder="1" applyAlignment="1">
      <alignment horizontal="center" vertical="center"/>
    </xf>
    <xf numFmtId="9" fontId="0" fillId="0" borderId="3" xfId="1" applyFont="1" applyBorder="1" applyAlignment="1">
      <alignment horizontal="center" vertical="center"/>
    </xf>
    <xf numFmtId="9" fontId="1" fillId="0" borderId="3" xfId="1" applyFont="1" applyBorder="1" applyAlignment="1">
      <alignment horizontal="center" vertical="center"/>
    </xf>
    <xf numFmtId="0" fontId="0" fillId="0" borderId="15" xfId="0" applyFont="1" applyBorder="1" applyAlignment="1">
      <alignment horizontal="center" vertical="center"/>
    </xf>
    <xf numFmtId="0" fontId="0" fillId="0" borderId="14" xfId="0" applyFont="1" applyBorder="1" applyAlignment="1">
      <alignment horizontal="center" vertical="center"/>
    </xf>
    <xf numFmtId="1" fontId="0" fillId="0" borderId="15" xfId="0" applyNumberFormat="1" applyBorder="1" applyAlignment="1">
      <alignment horizontal="center" vertical="center"/>
    </xf>
    <xf numFmtId="3" fontId="0" fillId="0" borderId="15" xfId="0" applyNumberFormat="1" applyBorder="1" applyAlignment="1">
      <alignment horizontal="center" vertical="center"/>
    </xf>
    <xf numFmtId="3" fontId="0" fillId="0" borderId="14" xfId="0" applyNumberFormat="1" applyBorder="1" applyAlignment="1">
      <alignment horizontal="center" vertical="center"/>
    </xf>
    <xf numFmtId="9" fontId="0" fillId="0" borderId="15" xfId="1" applyNumberFormat="1" applyFont="1" applyBorder="1" applyAlignment="1">
      <alignment horizontal="center" vertical="center"/>
    </xf>
    <xf numFmtId="10" fontId="0" fillId="0" borderId="15" xfId="1" applyNumberFormat="1" applyFont="1" applyBorder="1" applyAlignment="1">
      <alignment horizontal="center" vertical="center"/>
    </xf>
    <xf numFmtId="164" fontId="0" fillId="0" borderId="15" xfId="1" applyNumberFormat="1" applyFont="1" applyBorder="1" applyAlignment="1">
      <alignment horizontal="center" vertical="center"/>
    </xf>
    <xf numFmtId="9" fontId="0" fillId="0" borderId="14" xfId="1" applyNumberFormat="1" applyFont="1" applyBorder="1" applyAlignment="1">
      <alignment horizontal="center" vertical="center"/>
    </xf>
    <xf numFmtId="9" fontId="0" fillId="0" borderId="15" xfId="1" applyFont="1" applyBorder="1" applyAlignment="1">
      <alignment horizontal="center" vertical="center"/>
    </xf>
    <xf numFmtId="9" fontId="0" fillId="0" borderId="14" xfId="1" applyFont="1" applyBorder="1" applyAlignment="1">
      <alignment horizontal="center" vertical="center"/>
    </xf>
    <xf numFmtId="0" fontId="0" fillId="0" borderId="0" xfId="0" applyBorder="1"/>
    <xf numFmtId="0" fontId="3" fillId="0" borderId="0" xfId="0" applyFont="1" applyBorder="1"/>
    <xf numFmtId="0" fontId="3" fillId="0" borderId="0" xfId="0" applyFont="1" applyBorder="1" applyAlignment="1">
      <alignment horizontal="center"/>
    </xf>
    <xf numFmtId="164" fontId="3" fillId="0" borderId="0" xfId="0" applyNumberFormat="1" applyFont="1" applyBorder="1" applyAlignment="1">
      <alignment horizontal="center"/>
    </xf>
    <xf numFmtId="3" fontId="0" fillId="3" borderId="0" xfId="0" applyNumberFormat="1" applyFill="1" applyBorder="1" applyAlignment="1">
      <alignment horizontal="center"/>
    </xf>
    <xf numFmtId="164" fontId="0" fillId="0" borderId="0" xfId="1" applyNumberFormat="1" applyFont="1" applyBorder="1" applyAlignment="1">
      <alignment horizontal="center"/>
    </xf>
    <xf numFmtId="9" fontId="0" fillId="0" borderId="0" xfId="1" applyFont="1" applyBorder="1" applyAlignment="1">
      <alignment horizontal="center"/>
    </xf>
    <xf numFmtId="0" fontId="22" fillId="0" borderId="0" xfId="0" applyFont="1" applyBorder="1" applyAlignment="1">
      <alignment horizontal="left" vertical="center" indent="1"/>
    </xf>
    <xf numFmtId="10" fontId="0" fillId="0" borderId="0" xfId="1" applyNumberFormat="1" applyFont="1" applyBorder="1" applyAlignment="1">
      <alignment horizontal="center"/>
    </xf>
    <xf numFmtId="164" fontId="0" fillId="0" borderId="0" xfId="0" applyNumberFormat="1" applyBorder="1"/>
    <xf numFmtId="0" fontId="0" fillId="0" borderId="0" xfId="0" applyBorder="1" applyAlignment="1">
      <alignment horizontal="left" indent="1"/>
    </xf>
    <xf numFmtId="0" fontId="0" fillId="0" borderId="0" xfId="0" applyFill="1" applyBorder="1" applyAlignment="1">
      <alignment horizontal="center"/>
    </xf>
    <xf numFmtId="0" fontId="0" fillId="0" borderId="0" xfId="0" applyFill="1" applyBorder="1" applyAlignment="1">
      <alignment horizontal="left" indent="2"/>
    </xf>
    <xf numFmtId="165" fontId="0" fillId="0" borderId="0" xfId="0" applyNumberFormat="1" applyBorder="1" applyAlignment="1">
      <alignment horizontal="center"/>
    </xf>
    <xf numFmtId="0" fontId="13" fillId="0" borderId="0" xfId="0" applyFont="1" applyBorder="1" applyAlignment="1">
      <alignment horizontal="left" vertical="center" indent="1"/>
    </xf>
    <xf numFmtId="0" fontId="0" fillId="0" borderId="0" xfId="0" applyFont="1" applyFill="1" applyBorder="1" applyAlignment="1">
      <alignment horizontal="left" vertical="center" wrapText="1" indent="1"/>
    </xf>
    <xf numFmtId="0" fontId="10" fillId="0" borderId="0" xfId="0" applyFont="1" applyBorder="1" applyAlignment="1">
      <alignment horizontal="center"/>
    </xf>
    <xf numFmtId="3" fontId="2" fillId="8" borderId="15" xfId="0" applyNumberFormat="1" applyFont="1" applyFill="1" applyBorder="1" applyAlignment="1">
      <alignment horizontal="left" vertical="center" indent="1"/>
    </xf>
    <xf numFmtId="3" fontId="2" fillId="8" borderId="15" xfId="0" applyNumberFormat="1" applyFont="1" applyFill="1" applyBorder="1" applyAlignment="1">
      <alignment horizontal="center" vertical="center"/>
    </xf>
    <xf numFmtId="3" fontId="2" fillId="8" borderId="14" xfId="0" applyNumberFormat="1" applyFont="1" applyFill="1" applyBorder="1" applyAlignment="1">
      <alignment horizontal="center" vertical="center"/>
    </xf>
    <xf numFmtId="0" fontId="2" fillId="8" borderId="13" xfId="0" applyFont="1" applyFill="1" applyBorder="1" applyAlignment="1">
      <alignment horizontal="left" vertical="center" indent="1"/>
    </xf>
    <xf numFmtId="0" fontId="2" fillId="8" borderId="15" xfId="0" applyFont="1" applyFill="1" applyBorder="1" applyAlignment="1">
      <alignment horizontal="center" vertical="center"/>
    </xf>
    <xf numFmtId="0" fontId="2" fillId="8" borderId="14" xfId="0" applyFont="1" applyFill="1" applyBorder="1" applyAlignment="1">
      <alignment horizontal="center" vertical="center"/>
    </xf>
    <xf numFmtId="0" fontId="2" fillId="2" borderId="13" xfId="0" applyFont="1" applyFill="1" applyBorder="1" applyAlignment="1">
      <alignment horizontal="left" vertical="center" indent="1"/>
    </xf>
    <xf numFmtId="0" fontId="2" fillId="2" borderId="15" xfId="0" applyFont="1" applyFill="1" applyBorder="1" applyAlignment="1">
      <alignment horizontal="center" vertical="center"/>
    </xf>
    <xf numFmtId="0" fontId="2" fillId="2" borderId="14" xfId="0" applyFont="1" applyFill="1" applyBorder="1" applyAlignment="1">
      <alignment horizontal="center" vertical="center"/>
    </xf>
    <xf numFmtId="10" fontId="0" fillId="0" borderId="3" xfId="1" applyNumberFormat="1" applyFont="1" applyBorder="1" applyAlignment="1">
      <alignment horizontal="center" vertical="center"/>
    </xf>
    <xf numFmtId="3" fontId="0" fillId="0" borderId="13" xfId="0" applyNumberFormat="1" applyFont="1" applyFill="1" applyBorder="1" applyAlignment="1">
      <alignment horizontal="center" vertical="center"/>
    </xf>
    <xf numFmtId="0" fontId="12" fillId="0" borderId="0" xfId="0" applyFont="1" applyFill="1" applyBorder="1" applyAlignment="1">
      <alignment horizontal="center" vertical="center" textRotation="90" wrapText="1"/>
    </xf>
    <xf numFmtId="0" fontId="13" fillId="0" borderId="13" xfId="0" applyFont="1" applyBorder="1" applyAlignment="1">
      <alignment horizontal="left" vertical="center" indent="1"/>
    </xf>
    <xf numFmtId="0" fontId="0" fillId="0" borderId="15" xfId="0" applyBorder="1" applyAlignment="1">
      <alignment horizontal="center" vertical="center"/>
    </xf>
    <xf numFmtId="0" fontId="0" fillId="0" borderId="14" xfId="0" applyBorder="1" applyAlignment="1">
      <alignment horizontal="center" vertical="center"/>
    </xf>
    <xf numFmtId="3" fontId="0" fillId="0" borderId="13" xfId="0" applyNumberFormat="1" applyFont="1" applyBorder="1" applyAlignment="1">
      <alignment horizontal="center" vertical="center"/>
    </xf>
    <xf numFmtId="3" fontId="0" fillId="0" borderId="3" xfId="0" applyNumberFormat="1" applyFill="1" applyBorder="1" applyAlignment="1">
      <alignment horizontal="center" vertical="center"/>
    </xf>
    <xf numFmtId="0" fontId="6" fillId="0" borderId="7" xfId="0" quotePrefix="1" applyFont="1" applyBorder="1" applyAlignment="1">
      <alignment horizontal="left" vertical="center" wrapText="1" indent="1"/>
    </xf>
    <xf numFmtId="0" fontId="6" fillId="0" borderId="1" xfId="0" quotePrefix="1" applyFont="1" applyBorder="1" applyAlignment="1">
      <alignment horizontal="left" vertical="center" wrapText="1" indent="1"/>
    </xf>
    <xf numFmtId="0" fontId="6" fillId="0" borderId="8" xfId="0" quotePrefix="1" applyFont="1" applyBorder="1" applyAlignment="1">
      <alignment horizontal="left" vertical="center" wrapText="1" indent="1"/>
    </xf>
    <xf numFmtId="0" fontId="6" fillId="0" borderId="11" xfId="0" quotePrefix="1" applyFont="1" applyBorder="1" applyAlignment="1">
      <alignment horizontal="left" vertical="center" wrapText="1" indent="1"/>
    </xf>
    <xf numFmtId="0" fontId="6" fillId="0" borderId="0" xfId="0" quotePrefix="1" applyFont="1" applyBorder="1" applyAlignment="1">
      <alignment horizontal="left" vertical="center" wrapText="1" indent="1"/>
    </xf>
    <xf numFmtId="0" fontId="6" fillId="0" borderId="12" xfId="0" quotePrefix="1" applyFont="1" applyBorder="1" applyAlignment="1">
      <alignment horizontal="left" vertical="center" wrapText="1" indent="1"/>
    </xf>
    <xf numFmtId="0" fontId="6" fillId="0" borderId="9" xfId="0" quotePrefix="1" applyFont="1" applyBorder="1" applyAlignment="1">
      <alignment horizontal="left" vertical="center" wrapText="1" indent="1"/>
    </xf>
    <xf numFmtId="0" fontId="6" fillId="0" borderId="2" xfId="0" quotePrefix="1" applyFont="1" applyBorder="1" applyAlignment="1">
      <alignment horizontal="left" vertical="center" wrapText="1" indent="1"/>
    </xf>
    <xf numFmtId="0" fontId="6" fillId="0" borderId="10" xfId="0" quotePrefix="1" applyFont="1" applyBorder="1" applyAlignment="1">
      <alignment horizontal="left" vertical="center" wrapText="1" indent="1"/>
    </xf>
    <xf numFmtId="0" fontId="24" fillId="10" borderId="3" xfId="0" applyFont="1" applyFill="1" applyBorder="1" applyAlignment="1">
      <alignment horizontal="center" vertical="center" textRotation="90"/>
    </xf>
    <xf numFmtId="0" fontId="24" fillId="10" borderId="3" xfId="0" applyFont="1" applyFill="1" applyBorder="1" applyAlignment="1">
      <alignment horizontal="center" vertical="center" textRotation="90" wrapText="1"/>
    </xf>
    <xf numFmtId="0" fontId="7" fillId="4" borderId="3" xfId="0" applyFont="1" applyFill="1" applyBorder="1" applyAlignment="1">
      <alignment horizontal="center" vertical="center" textRotation="90" wrapText="1"/>
    </xf>
    <xf numFmtId="0" fontId="7" fillId="3" borderId="3" xfId="0" applyFont="1" applyFill="1" applyBorder="1" applyAlignment="1">
      <alignment horizontal="center" vertical="center" textRotation="90" wrapText="1"/>
    </xf>
    <xf numFmtId="0" fontId="11" fillId="9" borderId="3" xfId="0" applyFont="1" applyFill="1" applyBorder="1" applyAlignment="1">
      <alignment horizontal="center" vertical="center" textRotation="90" wrapText="1"/>
    </xf>
    <xf numFmtId="0" fontId="11" fillId="7" borderId="6" xfId="0" applyFont="1" applyFill="1" applyBorder="1" applyAlignment="1">
      <alignment horizontal="center" vertical="center" textRotation="90" wrapText="1"/>
    </xf>
    <xf numFmtId="0" fontId="11" fillId="7" borderId="4" xfId="0" applyFont="1" applyFill="1" applyBorder="1" applyAlignment="1">
      <alignment horizontal="center" vertical="center" textRotation="90" wrapText="1"/>
    </xf>
    <xf numFmtId="0" fontId="11" fillId="7" borderId="5" xfId="0" applyFont="1" applyFill="1" applyBorder="1" applyAlignment="1">
      <alignment horizontal="center" vertical="center" textRotation="90" wrapText="1"/>
    </xf>
    <xf numFmtId="0" fontId="8" fillId="6" borderId="6" xfId="0" applyFont="1" applyFill="1" applyBorder="1" applyAlignment="1">
      <alignment horizontal="center" vertical="center" textRotation="90" wrapText="1"/>
    </xf>
    <xf numFmtId="0" fontId="8" fillId="6" borderId="4" xfId="0" applyFont="1" applyFill="1" applyBorder="1" applyAlignment="1">
      <alignment horizontal="center" vertical="center" textRotation="90" wrapText="1"/>
    </xf>
    <xf numFmtId="0" fontId="8" fillId="6" borderId="5" xfId="0" applyFont="1" applyFill="1" applyBorder="1" applyAlignment="1">
      <alignment horizontal="center" vertical="center" textRotation="90" wrapText="1"/>
    </xf>
    <xf numFmtId="0" fontId="12" fillId="5" borderId="6" xfId="0" applyFont="1" applyFill="1" applyBorder="1" applyAlignment="1">
      <alignment horizontal="center" vertical="center" textRotation="90" wrapText="1"/>
    </xf>
    <xf numFmtId="0" fontId="12" fillId="5" borderId="4" xfId="0" applyFont="1" applyFill="1" applyBorder="1" applyAlignment="1">
      <alignment horizontal="center" vertical="center" textRotation="90" wrapText="1"/>
    </xf>
    <xf numFmtId="0" fontId="12" fillId="5" borderId="5" xfId="0" applyFont="1" applyFill="1" applyBorder="1" applyAlignment="1">
      <alignment horizontal="center" vertical="center" textRotation="90" wrapText="1"/>
    </xf>
    <xf numFmtId="3" fontId="2" fillId="10" borderId="13" xfId="0" applyNumberFormat="1" applyFont="1" applyFill="1" applyBorder="1" applyAlignment="1">
      <alignment horizontal="center" vertical="center"/>
    </xf>
    <xf numFmtId="3" fontId="2" fillId="10" borderId="15" xfId="0" applyNumberFormat="1" applyFont="1" applyFill="1" applyBorder="1" applyAlignment="1">
      <alignment horizontal="center" vertical="center"/>
    </xf>
    <xf numFmtId="3" fontId="2" fillId="10" borderId="14" xfId="0" applyNumberFormat="1" applyFont="1" applyFill="1" applyBorder="1" applyAlignment="1">
      <alignment horizontal="center" vertical="center"/>
    </xf>
    <xf numFmtId="0" fontId="0" fillId="0" borderId="13" xfId="0" applyBorder="1" applyAlignment="1">
      <alignment horizontal="left" vertical="center" wrapText="1" indent="1"/>
    </xf>
    <xf numFmtId="0" fontId="0" fillId="0" borderId="15" xfId="0" applyBorder="1" applyAlignment="1">
      <alignment horizontal="left" vertical="center" wrapText="1" indent="1"/>
    </xf>
    <xf numFmtId="0" fontId="0" fillId="0" borderId="14" xfId="0" applyBorder="1" applyAlignment="1">
      <alignment horizontal="left" vertical="center" wrapText="1" indent="1"/>
    </xf>
    <xf numFmtId="0" fontId="2" fillId="10" borderId="13" xfId="0" applyFont="1" applyFill="1" applyBorder="1" applyAlignment="1">
      <alignment horizontal="left" vertical="center" indent="1"/>
    </xf>
    <xf numFmtId="0" fontId="2" fillId="10" borderId="15" xfId="0" applyFont="1" applyFill="1" applyBorder="1" applyAlignment="1">
      <alignment horizontal="left" vertical="center" indent="1"/>
    </xf>
    <xf numFmtId="0" fontId="2" fillId="10" borderId="14" xfId="0" applyFont="1" applyFill="1" applyBorder="1" applyAlignment="1">
      <alignment horizontal="left" vertical="center" indent="1"/>
    </xf>
    <xf numFmtId="0" fontId="0" fillId="0" borderId="13" xfId="0" applyFont="1" applyBorder="1" applyAlignment="1">
      <alignment horizontal="left" vertical="center" wrapText="1" indent="1"/>
    </xf>
    <xf numFmtId="0" fontId="0" fillId="0" borderId="15" xfId="0" applyFont="1" applyBorder="1" applyAlignment="1">
      <alignment horizontal="left" vertical="center" wrapText="1" indent="1"/>
    </xf>
    <xf numFmtId="0" fontId="0" fillId="0" borderId="14" xfId="0" applyFont="1" applyBorder="1" applyAlignment="1">
      <alignment horizontal="left" vertical="center" wrapText="1" indent="1"/>
    </xf>
    <xf numFmtId="0" fontId="21" fillId="10" borderId="13" xfId="0" applyFont="1" applyFill="1" applyBorder="1" applyAlignment="1">
      <alignment horizontal="center" vertical="center"/>
    </xf>
    <xf numFmtId="0" fontId="21" fillId="10" borderId="15" xfId="0" applyFont="1" applyFill="1" applyBorder="1" applyAlignment="1">
      <alignment horizontal="center" vertical="center"/>
    </xf>
    <xf numFmtId="0" fontId="21" fillId="10" borderId="14" xfId="0" applyFont="1" applyFill="1" applyBorder="1" applyAlignment="1">
      <alignment horizontal="center" vertical="center"/>
    </xf>
    <xf numFmtId="0" fontId="25" fillId="11" borderId="13" xfId="0" applyFont="1" applyFill="1" applyBorder="1" applyAlignment="1">
      <alignment horizontal="center" vertical="center"/>
    </xf>
    <xf numFmtId="0" fontId="25" fillId="11" borderId="15" xfId="0" applyFont="1" applyFill="1" applyBorder="1" applyAlignment="1">
      <alignment horizontal="center" vertical="center"/>
    </xf>
    <xf numFmtId="0" fontId="25" fillId="11" borderId="14" xfId="0" applyFont="1" applyFill="1" applyBorder="1" applyAlignment="1">
      <alignment horizontal="center" vertical="center"/>
    </xf>
    <xf numFmtId="0" fontId="0" fillId="0" borderId="15" xfId="0" applyFont="1" applyFill="1" applyBorder="1" applyAlignment="1">
      <alignment horizontal="left" vertical="center" indent="1"/>
    </xf>
    <xf numFmtId="0" fontId="0" fillId="0" borderId="3" xfId="0" applyNumberFormat="1" applyFont="1" applyFill="1" applyBorder="1" applyAlignment="1">
      <alignment horizontal="left" vertical="center" wrapText="1" indent="1"/>
    </xf>
    <xf numFmtId="0" fontId="25" fillId="0" borderId="0" xfId="0" applyFont="1" applyBorder="1"/>
    <xf numFmtId="0" fontId="16" fillId="0" borderId="0" xfId="0" applyFont="1" applyBorder="1"/>
    <xf numFmtId="0" fontId="26" fillId="0" borderId="0" xfId="0" quotePrefix="1" applyFont="1" applyBorder="1"/>
    <xf numFmtId="0" fontId="7" fillId="0" borderId="0" xfId="0" applyFont="1" applyBorder="1" applyAlignment="1">
      <alignment horizontal="center"/>
    </xf>
    <xf numFmtId="0" fontId="6" fillId="0" borderId="0" xfId="0" applyFont="1" applyBorder="1"/>
    <xf numFmtId="10" fontId="7" fillId="0" borderId="0" xfId="0" applyNumberFormat="1" applyFont="1" applyBorder="1" applyAlignment="1">
      <alignment horizontal="center"/>
    </xf>
    <xf numFmtId="10" fontId="6" fillId="0" borderId="0" xfId="0" applyNumberFormat="1" applyFont="1" applyBorder="1" applyAlignment="1">
      <alignment horizontal="center"/>
    </xf>
    <xf numFmtId="10" fontId="6" fillId="0" borderId="0" xfId="0" applyNumberFormat="1" applyFont="1" applyBorder="1"/>
    <xf numFmtId="0" fontId="14" fillId="0" borderId="0" xfId="0" applyFont="1" applyFill="1" applyBorder="1" applyAlignment="1">
      <alignment horizontal="left" vertical="center" wrapText="1" indent="1"/>
    </xf>
    <xf numFmtId="0" fontId="0" fillId="0" borderId="14" xfId="0" applyFont="1" applyFill="1" applyBorder="1" applyAlignment="1">
      <alignment horizontal="left" vertical="center" indent="1"/>
    </xf>
    <xf numFmtId="0" fontId="0" fillId="0" borderId="14" xfId="0" applyNumberFormat="1" applyFont="1" applyFill="1" applyBorder="1" applyAlignment="1">
      <alignment horizontal="left" vertical="center" indent="1"/>
    </xf>
    <xf numFmtId="0" fontId="0" fillId="0" borderId="14" xfId="0" applyFont="1" applyFill="1" applyBorder="1" applyAlignment="1">
      <alignment horizontal="left" vertical="center" wrapText="1" indent="1"/>
    </xf>
    <xf numFmtId="0" fontId="0" fillId="0" borderId="8" xfId="0" applyNumberFormat="1" applyFont="1" applyFill="1" applyBorder="1" applyAlignment="1">
      <alignment horizontal="left" vertical="center" indent="1"/>
    </xf>
    <xf numFmtId="0" fontId="0" fillId="0" borderId="14" xfId="0" applyNumberFormat="1" applyFont="1" applyFill="1" applyBorder="1" applyAlignment="1">
      <alignment horizontal="left" vertical="center" wrapText="1" indent="1"/>
    </xf>
    <xf numFmtId="0" fontId="10" fillId="12" borderId="3" xfId="0" applyFont="1" applyFill="1" applyBorder="1" applyAlignment="1">
      <alignment horizontal="left" vertical="center" indent="1"/>
    </xf>
    <xf numFmtId="3" fontId="0" fillId="0" borderId="14" xfId="0" applyNumberFormat="1" applyFill="1" applyBorder="1" applyAlignment="1">
      <alignment horizontal="center" vertical="center"/>
    </xf>
    <xf numFmtId="0" fontId="10" fillId="12" borderId="14" xfId="0" applyNumberFormat="1" applyFont="1" applyFill="1" applyBorder="1" applyAlignment="1">
      <alignment horizontal="left" vertical="center" wrapText="1" indent="1"/>
    </xf>
    <xf numFmtId="0" fontId="10" fillId="12" borderId="14" xfId="0" applyFont="1" applyFill="1" applyBorder="1" applyAlignment="1">
      <alignment horizontal="left" vertical="center" wrapText="1" indent="1"/>
    </xf>
    <xf numFmtId="0" fontId="10" fillId="12" borderId="14" xfId="0" applyNumberFormat="1" applyFont="1" applyFill="1" applyBorder="1" applyAlignment="1">
      <alignment horizontal="left" vertical="center" indent="1"/>
    </xf>
    <xf numFmtId="3" fontId="0" fillId="3" borderId="15" xfId="0" applyNumberFormat="1" applyFont="1" applyFill="1" applyBorder="1" applyAlignment="1">
      <alignment horizontal="center" vertical="center"/>
    </xf>
    <xf numFmtId="3" fontId="0" fillId="3" borderId="14" xfId="0" applyNumberFormat="1" applyFont="1" applyFill="1" applyBorder="1" applyAlignment="1">
      <alignment horizontal="center" vertical="center"/>
    </xf>
    <xf numFmtId="3" fontId="0" fillId="3" borderId="0" xfId="0" applyNumberFormat="1" applyFont="1" applyFill="1" applyBorder="1" applyAlignment="1">
      <alignment horizontal="center" vertical="center"/>
    </xf>
    <xf numFmtId="3" fontId="0" fillId="3" borderId="12" xfId="0" applyNumberFormat="1" applyFont="1" applyFill="1" applyBorder="1" applyAlignment="1">
      <alignment horizontal="center" vertical="center"/>
    </xf>
    <xf numFmtId="0" fontId="7" fillId="13" borderId="6" xfId="0" applyFont="1" applyFill="1" applyBorder="1" applyAlignment="1">
      <alignment horizontal="center" vertical="center" textRotation="90" wrapText="1"/>
    </xf>
    <xf numFmtId="0" fontId="7" fillId="13" borderId="4" xfId="0" applyFont="1" applyFill="1" applyBorder="1" applyAlignment="1">
      <alignment horizontal="center" vertical="center" textRotation="90" wrapText="1"/>
    </xf>
    <xf numFmtId="0" fontId="7" fillId="13" borderId="5" xfId="0" applyFont="1" applyFill="1" applyBorder="1" applyAlignment="1">
      <alignment horizontal="center" vertical="center" textRotation="90" wrapText="1"/>
    </xf>
    <xf numFmtId="0" fontId="11" fillId="14" borderId="6" xfId="0" applyFont="1" applyFill="1" applyBorder="1" applyAlignment="1">
      <alignment horizontal="center" vertical="center" textRotation="90" wrapText="1"/>
    </xf>
    <xf numFmtId="0" fontId="11" fillId="14" borderId="4" xfId="0" applyFont="1" applyFill="1" applyBorder="1" applyAlignment="1">
      <alignment horizontal="center" vertical="center" textRotation="90" wrapText="1"/>
    </xf>
    <xf numFmtId="0" fontId="11" fillId="14" borderId="5" xfId="0" applyFont="1" applyFill="1" applyBorder="1" applyAlignment="1">
      <alignment horizontal="center" vertical="center" textRotation="90" wrapText="1"/>
    </xf>
    <xf numFmtId="3" fontId="0" fillId="3" borderId="13" xfId="0" applyNumberFormat="1" applyFont="1" applyFill="1" applyBorder="1" applyAlignment="1">
      <alignment horizontal="center" vertical="center"/>
    </xf>
    <xf numFmtId="164" fontId="0" fillId="3" borderId="2" xfId="1" applyNumberFormat="1" applyFont="1" applyFill="1" applyBorder="1" applyAlignment="1">
      <alignment horizontal="center" vertical="center"/>
    </xf>
    <xf numFmtId="164" fontId="0" fillId="3" borderId="10" xfId="1" applyNumberFormat="1" applyFont="1" applyFill="1" applyBorder="1" applyAlignment="1">
      <alignment horizontal="center" vertical="center"/>
    </xf>
    <xf numFmtId="164" fontId="0" fillId="3" borderId="0" xfId="0" applyNumberFormat="1" applyFont="1" applyFill="1" applyBorder="1" applyAlignment="1">
      <alignment horizontal="center" vertical="center"/>
    </xf>
    <xf numFmtId="164" fontId="0" fillId="3" borderId="0" xfId="1" applyNumberFormat="1" applyFont="1" applyFill="1" applyBorder="1" applyAlignment="1">
      <alignment horizontal="center" vertical="center"/>
    </xf>
    <xf numFmtId="164" fontId="0" fillId="3" borderId="12" xfId="1" applyNumberFormat="1" applyFont="1" applyFill="1" applyBorder="1" applyAlignment="1">
      <alignment horizontal="center" vertical="center"/>
    </xf>
    <xf numFmtId="0" fontId="7" fillId="4" borderId="6" xfId="0" applyFont="1" applyFill="1" applyBorder="1" applyAlignment="1">
      <alignment horizontal="center" vertical="center" textRotation="90" wrapText="1"/>
    </xf>
    <xf numFmtId="0" fontId="7" fillId="4" borderId="4" xfId="0" applyFont="1" applyFill="1" applyBorder="1" applyAlignment="1">
      <alignment horizontal="center" vertical="center" textRotation="90" wrapText="1"/>
    </xf>
    <xf numFmtId="0" fontId="7" fillId="4" borderId="5" xfId="0" applyFont="1" applyFill="1" applyBorder="1" applyAlignment="1">
      <alignment horizontal="center" vertical="center" textRotation="90" wrapText="1"/>
    </xf>
    <xf numFmtId="164" fontId="0" fillId="3" borderId="15" xfId="1" applyNumberFormat="1" applyFont="1" applyFill="1" applyBorder="1" applyAlignment="1">
      <alignment horizontal="center" vertical="center"/>
    </xf>
    <xf numFmtId="164" fontId="0" fillId="3" borderId="14" xfId="1" applyNumberFormat="1" applyFont="1" applyFill="1" applyBorder="1" applyAlignment="1">
      <alignment horizontal="center" vertical="center"/>
    </xf>
    <xf numFmtId="0" fontId="10" fillId="12" borderId="10" xfId="0" applyFont="1" applyFill="1" applyBorder="1" applyAlignment="1">
      <alignment horizontal="left" vertical="center" indent="1"/>
    </xf>
    <xf numFmtId="0" fontId="10" fillId="12" borderId="14" xfId="0" applyFont="1" applyFill="1" applyBorder="1" applyAlignment="1">
      <alignment horizontal="left" vertical="center" indent="1"/>
    </xf>
    <xf numFmtId="0" fontId="10" fillId="12" borderId="3" xfId="0" applyFont="1" applyFill="1" applyBorder="1" applyAlignment="1">
      <alignment horizontal="left" vertical="center" wrapText="1" indent="1"/>
    </xf>
    <xf numFmtId="164" fontId="0" fillId="3" borderId="13" xfId="1" applyNumberFormat="1" applyFont="1" applyFill="1" applyBorder="1" applyAlignment="1">
      <alignment horizontal="center" vertical="center"/>
    </xf>
    <xf numFmtId="0" fontId="0" fillId="0" borderId="0" xfId="0" applyFill="1" applyBorder="1" applyAlignment="1">
      <alignment horizontal="left" indent="1"/>
    </xf>
    <xf numFmtId="0" fontId="10" fillId="12" borderId="15" xfId="0" applyNumberFormat="1" applyFont="1" applyFill="1" applyBorder="1" applyAlignment="1">
      <alignment horizontal="left" vertical="center" wrapText="1" indent="1"/>
    </xf>
    <xf numFmtId="3" fontId="0" fillId="3" borderId="7" xfId="0" applyNumberFormat="1" applyFont="1" applyFill="1" applyBorder="1" applyAlignment="1">
      <alignment horizontal="center" vertical="center"/>
    </xf>
    <xf numFmtId="3" fontId="0" fillId="3" borderId="1" xfId="0" applyNumberFormat="1" applyFont="1" applyFill="1" applyBorder="1" applyAlignment="1">
      <alignment horizontal="center" vertical="center"/>
    </xf>
    <xf numFmtId="3" fontId="0" fillId="3" borderId="8" xfId="0" applyNumberFormat="1" applyFont="1" applyFill="1" applyBorder="1" applyAlignment="1">
      <alignment horizontal="center" vertical="center"/>
    </xf>
    <xf numFmtId="3" fontId="0" fillId="3" borderId="2" xfId="0" applyNumberFormat="1" applyFill="1" applyBorder="1" applyAlignment="1">
      <alignment horizontal="center" vertical="center"/>
    </xf>
    <xf numFmtId="3" fontId="0" fillId="3" borderId="10" xfId="0" applyNumberFormat="1" applyFill="1" applyBorder="1" applyAlignment="1">
      <alignment horizontal="center" vertical="center"/>
    </xf>
    <xf numFmtId="0" fontId="24" fillId="12" borderId="3" xfId="0" applyFont="1" applyFill="1" applyBorder="1" applyAlignment="1">
      <alignment horizontal="center" vertical="center"/>
    </xf>
  </cellXfs>
  <cellStyles count="3">
    <cellStyle name="Lien hypertexte" xfId="2" builtinId="8"/>
    <cellStyle name="Normal" xfId="0" builtinId="0"/>
    <cellStyle name="Pourcentage" xfId="1" builtinId="5"/>
  </cellStyles>
  <dxfs count="0"/>
  <tableStyles count="0" defaultTableStyle="TableStyleMedium2" defaultPivotStyle="PivotStyleLight16"/>
  <colors>
    <mruColors>
      <color rgb="FF007B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compta-facile.com/charge-ou-immobilisation/"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A700F-1115-4004-A89E-8350BF132DDA}">
  <dimension ref="A1:AL208"/>
  <sheetViews>
    <sheetView showGridLines="0" tabSelected="1" zoomScale="55" zoomScaleNormal="55" zoomScalePageLayoutView="55" workbookViewId="0">
      <pane xSplit="7" ySplit="10" topLeftCell="H164" activePane="bottomRight" state="frozen"/>
      <selection activeCell="H76" sqref="H76"/>
      <selection pane="topRight" activeCell="H76" sqref="H76"/>
      <selection pane="bottomLeft" activeCell="H76" sqref="H76"/>
      <selection pane="bottomRight" activeCell="Q1" sqref="Q1:Q1048576"/>
    </sheetView>
  </sheetViews>
  <sheetFormatPr baseColWidth="10" defaultRowHeight="15" x14ac:dyDescent="0.25"/>
  <cols>
    <col min="1" max="1" width="6.140625" style="103" customWidth="1"/>
    <col min="2" max="2" width="26" style="113" customWidth="1"/>
    <col min="3" max="4" width="14" style="29" customWidth="1"/>
    <col min="5" max="5" width="5.85546875" style="114" customWidth="1"/>
    <col min="6" max="6" width="13.85546875" style="119" customWidth="1"/>
    <col min="7" max="7" width="62.42578125" style="115" customWidth="1"/>
    <col min="8" max="8" width="13.42578125" style="1" customWidth="1"/>
    <col min="9" max="17" width="12.140625" style="1" customWidth="1"/>
    <col min="18" max="37" width="12.140625" style="29" customWidth="1"/>
    <col min="38" max="16384" width="11.42578125" style="29"/>
  </cols>
  <sheetData>
    <row r="1" spans="1:37" ht="15" hidden="1" customHeight="1" x14ac:dyDescent="0.25">
      <c r="F1" s="29"/>
      <c r="H1" s="1">
        <v>1</v>
      </c>
      <c r="I1" s="1">
        <v>13</v>
      </c>
      <c r="J1" s="1">
        <v>25</v>
      </c>
      <c r="K1" s="1">
        <v>37</v>
      </c>
      <c r="L1" s="1">
        <v>49</v>
      </c>
      <c r="M1" s="1">
        <v>61</v>
      </c>
      <c r="N1" s="1">
        <v>73</v>
      </c>
      <c r="O1" s="1">
        <v>85</v>
      </c>
      <c r="P1" s="1">
        <v>97</v>
      </c>
      <c r="Q1" s="1">
        <v>109</v>
      </c>
      <c r="R1" s="1">
        <v>121</v>
      </c>
      <c r="S1" s="2">
        <v>133</v>
      </c>
      <c r="T1" s="2">
        <v>145</v>
      </c>
      <c r="U1" s="2">
        <v>157</v>
      </c>
      <c r="V1" s="2">
        <f>U1+12</f>
        <v>169</v>
      </c>
      <c r="W1" s="2">
        <f t="shared" ref="W1:AK1" si="0">V1+12</f>
        <v>181</v>
      </c>
      <c r="X1" s="2">
        <f t="shared" si="0"/>
        <v>193</v>
      </c>
      <c r="Y1" s="2">
        <f t="shared" si="0"/>
        <v>205</v>
      </c>
      <c r="Z1" s="2">
        <f t="shared" si="0"/>
        <v>217</v>
      </c>
      <c r="AA1" s="2">
        <f t="shared" si="0"/>
        <v>229</v>
      </c>
      <c r="AB1" s="2">
        <f t="shared" si="0"/>
        <v>241</v>
      </c>
      <c r="AC1" s="2">
        <f t="shared" si="0"/>
        <v>253</v>
      </c>
      <c r="AD1" s="2">
        <f t="shared" si="0"/>
        <v>265</v>
      </c>
      <c r="AE1" s="2">
        <f t="shared" si="0"/>
        <v>277</v>
      </c>
      <c r="AF1" s="2">
        <f t="shared" si="0"/>
        <v>289</v>
      </c>
      <c r="AG1" s="2">
        <f t="shared" si="0"/>
        <v>301</v>
      </c>
      <c r="AH1" s="2">
        <f t="shared" si="0"/>
        <v>313</v>
      </c>
      <c r="AI1" s="2">
        <f t="shared" si="0"/>
        <v>325</v>
      </c>
      <c r="AJ1" s="2">
        <f t="shared" si="0"/>
        <v>337</v>
      </c>
      <c r="AK1" s="2">
        <f t="shared" si="0"/>
        <v>349</v>
      </c>
    </row>
    <row r="2" spans="1:37" ht="15" hidden="1" customHeight="1" x14ac:dyDescent="0.25">
      <c r="F2" s="29"/>
      <c r="H2" s="1">
        <v>12</v>
      </c>
      <c r="I2" s="1">
        <v>24</v>
      </c>
      <c r="J2" s="1">
        <v>36</v>
      </c>
      <c r="K2" s="1">
        <v>48</v>
      </c>
      <c r="L2" s="1">
        <v>60</v>
      </c>
      <c r="M2" s="1">
        <v>72</v>
      </c>
      <c r="N2" s="1">
        <v>84</v>
      </c>
      <c r="O2" s="1">
        <v>96</v>
      </c>
      <c r="P2" s="1">
        <v>108</v>
      </c>
      <c r="Q2" s="1">
        <v>120</v>
      </c>
      <c r="R2" s="1">
        <f>Q2+12</f>
        <v>132</v>
      </c>
      <c r="S2" s="1">
        <f>R2+12</f>
        <v>144</v>
      </c>
      <c r="T2" s="1">
        <f>S2+12</f>
        <v>156</v>
      </c>
      <c r="U2" s="1">
        <f>T2+12</f>
        <v>168</v>
      </c>
      <c r="V2" s="2">
        <f>U2+12</f>
        <v>180</v>
      </c>
      <c r="W2" s="2">
        <f t="shared" ref="W2:AK2" si="1">V2+12</f>
        <v>192</v>
      </c>
      <c r="X2" s="2">
        <f t="shared" si="1"/>
        <v>204</v>
      </c>
      <c r="Y2" s="2">
        <f t="shared" si="1"/>
        <v>216</v>
      </c>
      <c r="Z2" s="2">
        <f t="shared" si="1"/>
        <v>228</v>
      </c>
      <c r="AA2" s="2">
        <f t="shared" si="1"/>
        <v>240</v>
      </c>
      <c r="AB2" s="2">
        <f t="shared" si="1"/>
        <v>252</v>
      </c>
      <c r="AC2" s="2">
        <f t="shared" si="1"/>
        <v>264</v>
      </c>
      <c r="AD2" s="2">
        <f t="shared" si="1"/>
        <v>276</v>
      </c>
      <c r="AE2" s="2">
        <f t="shared" si="1"/>
        <v>288</v>
      </c>
      <c r="AF2" s="2">
        <f t="shared" si="1"/>
        <v>300</v>
      </c>
      <c r="AG2" s="2">
        <f t="shared" si="1"/>
        <v>312</v>
      </c>
      <c r="AH2" s="2">
        <f t="shared" si="1"/>
        <v>324</v>
      </c>
      <c r="AI2" s="2">
        <f t="shared" si="1"/>
        <v>336</v>
      </c>
      <c r="AJ2" s="2">
        <f t="shared" si="1"/>
        <v>348</v>
      </c>
      <c r="AK2" s="2">
        <f t="shared" si="1"/>
        <v>360</v>
      </c>
    </row>
    <row r="3" spans="1:37" ht="12" customHeight="1" x14ac:dyDescent="0.25">
      <c r="F3" s="29"/>
      <c r="R3" s="1"/>
      <c r="S3" s="1"/>
      <c r="T3" s="1"/>
      <c r="U3" s="1"/>
      <c r="V3" s="2"/>
      <c r="W3" s="2"/>
      <c r="X3" s="2"/>
      <c r="Y3" s="2"/>
      <c r="Z3" s="2"/>
      <c r="AA3" s="2"/>
      <c r="AB3" s="2"/>
      <c r="AC3" s="2"/>
      <c r="AD3" s="2"/>
      <c r="AE3" s="2"/>
      <c r="AF3" s="2"/>
      <c r="AG3" s="2"/>
      <c r="AH3" s="2"/>
      <c r="AI3" s="2"/>
      <c r="AJ3" s="2"/>
      <c r="AK3" s="2"/>
    </row>
    <row r="4" spans="1:37" ht="37.5" customHeight="1" x14ac:dyDescent="0.25">
      <c r="B4" s="137" t="s">
        <v>281</v>
      </c>
      <c r="C4" s="138"/>
      <c r="D4" s="138"/>
      <c r="E4" s="138"/>
      <c r="F4" s="138"/>
      <c r="G4" s="139"/>
      <c r="R4" s="1"/>
      <c r="S4" s="1"/>
      <c r="T4" s="1"/>
      <c r="U4" s="1"/>
      <c r="V4" s="2"/>
      <c r="W4" s="2"/>
      <c r="X4" s="2"/>
      <c r="Y4" s="2"/>
      <c r="Z4" s="2"/>
      <c r="AA4" s="2"/>
      <c r="AB4" s="2"/>
      <c r="AC4" s="2"/>
      <c r="AD4" s="2"/>
      <c r="AE4" s="2"/>
      <c r="AF4" s="2"/>
      <c r="AG4" s="2"/>
      <c r="AH4" s="2"/>
      <c r="AI4" s="2"/>
      <c r="AJ4" s="2"/>
      <c r="AK4" s="2"/>
    </row>
    <row r="5" spans="1:37" ht="37.5" customHeight="1" x14ac:dyDescent="0.25">
      <c r="B5" s="140"/>
      <c r="C5" s="141"/>
      <c r="D5" s="141"/>
      <c r="E5" s="141"/>
      <c r="F5" s="141"/>
      <c r="G5" s="142"/>
      <c r="J5" s="116"/>
      <c r="R5" s="1"/>
      <c r="S5" s="1"/>
      <c r="T5" s="1"/>
      <c r="U5" s="1"/>
      <c r="V5" s="1"/>
      <c r="W5" s="1"/>
      <c r="X5" s="1"/>
      <c r="Y5" s="1"/>
      <c r="Z5" s="1"/>
      <c r="AA5" s="1"/>
      <c r="AB5" s="1"/>
      <c r="AC5" s="1"/>
      <c r="AD5" s="1"/>
      <c r="AE5" s="2"/>
      <c r="AF5" s="2"/>
      <c r="AG5" s="2"/>
      <c r="AH5" s="2"/>
      <c r="AI5" s="2"/>
      <c r="AJ5" s="2"/>
      <c r="AK5" s="2"/>
    </row>
    <row r="6" spans="1:37" ht="37.5" customHeight="1" x14ac:dyDescent="0.25">
      <c r="B6" s="143"/>
      <c r="C6" s="144"/>
      <c r="D6" s="144"/>
      <c r="E6" s="144"/>
      <c r="F6" s="144"/>
      <c r="G6" s="145"/>
      <c r="R6" s="1"/>
      <c r="S6" s="1"/>
      <c r="T6" s="1"/>
      <c r="U6" s="1"/>
      <c r="V6" s="2"/>
      <c r="W6" s="2"/>
      <c r="X6" s="2"/>
      <c r="Y6" s="2"/>
      <c r="Z6" s="2"/>
      <c r="AA6" s="2"/>
      <c r="AB6" s="2"/>
      <c r="AC6" s="2"/>
      <c r="AD6" s="2"/>
      <c r="AE6" s="2"/>
      <c r="AF6" s="2"/>
      <c r="AG6" s="2"/>
      <c r="AH6" s="2"/>
      <c r="AI6" s="2"/>
      <c r="AJ6" s="2"/>
      <c r="AK6" s="2"/>
    </row>
    <row r="7" spans="1:37" ht="7.5" customHeight="1" x14ac:dyDescent="0.25">
      <c r="B7" s="83"/>
      <c r="C7" s="83"/>
      <c r="D7" s="83"/>
      <c r="E7" s="83"/>
      <c r="F7" s="83"/>
      <c r="G7" s="83"/>
      <c r="R7" s="1"/>
      <c r="S7" s="1"/>
      <c r="T7" s="1"/>
      <c r="U7" s="1"/>
      <c r="V7" s="2"/>
      <c r="W7" s="2"/>
      <c r="X7" s="2"/>
      <c r="Y7" s="2"/>
      <c r="Z7" s="2"/>
      <c r="AA7" s="2"/>
      <c r="AB7" s="2"/>
      <c r="AC7" s="2"/>
      <c r="AD7" s="2"/>
      <c r="AE7" s="2"/>
      <c r="AF7" s="2"/>
      <c r="AG7" s="2"/>
      <c r="AH7" s="2"/>
      <c r="AI7" s="2"/>
      <c r="AJ7" s="2"/>
      <c r="AK7" s="2"/>
    </row>
    <row r="8" spans="1:37" s="17" customFormat="1" ht="30.75" customHeight="1" x14ac:dyDescent="0.25">
      <c r="A8" s="5"/>
      <c r="B8" s="132" t="s">
        <v>83</v>
      </c>
      <c r="C8" s="133"/>
      <c r="D8" s="134"/>
      <c r="E8" s="36"/>
      <c r="G8" s="231" t="s">
        <v>291</v>
      </c>
      <c r="H8" s="13"/>
      <c r="I8" s="13"/>
      <c r="J8" s="13"/>
      <c r="K8" s="13"/>
      <c r="L8" s="13"/>
      <c r="M8" s="13"/>
      <c r="N8" s="13"/>
      <c r="O8" s="13"/>
      <c r="P8" s="13"/>
      <c r="Q8" s="13"/>
    </row>
    <row r="9" spans="1:37" s="17" customFormat="1" ht="7.5" customHeight="1" x14ac:dyDescent="0.25">
      <c r="A9" s="5"/>
      <c r="B9" s="117"/>
      <c r="E9" s="36"/>
      <c r="G9" s="22"/>
      <c r="H9" s="13"/>
      <c r="I9" s="13"/>
      <c r="J9" s="13"/>
      <c r="K9" s="13"/>
      <c r="L9" s="13"/>
      <c r="M9" s="13"/>
      <c r="N9" s="13"/>
      <c r="O9" s="13"/>
      <c r="P9" s="13"/>
      <c r="Q9" s="13"/>
    </row>
    <row r="10" spans="1:37" s="17" customFormat="1" ht="33.75" customHeight="1" x14ac:dyDescent="0.25">
      <c r="A10" s="5"/>
      <c r="B10" s="123" t="s">
        <v>13</v>
      </c>
      <c r="C10" s="124" t="s">
        <v>14</v>
      </c>
      <c r="D10" s="125" t="s">
        <v>23</v>
      </c>
      <c r="E10" s="34"/>
      <c r="F10" s="57" t="s">
        <v>134</v>
      </c>
      <c r="G10" s="120" t="s">
        <v>12</v>
      </c>
      <c r="H10" s="121">
        <v>1</v>
      </c>
      <c r="I10" s="121">
        <v>2</v>
      </c>
      <c r="J10" s="121">
        <v>3</v>
      </c>
      <c r="K10" s="121">
        <v>4</v>
      </c>
      <c r="L10" s="121">
        <v>5</v>
      </c>
      <c r="M10" s="121">
        <v>6</v>
      </c>
      <c r="N10" s="121">
        <v>7</v>
      </c>
      <c r="O10" s="121">
        <v>8</v>
      </c>
      <c r="P10" s="121">
        <v>9</v>
      </c>
      <c r="Q10" s="121">
        <v>10</v>
      </c>
      <c r="R10" s="121">
        <v>11</v>
      </c>
      <c r="S10" s="121">
        <v>12</v>
      </c>
      <c r="T10" s="121">
        <v>13</v>
      </c>
      <c r="U10" s="121">
        <v>14</v>
      </c>
      <c r="V10" s="121">
        <v>15</v>
      </c>
      <c r="W10" s="121">
        <v>16</v>
      </c>
      <c r="X10" s="121">
        <v>17</v>
      </c>
      <c r="Y10" s="121">
        <v>18</v>
      </c>
      <c r="Z10" s="121">
        <v>19</v>
      </c>
      <c r="AA10" s="121">
        <v>20</v>
      </c>
      <c r="AB10" s="121">
        <v>21</v>
      </c>
      <c r="AC10" s="121">
        <v>22</v>
      </c>
      <c r="AD10" s="121">
        <v>23</v>
      </c>
      <c r="AE10" s="121">
        <v>24</v>
      </c>
      <c r="AF10" s="121">
        <v>25</v>
      </c>
      <c r="AG10" s="121">
        <v>26</v>
      </c>
      <c r="AH10" s="121">
        <v>27</v>
      </c>
      <c r="AI10" s="121">
        <v>28</v>
      </c>
      <c r="AJ10" s="121">
        <v>29</v>
      </c>
      <c r="AK10" s="122">
        <v>30</v>
      </c>
    </row>
    <row r="11" spans="1:37" s="36" customFormat="1" ht="9.75" customHeight="1" x14ac:dyDescent="0.25">
      <c r="A11" s="38"/>
      <c r="E11" s="34"/>
      <c r="G11" s="50"/>
      <c r="H11" s="51"/>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row>
    <row r="12" spans="1:37" s="17" customFormat="1" ht="38.25" customHeight="1" x14ac:dyDescent="0.25">
      <c r="A12" s="5"/>
      <c r="B12" s="84" t="s">
        <v>326</v>
      </c>
      <c r="C12" s="85">
        <v>220000</v>
      </c>
      <c r="D12" s="85" t="s">
        <v>37</v>
      </c>
      <c r="E12" s="18"/>
      <c r="F12" s="77" t="s">
        <v>77</v>
      </c>
      <c r="G12" s="9" t="s">
        <v>44</v>
      </c>
      <c r="H12" s="52">
        <f t="shared" ref="H12:AK12" si="2">$C$23*$C$25*((1+$C$35)^(H$10-1))+H21</f>
        <v>19500</v>
      </c>
      <c r="I12" s="52">
        <f t="shared" si="2"/>
        <v>19695</v>
      </c>
      <c r="J12" s="52">
        <f t="shared" si="2"/>
        <v>19891.95</v>
      </c>
      <c r="K12" s="52">
        <f t="shared" si="2"/>
        <v>20090.869499999997</v>
      </c>
      <c r="L12" s="52">
        <f t="shared" si="2"/>
        <v>20291.778195000003</v>
      </c>
      <c r="M12" s="52">
        <f t="shared" si="2"/>
        <v>20494.695976949999</v>
      </c>
      <c r="N12" s="52">
        <f t="shared" si="2"/>
        <v>20699.642936719501</v>
      </c>
      <c r="O12" s="52">
        <f t="shared" si="2"/>
        <v>20906.639366086692</v>
      </c>
      <c r="P12" s="52">
        <f t="shared" si="2"/>
        <v>21115.705759747565</v>
      </c>
      <c r="Q12" s="52">
        <f t="shared" si="2"/>
        <v>21326.862817345042</v>
      </c>
      <c r="R12" s="52">
        <f t="shared" si="2"/>
        <v>21540.131445518491</v>
      </c>
      <c r="S12" s="52">
        <f t="shared" si="2"/>
        <v>21755.532759973674</v>
      </c>
      <c r="T12" s="52">
        <f t="shared" si="2"/>
        <v>21973.088087573411</v>
      </c>
      <c r="U12" s="52">
        <f t="shared" si="2"/>
        <v>22192.818968449144</v>
      </c>
      <c r="V12" s="52">
        <f t="shared" si="2"/>
        <v>22414.747158133639</v>
      </c>
      <c r="W12" s="52">
        <f t="shared" si="2"/>
        <v>22638.894629714971</v>
      </c>
      <c r="X12" s="52">
        <f t="shared" si="2"/>
        <v>22865.283576012127</v>
      </c>
      <c r="Y12" s="52">
        <f t="shared" si="2"/>
        <v>23093.936411772247</v>
      </c>
      <c r="Z12" s="52">
        <f t="shared" si="2"/>
        <v>23324.875775889974</v>
      </c>
      <c r="AA12" s="52">
        <f t="shared" si="2"/>
        <v>23558.124533648868</v>
      </c>
      <c r="AB12" s="52">
        <f t="shared" si="2"/>
        <v>23793.705778985357</v>
      </c>
      <c r="AC12" s="52">
        <f t="shared" si="2"/>
        <v>24031.642836775209</v>
      </c>
      <c r="AD12" s="52">
        <f t="shared" si="2"/>
        <v>24271.959265142967</v>
      </c>
      <c r="AE12" s="52">
        <f t="shared" si="2"/>
        <v>24514.678857794392</v>
      </c>
      <c r="AF12" s="52">
        <f t="shared" si="2"/>
        <v>24759.825646372341</v>
      </c>
      <c r="AG12" s="52">
        <f t="shared" si="2"/>
        <v>25007.423902836068</v>
      </c>
      <c r="AH12" s="52">
        <f t="shared" si="2"/>
        <v>25257.498141864427</v>
      </c>
      <c r="AI12" s="52">
        <f t="shared" si="2"/>
        <v>25510.073123283062</v>
      </c>
      <c r="AJ12" s="52">
        <f t="shared" si="2"/>
        <v>25765.173854515895</v>
      </c>
      <c r="AK12" s="53">
        <f t="shared" si="2"/>
        <v>26022.825593061058</v>
      </c>
    </row>
    <row r="13" spans="1:37" s="36" customFormat="1" ht="38.25" customHeight="1" x14ac:dyDescent="0.25">
      <c r="A13" s="38"/>
      <c r="B13" s="84" t="s">
        <v>330</v>
      </c>
      <c r="C13" s="85">
        <v>10000</v>
      </c>
      <c r="D13" s="85" t="s">
        <v>37</v>
      </c>
      <c r="E13" s="18"/>
      <c r="F13" s="49"/>
      <c r="G13" s="27"/>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row>
    <row r="14" spans="1:37" s="17" customFormat="1" ht="38.25" customHeight="1" x14ac:dyDescent="0.25">
      <c r="A14" s="5"/>
      <c r="B14" s="84" t="s">
        <v>0</v>
      </c>
      <c r="C14" s="85">
        <v>10000</v>
      </c>
      <c r="D14" s="85" t="s">
        <v>37</v>
      </c>
      <c r="E14" s="18"/>
      <c r="F14" s="146" t="s">
        <v>84</v>
      </c>
      <c r="G14" s="9" t="s">
        <v>47</v>
      </c>
      <c r="H14" s="52">
        <f t="shared" ref="H14:AK14" si="3">IF(AND($C$18&lt;$C$39,H10&lt;=$C$17),CUMPRINC($C$19/12,$C$17*12,$C$40,H1,H2,0)*-1,0)</f>
        <v>2072.5901323933567</v>
      </c>
      <c r="I14" s="52">
        <f t="shared" si="3"/>
        <v>2101.7933078945098</v>
      </c>
      <c r="J14" s="52">
        <f t="shared" si="3"/>
        <v>2131.4079615002925</v>
      </c>
      <c r="K14" s="52">
        <f t="shared" si="3"/>
        <v>2161.4398910127479</v>
      </c>
      <c r="L14" s="52">
        <f t="shared" si="3"/>
        <v>2191.8949759260145</v>
      </c>
      <c r="M14" s="52">
        <f t="shared" si="3"/>
        <v>2222.7791785773838</v>
      </c>
      <c r="N14" s="52">
        <f t="shared" si="3"/>
        <v>2254.0985453145709</v>
      </c>
      <c r="O14" s="52">
        <f t="shared" si="3"/>
        <v>2285.8592076794457</v>
      </c>
      <c r="P14" s="52">
        <f t="shared" si="3"/>
        <v>2318.0673836084243</v>
      </c>
      <c r="Q14" s="52">
        <f t="shared" si="3"/>
        <v>2350.7293786497899</v>
      </c>
      <c r="R14" s="52">
        <f t="shared" si="3"/>
        <v>2383.8515871981599</v>
      </c>
      <c r="S14" s="52">
        <f t="shared" si="3"/>
        <v>2417.4404937463451</v>
      </c>
      <c r="T14" s="52">
        <f t="shared" si="3"/>
        <v>2451.5026741548495</v>
      </c>
      <c r="U14" s="52">
        <f t="shared" si="3"/>
        <v>2486.0447969392603</v>
      </c>
      <c r="V14" s="52">
        <f t="shared" si="3"/>
        <v>2521.0736245757748</v>
      </c>
      <c r="W14" s="52">
        <f t="shared" si="3"/>
        <v>2556.5960148251174</v>
      </c>
      <c r="X14" s="52">
        <f t="shared" si="3"/>
        <v>2592.6189220751253</v>
      </c>
      <c r="Y14" s="52">
        <f t="shared" si="3"/>
        <v>2629.1493987022332</v>
      </c>
      <c r="Z14" s="52">
        <f t="shared" si="3"/>
        <v>2666.1945964521574</v>
      </c>
      <c r="AA14" s="52">
        <f t="shared" si="3"/>
        <v>2703.7617678400215</v>
      </c>
      <c r="AB14" s="52">
        <f t="shared" si="3"/>
        <v>2741.8582675702228</v>
      </c>
      <c r="AC14" s="52">
        <f t="shared" si="3"/>
        <v>2780.4915539762897</v>
      </c>
      <c r="AD14" s="52">
        <f t="shared" si="3"/>
        <v>2819.6691904810423</v>
      </c>
      <c r="AE14" s="52">
        <f t="shared" si="3"/>
        <v>2859.3988470773156</v>
      </c>
      <c r="AF14" s="52">
        <f t="shared" si="3"/>
        <v>2899.6883018295521</v>
      </c>
      <c r="AG14" s="92">
        <f t="shared" si="3"/>
        <v>0</v>
      </c>
      <c r="AH14" s="92">
        <f t="shared" si="3"/>
        <v>0</v>
      </c>
      <c r="AI14" s="92">
        <f t="shared" si="3"/>
        <v>0</v>
      </c>
      <c r="AJ14" s="92">
        <f t="shared" si="3"/>
        <v>0</v>
      </c>
      <c r="AK14" s="93">
        <f t="shared" si="3"/>
        <v>0</v>
      </c>
    </row>
    <row r="15" spans="1:37" s="17" customFormat="1" ht="38.25" customHeight="1" x14ac:dyDescent="0.25">
      <c r="A15" s="5"/>
      <c r="B15" s="84" t="s">
        <v>1</v>
      </c>
      <c r="C15" s="86">
        <v>0.08</v>
      </c>
      <c r="D15" s="87" t="s">
        <v>26</v>
      </c>
      <c r="E15" s="18"/>
      <c r="F15" s="146"/>
      <c r="G15" s="10" t="s">
        <v>46</v>
      </c>
      <c r="H15" s="14">
        <f>IF(H10=1,H14,IF(AND(H10&lt;&gt;1,H10&lt;=$C$17),H14+G15,0))</f>
        <v>2072.5901323933567</v>
      </c>
      <c r="I15" s="14">
        <f t="shared" ref="I15:AK15" si="4">IF(I10=1,I14,IF(AND(I10&lt;&gt;1,I10&lt;=$C$17),I14+H15,0))</f>
        <v>4174.3834402878665</v>
      </c>
      <c r="J15" s="14">
        <f t="shared" si="4"/>
        <v>6305.7914017881594</v>
      </c>
      <c r="K15" s="14">
        <f t="shared" si="4"/>
        <v>8467.2312928009069</v>
      </c>
      <c r="L15" s="14">
        <f t="shared" si="4"/>
        <v>10659.126268726921</v>
      </c>
      <c r="M15" s="14">
        <f t="shared" si="4"/>
        <v>12881.905447304305</v>
      </c>
      <c r="N15" s="14">
        <f t="shared" si="4"/>
        <v>15136.003992618877</v>
      </c>
      <c r="O15" s="14">
        <f t="shared" si="4"/>
        <v>17421.863200298321</v>
      </c>
      <c r="P15" s="14">
        <f t="shared" si="4"/>
        <v>19739.930583906746</v>
      </c>
      <c r="Q15" s="14">
        <f t="shared" si="4"/>
        <v>22090.659962556536</v>
      </c>
      <c r="R15" s="14">
        <f t="shared" si="4"/>
        <v>24474.511549754694</v>
      </c>
      <c r="S15" s="14">
        <f t="shared" si="4"/>
        <v>26891.952043501038</v>
      </c>
      <c r="T15" s="14">
        <f t="shared" si="4"/>
        <v>29343.454717655888</v>
      </c>
      <c r="U15" s="14">
        <f t="shared" si="4"/>
        <v>31829.499514595147</v>
      </c>
      <c r="V15" s="14">
        <f t="shared" si="4"/>
        <v>34350.57313917092</v>
      </c>
      <c r="W15" s="14">
        <f t="shared" si="4"/>
        <v>36907.169153996037</v>
      </c>
      <c r="X15" s="14">
        <f t="shared" si="4"/>
        <v>39499.788076071163</v>
      </c>
      <c r="Y15" s="14">
        <f t="shared" si="4"/>
        <v>42128.937474773396</v>
      </c>
      <c r="Z15" s="14">
        <f t="shared" si="4"/>
        <v>44795.132071225555</v>
      </c>
      <c r="AA15" s="14">
        <f t="shared" si="4"/>
        <v>47498.893839065575</v>
      </c>
      <c r="AB15" s="14">
        <f t="shared" si="4"/>
        <v>50240.752106635795</v>
      </c>
      <c r="AC15" s="14">
        <f t="shared" si="4"/>
        <v>53021.243660612083</v>
      </c>
      <c r="AD15" s="14">
        <f t="shared" si="4"/>
        <v>55840.912851093126</v>
      </c>
      <c r="AE15" s="14">
        <f t="shared" si="4"/>
        <v>58700.311698170444</v>
      </c>
      <c r="AF15" s="14">
        <f t="shared" si="4"/>
        <v>61600</v>
      </c>
      <c r="AG15" s="15">
        <f t="shared" si="4"/>
        <v>0</v>
      </c>
      <c r="AH15" s="15">
        <f t="shared" si="4"/>
        <v>0</v>
      </c>
      <c r="AI15" s="15">
        <f t="shared" si="4"/>
        <v>0</v>
      </c>
      <c r="AJ15" s="15">
        <f t="shared" si="4"/>
        <v>0</v>
      </c>
      <c r="AK15" s="16">
        <f t="shared" si="4"/>
        <v>0</v>
      </c>
    </row>
    <row r="16" spans="1:37" s="17" customFormat="1" ht="38.25" customHeight="1" x14ac:dyDescent="0.25">
      <c r="A16" s="5"/>
      <c r="B16" s="84" t="s">
        <v>2</v>
      </c>
      <c r="C16" s="85">
        <v>10000</v>
      </c>
      <c r="D16" s="85" t="s">
        <v>37</v>
      </c>
      <c r="E16" s="35"/>
      <c r="F16" s="146"/>
      <c r="G16" s="10" t="s">
        <v>82</v>
      </c>
      <c r="H16" s="52">
        <f t="shared" ref="H16:AK16" si="5">IF(H10&lt;=$C$17,$C$40-H15,0)</f>
        <v>59527.409867606642</v>
      </c>
      <c r="I16" s="95">
        <f t="shared" si="5"/>
        <v>57425.616559712136</v>
      </c>
      <c r="J16" s="95">
        <f t="shared" si="5"/>
        <v>55294.208598211844</v>
      </c>
      <c r="K16" s="95">
        <f t="shared" si="5"/>
        <v>53132.768707199095</v>
      </c>
      <c r="L16" s="95">
        <f t="shared" si="5"/>
        <v>50940.873731273081</v>
      </c>
      <c r="M16" s="95">
        <f t="shared" si="5"/>
        <v>48718.094552695693</v>
      </c>
      <c r="N16" s="95">
        <f t="shared" si="5"/>
        <v>46463.996007381123</v>
      </c>
      <c r="O16" s="95">
        <f t="shared" si="5"/>
        <v>44178.136799701679</v>
      </c>
      <c r="P16" s="95">
        <f t="shared" si="5"/>
        <v>41860.069416093254</v>
      </c>
      <c r="Q16" s="95">
        <f t="shared" si="5"/>
        <v>39509.340037443464</v>
      </c>
      <c r="R16" s="95">
        <f t="shared" si="5"/>
        <v>37125.488450245306</v>
      </c>
      <c r="S16" s="95">
        <f t="shared" si="5"/>
        <v>34708.047956498966</v>
      </c>
      <c r="T16" s="52">
        <f t="shared" si="5"/>
        <v>32256.545282344112</v>
      </c>
      <c r="U16" s="95">
        <f t="shared" si="5"/>
        <v>29770.500485404853</v>
      </c>
      <c r="V16" s="95">
        <f t="shared" si="5"/>
        <v>27249.42686082908</v>
      </c>
      <c r="W16" s="95">
        <f t="shared" si="5"/>
        <v>24692.830846003963</v>
      </c>
      <c r="X16" s="95">
        <f t="shared" si="5"/>
        <v>22100.211923928837</v>
      </c>
      <c r="Y16" s="95">
        <f t="shared" si="5"/>
        <v>19471.062525226604</v>
      </c>
      <c r="Z16" s="95">
        <f t="shared" si="5"/>
        <v>16804.867928774445</v>
      </c>
      <c r="AA16" s="95">
        <f t="shared" si="5"/>
        <v>14101.106160934425</v>
      </c>
      <c r="AB16" s="95">
        <f t="shared" si="5"/>
        <v>11359.247893364205</v>
      </c>
      <c r="AC16" s="95">
        <f t="shared" si="5"/>
        <v>8578.7563393879173</v>
      </c>
      <c r="AD16" s="95">
        <f t="shared" si="5"/>
        <v>5759.0871489068741</v>
      </c>
      <c r="AE16" s="95">
        <f t="shared" si="5"/>
        <v>2899.6883018295557</v>
      </c>
      <c r="AF16" s="95">
        <f t="shared" si="5"/>
        <v>0</v>
      </c>
      <c r="AG16" s="95">
        <f t="shared" si="5"/>
        <v>0</v>
      </c>
      <c r="AH16" s="95">
        <f t="shared" si="5"/>
        <v>0</v>
      </c>
      <c r="AI16" s="95">
        <f t="shared" si="5"/>
        <v>0</v>
      </c>
      <c r="AJ16" s="95">
        <f t="shared" si="5"/>
        <v>0</v>
      </c>
      <c r="AK16" s="96">
        <f t="shared" si="5"/>
        <v>0</v>
      </c>
    </row>
    <row r="17" spans="1:37" s="17" customFormat="1" ht="38.25" customHeight="1" x14ac:dyDescent="0.25">
      <c r="A17" s="5"/>
      <c r="B17" s="84" t="s">
        <v>3</v>
      </c>
      <c r="C17" s="88">
        <v>25</v>
      </c>
      <c r="D17" s="88" t="s">
        <v>24</v>
      </c>
      <c r="E17" s="18"/>
      <c r="F17" s="146"/>
      <c r="G17" s="9" t="s">
        <v>45</v>
      </c>
      <c r="H17" s="14">
        <f t="shared" ref="H17:AK17" si="6">IF(AND($C$18&lt;$C$39,H10&lt;=$C$17),CUMIPMT($C$19/12,$C$17*12,$C$40,H1,H2,0)*-1,0)</f>
        <v>849.13447749865827</v>
      </c>
      <c r="I17" s="14">
        <f t="shared" si="6"/>
        <v>819.93130199750522</v>
      </c>
      <c r="J17" s="14">
        <f t="shared" si="6"/>
        <v>790.31664839172254</v>
      </c>
      <c r="K17" s="14">
        <f t="shared" si="6"/>
        <v>760.28471887926707</v>
      </c>
      <c r="L17" s="14">
        <f t="shared" si="6"/>
        <v>729.82963396600053</v>
      </c>
      <c r="M17" s="14">
        <f t="shared" si="6"/>
        <v>698.94543131463115</v>
      </c>
      <c r="N17" s="14">
        <f t="shared" si="6"/>
        <v>667.62606457744414</v>
      </c>
      <c r="O17" s="14">
        <f t="shared" si="6"/>
        <v>635.86540221256928</v>
      </c>
      <c r="P17" s="14">
        <f t="shared" si="6"/>
        <v>603.65722628359072</v>
      </c>
      <c r="Q17" s="14">
        <f t="shared" si="6"/>
        <v>570.99523124222515</v>
      </c>
      <c r="R17" s="14">
        <f t="shared" si="6"/>
        <v>537.87302269385509</v>
      </c>
      <c r="S17" s="14">
        <f t="shared" si="6"/>
        <v>504.28411614566994</v>
      </c>
      <c r="T17" s="14">
        <f t="shared" si="6"/>
        <v>470.2219357371655</v>
      </c>
      <c r="U17" s="14">
        <f t="shared" si="6"/>
        <v>435.67981295275467</v>
      </c>
      <c r="V17" s="14">
        <f t="shared" si="6"/>
        <v>400.65098531624017</v>
      </c>
      <c r="W17" s="14">
        <f t="shared" si="6"/>
        <v>365.12859506689756</v>
      </c>
      <c r="X17" s="14">
        <f t="shared" si="6"/>
        <v>329.10568781688971</v>
      </c>
      <c r="Y17" s="14">
        <f t="shared" si="6"/>
        <v>292.57521118978184</v>
      </c>
      <c r="Z17" s="14">
        <f t="shared" si="6"/>
        <v>255.53001343985761</v>
      </c>
      <c r="AA17" s="14">
        <f t="shared" si="6"/>
        <v>217.96284205199345</v>
      </c>
      <c r="AB17" s="14">
        <f t="shared" si="6"/>
        <v>179.86634232179222</v>
      </c>
      <c r="AC17" s="14">
        <f t="shared" si="6"/>
        <v>141.23305591572534</v>
      </c>
      <c r="AD17" s="14">
        <f t="shared" si="6"/>
        <v>102.05541941097272</v>
      </c>
      <c r="AE17" s="14">
        <f t="shared" si="6"/>
        <v>62.325762814699374</v>
      </c>
      <c r="AF17" s="14">
        <f t="shared" si="6"/>
        <v>22.036308062462922</v>
      </c>
      <c r="AG17" s="15">
        <f t="shared" si="6"/>
        <v>0</v>
      </c>
      <c r="AH17" s="15">
        <f t="shared" si="6"/>
        <v>0</v>
      </c>
      <c r="AI17" s="15">
        <f t="shared" si="6"/>
        <v>0</v>
      </c>
      <c r="AJ17" s="15">
        <f t="shared" si="6"/>
        <v>0</v>
      </c>
      <c r="AK17" s="16">
        <f t="shared" si="6"/>
        <v>0</v>
      </c>
    </row>
    <row r="18" spans="1:37" s="17" customFormat="1" ht="38.25" customHeight="1" x14ac:dyDescent="0.25">
      <c r="A18" s="5"/>
      <c r="B18" s="84" t="s">
        <v>4</v>
      </c>
      <c r="C18" s="85">
        <v>200000</v>
      </c>
      <c r="D18" s="85" t="s">
        <v>37</v>
      </c>
      <c r="E18" s="36"/>
      <c r="F18" s="146"/>
      <c r="G18" s="9" t="s">
        <v>48</v>
      </c>
      <c r="H18" s="52">
        <f t="shared" ref="H18:AK18" si="7">IF(AND($C$18&lt;$C$39,H10&lt;=$C$17),$C$40*$C$20,0)</f>
        <v>61.6</v>
      </c>
      <c r="I18" s="52">
        <f t="shared" si="7"/>
        <v>61.6</v>
      </c>
      <c r="J18" s="52">
        <f t="shared" si="7"/>
        <v>61.6</v>
      </c>
      <c r="K18" s="52">
        <f t="shared" si="7"/>
        <v>61.6</v>
      </c>
      <c r="L18" s="52">
        <f t="shared" si="7"/>
        <v>61.6</v>
      </c>
      <c r="M18" s="52">
        <f t="shared" si="7"/>
        <v>61.6</v>
      </c>
      <c r="N18" s="52">
        <f t="shared" si="7"/>
        <v>61.6</v>
      </c>
      <c r="O18" s="52">
        <f t="shared" si="7"/>
        <v>61.6</v>
      </c>
      <c r="P18" s="52">
        <f t="shared" si="7"/>
        <v>61.6</v>
      </c>
      <c r="Q18" s="52">
        <f t="shared" si="7"/>
        <v>61.6</v>
      </c>
      <c r="R18" s="52">
        <f t="shared" si="7"/>
        <v>61.6</v>
      </c>
      <c r="S18" s="52">
        <f t="shared" si="7"/>
        <v>61.6</v>
      </c>
      <c r="T18" s="52">
        <f t="shared" si="7"/>
        <v>61.6</v>
      </c>
      <c r="U18" s="52">
        <f t="shared" si="7"/>
        <v>61.6</v>
      </c>
      <c r="V18" s="52">
        <f t="shared" si="7"/>
        <v>61.6</v>
      </c>
      <c r="W18" s="52">
        <f t="shared" si="7"/>
        <v>61.6</v>
      </c>
      <c r="X18" s="52">
        <f t="shared" si="7"/>
        <v>61.6</v>
      </c>
      <c r="Y18" s="52">
        <f t="shared" si="7"/>
        <v>61.6</v>
      </c>
      <c r="Z18" s="52">
        <f t="shared" si="7"/>
        <v>61.6</v>
      </c>
      <c r="AA18" s="52">
        <f t="shared" si="7"/>
        <v>61.6</v>
      </c>
      <c r="AB18" s="52">
        <f t="shared" si="7"/>
        <v>61.6</v>
      </c>
      <c r="AC18" s="52">
        <f t="shared" si="7"/>
        <v>61.6</v>
      </c>
      <c r="AD18" s="52">
        <f t="shared" si="7"/>
        <v>61.6</v>
      </c>
      <c r="AE18" s="52">
        <f t="shared" si="7"/>
        <v>61.6</v>
      </c>
      <c r="AF18" s="52">
        <f t="shared" si="7"/>
        <v>61.6</v>
      </c>
      <c r="AG18" s="92">
        <f t="shared" si="7"/>
        <v>0</v>
      </c>
      <c r="AH18" s="92">
        <f t="shared" si="7"/>
        <v>0</v>
      </c>
      <c r="AI18" s="92">
        <f t="shared" si="7"/>
        <v>0</v>
      </c>
      <c r="AJ18" s="92">
        <f t="shared" si="7"/>
        <v>0</v>
      </c>
      <c r="AK18" s="93">
        <f t="shared" si="7"/>
        <v>0</v>
      </c>
    </row>
    <row r="19" spans="1:37" s="17" customFormat="1" ht="38.25" customHeight="1" x14ac:dyDescent="0.25">
      <c r="A19" s="5"/>
      <c r="B19" s="84" t="s">
        <v>5</v>
      </c>
      <c r="C19" s="89">
        <v>1.4E-2</v>
      </c>
      <c r="D19" s="87" t="s">
        <v>26</v>
      </c>
      <c r="E19" s="18"/>
      <c r="F19" s="146"/>
      <c r="G19" s="9" t="s">
        <v>61</v>
      </c>
      <c r="H19" s="52">
        <f>SUM(H17:H18)</f>
        <v>910.73447749865829</v>
      </c>
      <c r="I19" s="52">
        <f t="shared" ref="I19:AK19" si="8">SUM(I17:I18)</f>
        <v>881.53130199750524</v>
      </c>
      <c r="J19" s="52">
        <f t="shared" si="8"/>
        <v>851.91664839172256</v>
      </c>
      <c r="K19" s="52">
        <f t="shared" si="8"/>
        <v>821.8847188792671</v>
      </c>
      <c r="L19" s="52">
        <f t="shared" si="8"/>
        <v>791.42963396600055</v>
      </c>
      <c r="M19" s="52">
        <f t="shared" si="8"/>
        <v>760.54543131463117</v>
      </c>
      <c r="N19" s="52">
        <f t="shared" si="8"/>
        <v>729.22606457744416</v>
      </c>
      <c r="O19" s="52">
        <f t="shared" si="8"/>
        <v>697.4654022125693</v>
      </c>
      <c r="P19" s="52">
        <f t="shared" si="8"/>
        <v>665.25722628359074</v>
      </c>
      <c r="Q19" s="52">
        <f t="shared" si="8"/>
        <v>632.59523124222517</v>
      </c>
      <c r="R19" s="52">
        <f t="shared" si="8"/>
        <v>599.47302269385511</v>
      </c>
      <c r="S19" s="52">
        <f t="shared" si="8"/>
        <v>565.88411614566996</v>
      </c>
      <c r="T19" s="52">
        <f t="shared" si="8"/>
        <v>531.82193573716552</v>
      </c>
      <c r="U19" s="52">
        <f t="shared" si="8"/>
        <v>497.2798129527547</v>
      </c>
      <c r="V19" s="52">
        <f t="shared" si="8"/>
        <v>462.25098531624019</v>
      </c>
      <c r="W19" s="52">
        <f t="shared" si="8"/>
        <v>426.72859506689758</v>
      </c>
      <c r="X19" s="52">
        <f t="shared" si="8"/>
        <v>390.70568781688974</v>
      </c>
      <c r="Y19" s="52">
        <f t="shared" si="8"/>
        <v>354.17521118978186</v>
      </c>
      <c r="Z19" s="52">
        <f t="shared" si="8"/>
        <v>317.13001343985763</v>
      </c>
      <c r="AA19" s="52">
        <f t="shared" si="8"/>
        <v>279.56284205199347</v>
      </c>
      <c r="AB19" s="52">
        <f t="shared" si="8"/>
        <v>241.46634232179221</v>
      </c>
      <c r="AC19" s="52">
        <f t="shared" si="8"/>
        <v>202.83305591572534</v>
      </c>
      <c r="AD19" s="52">
        <f t="shared" si="8"/>
        <v>163.65541941097271</v>
      </c>
      <c r="AE19" s="52">
        <f t="shared" si="8"/>
        <v>123.92576281469937</v>
      </c>
      <c r="AF19" s="52">
        <f t="shared" si="8"/>
        <v>83.636308062462916</v>
      </c>
      <c r="AG19" s="52">
        <f t="shared" si="8"/>
        <v>0</v>
      </c>
      <c r="AH19" s="52">
        <f t="shared" si="8"/>
        <v>0</v>
      </c>
      <c r="AI19" s="52">
        <f t="shared" si="8"/>
        <v>0</v>
      </c>
      <c r="AJ19" s="52">
        <f t="shared" si="8"/>
        <v>0</v>
      </c>
      <c r="AK19" s="53">
        <f t="shared" si="8"/>
        <v>0</v>
      </c>
    </row>
    <row r="20" spans="1:37" s="36" customFormat="1" ht="38.25" customHeight="1" x14ac:dyDescent="0.25">
      <c r="A20" s="38"/>
      <c r="B20" s="84" t="s">
        <v>6</v>
      </c>
      <c r="C20" s="86">
        <v>1E-3</v>
      </c>
      <c r="D20" s="87" t="s">
        <v>26</v>
      </c>
      <c r="E20" s="18"/>
      <c r="F20" s="48"/>
      <c r="G20" s="27"/>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0"/>
    </row>
    <row r="21" spans="1:37" s="17" customFormat="1" ht="38.25" customHeight="1" x14ac:dyDescent="0.25">
      <c r="A21" s="5"/>
      <c r="B21" s="84" t="s">
        <v>312</v>
      </c>
      <c r="C21" s="85">
        <v>3000</v>
      </c>
      <c r="D21" s="85" t="s">
        <v>37</v>
      </c>
      <c r="E21" s="35"/>
      <c r="F21" s="147" t="s">
        <v>85</v>
      </c>
      <c r="G21" s="9" t="s">
        <v>49</v>
      </c>
      <c r="H21" s="52">
        <f t="shared" ref="H21:AK21" si="9">$C$24*((1+$C$35)^(H$10-1))</f>
        <v>1500</v>
      </c>
      <c r="I21" s="52">
        <f t="shared" si="9"/>
        <v>1515</v>
      </c>
      <c r="J21" s="52">
        <f t="shared" si="9"/>
        <v>1530.15</v>
      </c>
      <c r="K21" s="52">
        <f t="shared" si="9"/>
        <v>1545.4514999999999</v>
      </c>
      <c r="L21" s="52">
        <f t="shared" si="9"/>
        <v>1560.906015</v>
      </c>
      <c r="M21" s="52">
        <f t="shared" si="9"/>
        <v>1576.5150751499998</v>
      </c>
      <c r="N21" s="52">
        <f t="shared" si="9"/>
        <v>1592.2802259015002</v>
      </c>
      <c r="O21" s="52">
        <f t="shared" si="9"/>
        <v>1608.2030281605148</v>
      </c>
      <c r="P21" s="52">
        <f t="shared" si="9"/>
        <v>1624.2850584421203</v>
      </c>
      <c r="Q21" s="52">
        <f t="shared" si="9"/>
        <v>1640.5279090265417</v>
      </c>
      <c r="R21" s="52">
        <f t="shared" si="9"/>
        <v>1656.9331881168071</v>
      </c>
      <c r="S21" s="52">
        <f t="shared" si="9"/>
        <v>1673.5025199979748</v>
      </c>
      <c r="T21" s="52">
        <f t="shared" si="9"/>
        <v>1690.2375451979547</v>
      </c>
      <c r="U21" s="52">
        <f t="shared" si="9"/>
        <v>1707.1399206499343</v>
      </c>
      <c r="V21" s="52">
        <f t="shared" si="9"/>
        <v>1724.2113198564339</v>
      </c>
      <c r="W21" s="52">
        <f t="shared" si="9"/>
        <v>1741.4534330549977</v>
      </c>
      <c r="X21" s="52">
        <f t="shared" si="9"/>
        <v>1758.8679673855481</v>
      </c>
      <c r="Y21" s="52">
        <f t="shared" si="9"/>
        <v>1776.4566470594038</v>
      </c>
      <c r="Z21" s="52">
        <f t="shared" si="9"/>
        <v>1794.2212135299978</v>
      </c>
      <c r="AA21" s="52">
        <f t="shared" si="9"/>
        <v>1812.1634256652974</v>
      </c>
      <c r="AB21" s="52">
        <f t="shared" si="9"/>
        <v>1830.2850599219505</v>
      </c>
      <c r="AC21" s="52">
        <f t="shared" si="9"/>
        <v>1848.58791052117</v>
      </c>
      <c r="AD21" s="52">
        <f t="shared" si="9"/>
        <v>1867.073789626382</v>
      </c>
      <c r="AE21" s="52">
        <f t="shared" si="9"/>
        <v>1885.7445275226455</v>
      </c>
      <c r="AF21" s="52">
        <f t="shared" si="9"/>
        <v>1904.6019727978726</v>
      </c>
      <c r="AG21" s="52">
        <f t="shared" si="9"/>
        <v>1923.6479925258514</v>
      </c>
      <c r="AH21" s="52">
        <f t="shared" si="9"/>
        <v>1942.8844724511098</v>
      </c>
      <c r="AI21" s="52">
        <f t="shared" si="9"/>
        <v>1962.3133171756203</v>
      </c>
      <c r="AJ21" s="52">
        <f t="shared" si="9"/>
        <v>1981.9364503473766</v>
      </c>
      <c r="AK21" s="53">
        <f t="shared" si="9"/>
        <v>2001.7558148508506</v>
      </c>
    </row>
    <row r="22" spans="1:37" s="17" customFormat="1" ht="38.25" customHeight="1" x14ac:dyDescent="0.25">
      <c r="A22" s="5"/>
      <c r="B22" s="84" t="s">
        <v>313</v>
      </c>
      <c r="C22" s="85">
        <v>1000</v>
      </c>
      <c r="D22" s="85" t="s">
        <v>37</v>
      </c>
      <c r="E22" s="35"/>
      <c r="F22" s="146"/>
      <c r="G22" s="9" t="s">
        <v>50</v>
      </c>
      <c r="H22" s="14">
        <f t="shared" ref="H22:AK22" si="10">$C$27*((1+$C$35)^(H$10-1))</f>
        <v>1000</v>
      </c>
      <c r="I22" s="14">
        <f t="shared" si="10"/>
        <v>1010</v>
      </c>
      <c r="J22" s="14">
        <f t="shared" si="10"/>
        <v>1020.1</v>
      </c>
      <c r="K22" s="14">
        <f t="shared" si="10"/>
        <v>1030.3009999999999</v>
      </c>
      <c r="L22" s="14">
        <f t="shared" si="10"/>
        <v>1040.60401</v>
      </c>
      <c r="M22" s="14">
        <f t="shared" si="10"/>
        <v>1051.0100500999999</v>
      </c>
      <c r="N22" s="14">
        <f t="shared" si="10"/>
        <v>1061.5201506010001</v>
      </c>
      <c r="O22" s="14">
        <f t="shared" si="10"/>
        <v>1072.1353521070098</v>
      </c>
      <c r="P22" s="14">
        <f t="shared" si="10"/>
        <v>1082.8567056280801</v>
      </c>
      <c r="Q22" s="14">
        <f t="shared" si="10"/>
        <v>1093.6852726843611</v>
      </c>
      <c r="R22" s="14">
        <f t="shared" si="10"/>
        <v>1104.6221254112047</v>
      </c>
      <c r="S22" s="14">
        <f t="shared" si="10"/>
        <v>1115.6683466653164</v>
      </c>
      <c r="T22" s="14">
        <f t="shared" si="10"/>
        <v>1126.8250301319697</v>
      </c>
      <c r="U22" s="14">
        <f t="shared" si="10"/>
        <v>1138.0932804332895</v>
      </c>
      <c r="V22" s="14">
        <f t="shared" si="10"/>
        <v>1149.4742132376225</v>
      </c>
      <c r="W22" s="14">
        <f t="shared" si="10"/>
        <v>1160.9689553699984</v>
      </c>
      <c r="X22" s="14">
        <f t="shared" si="10"/>
        <v>1172.5786449236987</v>
      </c>
      <c r="Y22" s="14">
        <f t="shared" si="10"/>
        <v>1184.3044313729358</v>
      </c>
      <c r="Z22" s="14">
        <f t="shared" si="10"/>
        <v>1196.1474756866653</v>
      </c>
      <c r="AA22" s="14">
        <f t="shared" si="10"/>
        <v>1208.1089504435315</v>
      </c>
      <c r="AB22" s="14">
        <f t="shared" si="10"/>
        <v>1220.1900399479671</v>
      </c>
      <c r="AC22" s="14">
        <f t="shared" si="10"/>
        <v>1232.3919403474465</v>
      </c>
      <c r="AD22" s="14">
        <f t="shared" si="10"/>
        <v>1244.7158597509213</v>
      </c>
      <c r="AE22" s="14">
        <f t="shared" si="10"/>
        <v>1257.1630183484303</v>
      </c>
      <c r="AF22" s="14">
        <f t="shared" si="10"/>
        <v>1269.7346485319149</v>
      </c>
      <c r="AG22" s="14">
        <f t="shared" si="10"/>
        <v>1282.4319950172342</v>
      </c>
      <c r="AH22" s="14">
        <f t="shared" si="10"/>
        <v>1295.2563149674065</v>
      </c>
      <c r="AI22" s="14">
        <f t="shared" si="10"/>
        <v>1308.2088781170803</v>
      </c>
      <c r="AJ22" s="14">
        <f t="shared" si="10"/>
        <v>1321.2909668982511</v>
      </c>
      <c r="AK22" s="19">
        <f t="shared" si="10"/>
        <v>1334.5038765672336</v>
      </c>
    </row>
    <row r="23" spans="1:37" s="17" customFormat="1" ht="38.25" customHeight="1" x14ac:dyDescent="0.25">
      <c r="A23" s="5"/>
      <c r="B23" s="84" t="s">
        <v>314</v>
      </c>
      <c r="C23" s="85">
        <v>1500</v>
      </c>
      <c r="D23" s="85" t="s">
        <v>37</v>
      </c>
      <c r="E23" s="18"/>
      <c r="F23" s="146"/>
      <c r="G23" s="9" t="s">
        <v>51</v>
      </c>
      <c r="H23" s="52">
        <f t="shared" ref="H23:AK23" si="11">$C$28*((1+$C$35)^(H$10-1))</f>
        <v>2500</v>
      </c>
      <c r="I23" s="52">
        <f t="shared" si="11"/>
        <v>2525</v>
      </c>
      <c r="J23" s="52">
        <f t="shared" si="11"/>
        <v>2550.25</v>
      </c>
      <c r="K23" s="52">
        <f t="shared" si="11"/>
        <v>2575.7524999999996</v>
      </c>
      <c r="L23" s="52">
        <f t="shared" si="11"/>
        <v>2601.510025</v>
      </c>
      <c r="M23" s="52">
        <f t="shared" si="11"/>
        <v>2627.5251252499997</v>
      </c>
      <c r="N23" s="52">
        <f t="shared" si="11"/>
        <v>2653.8003765025005</v>
      </c>
      <c r="O23" s="52">
        <f t="shared" si="11"/>
        <v>2680.3383802675244</v>
      </c>
      <c r="P23" s="52">
        <f t="shared" si="11"/>
        <v>2707.1417640702007</v>
      </c>
      <c r="Q23" s="52">
        <f t="shared" si="11"/>
        <v>2734.213181710903</v>
      </c>
      <c r="R23" s="52">
        <f t="shared" si="11"/>
        <v>2761.555313528012</v>
      </c>
      <c r="S23" s="52">
        <f t="shared" si="11"/>
        <v>2789.1708666632912</v>
      </c>
      <c r="T23" s="52">
        <f t="shared" si="11"/>
        <v>2817.0625753299246</v>
      </c>
      <c r="U23" s="52">
        <f t="shared" si="11"/>
        <v>2845.2332010832238</v>
      </c>
      <c r="V23" s="52">
        <f t="shared" si="11"/>
        <v>2873.6855330940566</v>
      </c>
      <c r="W23" s="52">
        <f t="shared" si="11"/>
        <v>2902.4223884249959</v>
      </c>
      <c r="X23" s="52">
        <f t="shared" si="11"/>
        <v>2931.446612309247</v>
      </c>
      <c r="Y23" s="52">
        <f t="shared" si="11"/>
        <v>2960.7610784323397</v>
      </c>
      <c r="Z23" s="52">
        <f t="shared" si="11"/>
        <v>2990.3686892166629</v>
      </c>
      <c r="AA23" s="52">
        <f t="shared" si="11"/>
        <v>3020.2723761088291</v>
      </c>
      <c r="AB23" s="52">
        <f t="shared" si="11"/>
        <v>3050.4750998699178</v>
      </c>
      <c r="AC23" s="52">
        <f t="shared" si="11"/>
        <v>3080.9798508686163</v>
      </c>
      <c r="AD23" s="52">
        <f t="shared" si="11"/>
        <v>3111.7896493773032</v>
      </c>
      <c r="AE23" s="52">
        <f t="shared" si="11"/>
        <v>3142.9075458710759</v>
      </c>
      <c r="AF23" s="52">
        <f t="shared" si="11"/>
        <v>3174.3366213297872</v>
      </c>
      <c r="AG23" s="52">
        <f t="shared" si="11"/>
        <v>3206.0799875430857</v>
      </c>
      <c r="AH23" s="52">
        <f t="shared" si="11"/>
        <v>3238.1407874185165</v>
      </c>
      <c r="AI23" s="52">
        <f t="shared" si="11"/>
        <v>3270.5221952927004</v>
      </c>
      <c r="AJ23" s="52">
        <f t="shared" si="11"/>
        <v>3303.2274172456277</v>
      </c>
      <c r="AK23" s="53">
        <f t="shared" si="11"/>
        <v>3336.259691418084</v>
      </c>
    </row>
    <row r="24" spans="1:37" s="17" customFormat="1" ht="38.25" customHeight="1" x14ac:dyDescent="0.25">
      <c r="A24" s="5"/>
      <c r="B24" s="84" t="s">
        <v>315</v>
      </c>
      <c r="C24" s="85">
        <v>1500</v>
      </c>
      <c r="D24" s="85" t="s">
        <v>37</v>
      </c>
      <c r="E24" s="18"/>
      <c r="F24" s="146"/>
      <c r="G24" s="9" t="s">
        <v>52</v>
      </c>
      <c r="H24" s="14">
        <f t="shared" ref="H24:AK24" si="12">$C$26*((1+$C$35)^(H$10-1))</f>
        <v>2000</v>
      </c>
      <c r="I24" s="14">
        <f t="shared" si="12"/>
        <v>2020</v>
      </c>
      <c r="J24" s="14">
        <f t="shared" si="12"/>
        <v>2040.2</v>
      </c>
      <c r="K24" s="14">
        <f t="shared" si="12"/>
        <v>2060.6019999999999</v>
      </c>
      <c r="L24" s="14">
        <f t="shared" si="12"/>
        <v>2081.20802</v>
      </c>
      <c r="M24" s="14">
        <f t="shared" si="12"/>
        <v>2102.0201001999999</v>
      </c>
      <c r="N24" s="14">
        <f t="shared" si="12"/>
        <v>2123.0403012020001</v>
      </c>
      <c r="O24" s="14">
        <f t="shared" si="12"/>
        <v>2144.2707042140196</v>
      </c>
      <c r="P24" s="14">
        <f t="shared" si="12"/>
        <v>2165.7134112561603</v>
      </c>
      <c r="Q24" s="14">
        <f t="shared" si="12"/>
        <v>2187.3705453687221</v>
      </c>
      <c r="R24" s="14">
        <f t="shared" si="12"/>
        <v>2209.2442508224094</v>
      </c>
      <c r="S24" s="14">
        <f t="shared" si="12"/>
        <v>2231.3366933306329</v>
      </c>
      <c r="T24" s="14">
        <f t="shared" si="12"/>
        <v>2253.6500602639394</v>
      </c>
      <c r="U24" s="14">
        <f t="shared" si="12"/>
        <v>2276.1865608665789</v>
      </c>
      <c r="V24" s="14">
        <f t="shared" si="12"/>
        <v>2298.948426475245</v>
      </c>
      <c r="W24" s="14">
        <f t="shared" si="12"/>
        <v>2321.9379107399968</v>
      </c>
      <c r="X24" s="14">
        <f t="shared" si="12"/>
        <v>2345.1572898473974</v>
      </c>
      <c r="Y24" s="14">
        <f t="shared" si="12"/>
        <v>2368.6088627458716</v>
      </c>
      <c r="Z24" s="14">
        <f t="shared" si="12"/>
        <v>2392.2949513733306</v>
      </c>
      <c r="AA24" s="14">
        <f t="shared" si="12"/>
        <v>2416.217900887063</v>
      </c>
      <c r="AB24" s="14">
        <f t="shared" si="12"/>
        <v>2440.3800798959342</v>
      </c>
      <c r="AC24" s="14">
        <f t="shared" si="12"/>
        <v>2464.783880694893</v>
      </c>
      <c r="AD24" s="14">
        <f t="shared" si="12"/>
        <v>2489.4317195018425</v>
      </c>
      <c r="AE24" s="14">
        <f t="shared" si="12"/>
        <v>2514.3260366968607</v>
      </c>
      <c r="AF24" s="14">
        <f t="shared" si="12"/>
        <v>2539.4692970638298</v>
      </c>
      <c r="AG24" s="14">
        <f t="shared" si="12"/>
        <v>2564.8639900344683</v>
      </c>
      <c r="AH24" s="14">
        <f t="shared" si="12"/>
        <v>2590.512629934813</v>
      </c>
      <c r="AI24" s="14">
        <f t="shared" si="12"/>
        <v>2616.4177562341606</v>
      </c>
      <c r="AJ24" s="14">
        <f t="shared" si="12"/>
        <v>2642.5819337965022</v>
      </c>
      <c r="AK24" s="19">
        <f t="shared" si="12"/>
        <v>2669.0077531344673</v>
      </c>
    </row>
    <row r="25" spans="1:37" s="17" customFormat="1" ht="38.25" customHeight="1" x14ac:dyDescent="0.25">
      <c r="A25" s="5"/>
      <c r="B25" s="84" t="s">
        <v>316</v>
      </c>
      <c r="C25" s="88">
        <v>12</v>
      </c>
      <c r="D25" s="85" t="s">
        <v>25</v>
      </c>
      <c r="E25" s="18"/>
      <c r="F25" s="146"/>
      <c r="G25" s="9" t="s">
        <v>53</v>
      </c>
      <c r="H25" s="52">
        <f t="shared" ref="H25:AK25" si="13">$C$29</f>
        <v>200</v>
      </c>
      <c r="I25" s="52">
        <f t="shared" si="13"/>
        <v>200</v>
      </c>
      <c r="J25" s="52">
        <f t="shared" si="13"/>
        <v>200</v>
      </c>
      <c r="K25" s="52">
        <f t="shared" si="13"/>
        <v>200</v>
      </c>
      <c r="L25" s="52">
        <f t="shared" si="13"/>
        <v>200</v>
      </c>
      <c r="M25" s="52">
        <f t="shared" si="13"/>
        <v>200</v>
      </c>
      <c r="N25" s="52">
        <f t="shared" si="13"/>
        <v>200</v>
      </c>
      <c r="O25" s="52">
        <f t="shared" si="13"/>
        <v>200</v>
      </c>
      <c r="P25" s="52">
        <f t="shared" si="13"/>
        <v>200</v>
      </c>
      <c r="Q25" s="52">
        <f t="shared" si="13"/>
        <v>200</v>
      </c>
      <c r="R25" s="52">
        <f t="shared" si="13"/>
        <v>200</v>
      </c>
      <c r="S25" s="52">
        <f t="shared" si="13"/>
        <v>200</v>
      </c>
      <c r="T25" s="52">
        <f t="shared" si="13"/>
        <v>200</v>
      </c>
      <c r="U25" s="52">
        <f t="shared" si="13"/>
        <v>200</v>
      </c>
      <c r="V25" s="52">
        <f t="shared" si="13"/>
        <v>200</v>
      </c>
      <c r="W25" s="52">
        <f t="shared" si="13"/>
        <v>200</v>
      </c>
      <c r="X25" s="52">
        <f t="shared" si="13"/>
        <v>200</v>
      </c>
      <c r="Y25" s="52">
        <f t="shared" si="13"/>
        <v>200</v>
      </c>
      <c r="Z25" s="52">
        <f t="shared" si="13"/>
        <v>200</v>
      </c>
      <c r="AA25" s="52">
        <f t="shared" si="13"/>
        <v>200</v>
      </c>
      <c r="AB25" s="52">
        <f t="shared" si="13"/>
        <v>200</v>
      </c>
      <c r="AC25" s="52">
        <f t="shared" si="13"/>
        <v>200</v>
      </c>
      <c r="AD25" s="52">
        <f t="shared" si="13"/>
        <v>200</v>
      </c>
      <c r="AE25" s="52">
        <f t="shared" si="13"/>
        <v>200</v>
      </c>
      <c r="AF25" s="52">
        <f t="shared" si="13"/>
        <v>200</v>
      </c>
      <c r="AG25" s="52">
        <f t="shared" si="13"/>
        <v>200</v>
      </c>
      <c r="AH25" s="52">
        <f t="shared" si="13"/>
        <v>200</v>
      </c>
      <c r="AI25" s="52">
        <f t="shared" si="13"/>
        <v>200</v>
      </c>
      <c r="AJ25" s="52">
        <f t="shared" si="13"/>
        <v>200</v>
      </c>
      <c r="AK25" s="53">
        <f t="shared" si="13"/>
        <v>200</v>
      </c>
    </row>
    <row r="26" spans="1:37" s="17" customFormat="1" ht="38.25" customHeight="1" x14ac:dyDescent="0.25">
      <c r="A26" s="5"/>
      <c r="B26" s="84" t="s">
        <v>317</v>
      </c>
      <c r="C26" s="85">
        <v>2000</v>
      </c>
      <c r="D26" s="85" t="s">
        <v>37</v>
      </c>
      <c r="E26" s="18"/>
      <c r="F26" s="146"/>
      <c r="G26" s="9" t="s">
        <v>62</v>
      </c>
      <c r="H26" s="52">
        <f>SUM(H22:H25)</f>
        <v>5700</v>
      </c>
      <c r="I26" s="52">
        <f t="shared" ref="I26:AK26" si="14">SUM(I22:I25)</f>
        <v>5755</v>
      </c>
      <c r="J26" s="52">
        <f t="shared" si="14"/>
        <v>5810.55</v>
      </c>
      <c r="K26" s="52">
        <f t="shared" si="14"/>
        <v>5866.6554999999989</v>
      </c>
      <c r="L26" s="52">
        <f t="shared" si="14"/>
        <v>5923.3220550000005</v>
      </c>
      <c r="M26" s="52">
        <f t="shared" si="14"/>
        <v>5980.5552755499994</v>
      </c>
      <c r="N26" s="52">
        <f t="shared" si="14"/>
        <v>6038.3608283055</v>
      </c>
      <c r="O26" s="52">
        <f t="shared" si="14"/>
        <v>6096.7444365885531</v>
      </c>
      <c r="P26" s="52">
        <f t="shared" si="14"/>
        <v>6155.7118809544409</v>
      </c>
      <c r="Q26" s="52">
        <f t="shared" si="14"/>
        <v>6215.2689997639864</v>
      </c>
      <c r="R26" s="52">
        <f t="shared" si="14"/>
        <v>6275.4216897616261</v>
      </c>
      <c r="S26" s="52">
        <f t="shared" si="14"/>
        <v>6336.1759066592404</v>
      </c>
      <c r="T26" s="52">
        <f t="shared" si="14"/>
        <v>6397.537665725833</v>
      </c>
      <c r="U26" s="52">
        <f t="shared" si="14"/>
        <v>6459.5130423830924</v>
      </c>
      <c r="V26" s="52">
        <f t="shared" si="14"/>
        <v>6522.1081728069239</v>
      </c>
      <c r="W26" s="52">
        <f t="shared" si="14"/>
        <v>6585.3292545349905</v>
      </c>
      <c r="X26" s="52">
        <f t="shared" si="14"/>
        <v>6649.1825470803433</v>
      </c>
      <c r="Y26" s="52">
        <f t="shared" si="14"/>
        <v>6713.6743725511478</v>
      </c>
      <c r="Z26" s="52">
        <f t="shared" si="14"/>
        <v>6778.8111162766581</v>
      </c>
      <c r="AA26" s="52">
        <f t="shared" si="14"/>
        <v>6844.599227439423</v>
      </c>
      <c r="AB26" s="52">
        <f t="shared" si="14"/>
        <v>6911.0452197138184</v>
      </c>
      <c r="AC26" s="52">
        <f t="shared" si="14"/>
        <v>6978.1556719109558</v>
      </c>
      <c r="AD26" s="52">
        <f t="shared" si="14"/>
        <v>7045.9372286300677</v>
      </c>
      <c r="AE26" s="52">
        <f t="shared" si="14"/>
        <v>7114.3966009163669</v>
      </c>
      <c r="AF26" s="52">
        <f t="shared" si="14"/>
        <v>7183.5405669255324</v>
      </c>
      <c r="AG26" s="52">
        <f t="shared" si="14"/>
        <v>7253.3759725947875</v>
      </c>
      <c r="AH26" s="52">
        <f t="shared" si="14"/>
        <v>7323.9097323207361</v>
      </c>
      <c r="AI26" s="52">
        <f t="shared" si="14"/>
        <v>7395.148829643942</v>
      </c>
      <c r="AJ26" s="52">
        <f t="shared" si="14"/>
        <v>7467.1003179403815</v>
      </c>
      <c r="AK26" s="53">
        <f t="shared" si="14"/>
        <v>7539.7713211197843</v>
      </c>
    </row>
    <row r="27" spans="1:37" s="36" customFormat="1" ht="38.25" customHeight="1" x14ac:dyDescent="0.25">
      <c r="A27" s="38"/>
      <c r="B27" s="84" t="s">
        <v>318</v>
      </c>
      <c r="C27" s="85">
        <v>1000</v>
      </c>
      <c r="D27" s="85" t="s">
        <v>37</v>
      </c>
      <c r="E27" s="18"/>
      <c r="F27" s="48"/>
      <c r="G27" s="27"/>
      <c r="H27" s="20"/>
      <c r="I27" s="20"/>
      <c r="J27" s="20"/>
      <c r="K27" s="20"/>
      <c r="L27" s="20"/>
      <c r="M27" s="20"/>
      <c r="N27" s="20"/>
      <c r="O27" s="20"/>
      <c r="P27" s="20"/>
      <c r="Q27" s="20"/>
      <c r="R27" s="20"/>
      <c r="S27" s="20"/>
      <c r="T27" s="20"/>
      <c r="U27" s="20"/>
      <c r="V27" s="20"/>
      <c r="W27" s="20"/>
      <c r="X27" s="20"/>
      <c r="Y27" s="20"/>
      <c r="Z27" s="20"/>
      <c r="AA27" s="20"/>
      <c r="AB27" s="20"/>
      <c r="AC27" s="20"/>
      <c r="AD27" s="20"/>
      <c r="AE27" s="20"/>
      <c r="AF27" s="20"/>
      <c r="AG27" s="20"/>
      <c r="AH27" s="20"/>
      <c r="AI27" s="20"/>
      <c r="AJ27" s="20"/>
      <c r="AK27" s="20"/>
    </row>
    <row r="28" spans="1:37" s="17" customFormat="1" ht="38.25" customHeight="1" x14ac:dyDescent="0.25">
      <c r="A28" s="5"/>
      <c r="B28" s="84" t="s">
        <v>319</v>
      </c>
      <c r="C28" s="85">
        <v>2500</v>
      </c>
      <c r="D28" s="85" t="s">
        <v>37</v>
      </c>
      <c r="E28" s="18"/>
      <c r="F28" s="146" t="s">
        <v>86</v>
      </c>
      <c r="G28" s="9" t="s">
        <v>253</v>
      </c>
      <c r="H28" s="52">
        <f t="shared" ref="H28:AK28" si="15">IF(H10&lt;=30,($C$12-$C$16)*0.8/30,0)</f>
        <v>5600</v>
      </c>
      <c r="I28" s="52">
        <f t="shared" si="15"/>
        <v>5600</v>
      </c>
      <c r="J28" s="52">
        <f t="shared" si="15"/>
        <v>5600</v>
      </c>
      <c r="K28" s="52">
        <f t="shared" si="15"/>
        <v>5600</v>
      </c>
      <c r="L28" s="52">
        <f t="shared" si="15"/>
        <v>5600</v>
      </c>
      <c r="M28" s="52">
        <f t="shared" si="15"/>
        <v>5600</v>
      </c>
      <c r="N28" s="52">
        <f t="shared" si="15"/>
        <v>5600</v>
      </c>
      <c r="O28" s="52">
        <f t="shared" si="15"/>
        <v>5600</v>
      </c>
      <c r="P28" s="52">
        <f t="shared" si="15"/>
        <v>5600</v>
      </c>
      <c r="Q28" s="52">
        <f t="shared" si="15"/>
        <v>5600</v>
      </c>
      <c r="R28" s="52">
        <f t="shared" si="15"/>
        <v>5600</v>
      </c>
      <c r="S28" s="52">
        <f t="shared" si="15"/>
        <v>5600</v>
      </c>
      <c r="T28" s="52">
        <f t="shared" si="15"/>
        <v>5600</v>
      </c>
      <c r="U28" s="52">
        <f t="shared" si="15"/>
        <v>5600</v>
      </c>
      <c r="V28" s="52">
        <f t="shared" si="15"/>
        <v>5600</v>
      </c>
      <c r="W28" s="52">
        <f t="shared" si="15"/>
        <v>5600</v>
      </c>
      <c r="X28" s="52">
        <f t="shared" si="15"/>
        <v>5600</v>
      </c>
      <c r="Y28" s="52">
        <f t="shared" si="15"/>
        <v>5600</v>
      </c>
      <c r="Z28" s="52">
        <f t="shared" si="15"/>
        <v>5600</v>
      </c>
      <c r="AA28" s="52">
        <f t="shared" si="15"/>
        <v>5600</v>
      </c>
      <c r="AB28" s="52">
        <f t="shared" si="15"/>
        <v>5600</v>
      </c>
      <c r="AC28" s="52">
        <f t="shared" si="15"/>
        <v>5600</v>
      </c>
      <c r="AD28" s="52">
        <f t="shared" si="15"/>
        <v>5600</v>
      </c>
      <c r="AE28" s="52">
        <f t="shared" si="15"/>
        <v>5600</v>
      </c>
      <c r="AF28" s="52">
        <f t="shared" si="15"/>
        <v>5600</v>
      </c>
      <c r="AG28" s="52">
        <f t="shared" si="15"/>
        <v>5600</v>
      </c>
      <c r="AH28" s="52">
        <f t="shared" si="15"/>
        <v>5600</v>
      </c>
      <c r="AI28" s="52">
        <f t="shared" si="15"/>
        <v>5600</v>
      </c>
      <c r="AJ28" s="52">
        <f t="shared" si="15"/>
        <v>5600</v>
      </c>
      <c r="AK28" s="53">
        <f t="shared" si="15"/>
        <v>5600</v>
      </c>
    </row>
    <row r="29" spans="1:37" s="17" customFormat="1" ht="38.25" customHeight="1" x14ac:dyDescent="0.25">
      <c r="A29" s="5"/>
      <c r="B29" s="84" t="s">
        <v>320</v>
      </c>
      <c r="C29" s="88">
        <v>200</v>
      </c>
      <c r="D29" s="85" t="s">
        <v>37</v>
      </c>
      <c r="E29" s="18"/>
      <c r="F29" s="146"/>
      <c r="G29" s="9" t="s">
        <v>331</v>
      </c>
      <c r="H29" s="14">
        <f t="shared" ref="H29:AK29" si="16">IF(H10&lt;=10,$C$13/10,0)</f>
        <v>1000</v>
      </c>
      <c r="I29" s="14">
        <f t="shared" si="16"/>
        <v>1000</v>
      </c>
      <c r="J29" s="14">
        <f t="shared" si="16"/>
        <v>1000</v>
      </c>
      <c r="K29" s="14">
        <f t="shared" si="16"/>
        <v>1000</v>
      </c>
      <c r="L29" s="14">
        <f t="shared" si="16"/>
        <v>1000</v>
      </c>
      <c r="M29" s="14">
        <f t="shared" si="16"/>
        <v>1000</v>
      </c>
      <c r="N29" s="14">
        <f t="shared" si="16"/>
        <v>1000</v>
      </c>
      <c r="O29" s="14">
        <f t="shared" si="16"/>
        <v>1000</v>
      </c>
      <c r="P29" s="14">
        <f t="shared" si="16"/>
        <v>1000</v>
      </c>
      <c r="Q29" s="14">
        <f t="shared" si="16"/>
        <v>1000</v>
      </c>
      <c r="R29" s="14">
        <f t="shared" si="16"/>
        <v>0</v>
      </c>
      <c r="S29" s="14">
        <f t="shared" si="16"/>
        <v>0</v>
      </c>
      <c r="T29" s="14">
        <f t="shared" si="16"/>
        <v>0</v>
      </c>
      <c r="U29" s="14">
        <f t="shared" si="16"/>
        <v>0</v>
      </c>
      <c r="V29" s="14">
        <f t="shared" si="16"/>
        <v>0</v>
      </c>
      <c r="W29" s="14">
        <f t="shared" si="16"/>
        <v>0</v>
      </c>
      <c r="X29" s="14">
        <f t="shared" si="16"/>
        <v>0</v>
      </c>
      <c r="Y29" s="14">
        <f t="shared" si="16"/>
        <v>0</v>
      </c>
      <c r="Z29" s="14">
        <f t="shared" si="16"/>
        <v>0</v>
      </c>
      <c r="AA29" s="14">
        <f t="shared" si="16"/>
        <v>0</v>
      </c>
      <c r="AB29" s="14">
        <f t="shared" si="16"/>
        <v>0</v>
      </c>
      <c r="AC29" s="14">
        <f t="shared" si="16"/>
        <v>0</v>
      </c>
      <c r="AD29" s="14">
        <f t="shared" si="16"/>
        <v>0</v>
      </c>
      <c r="AE29" s="14">
        <f t="shared" si="16"/>
        <v>0</v>
      </c>
      <c r="AF29" s="14">
        <f t="shared" si="16"/>
        <v>0</v>
      </c>
      <c r="AG29" s="14">
        <f t="shared" si="16"/>
        <v>0</v>
      </c>
      <c r="AH29" s="14">
        <f t="shared" si="16"/>
        <v>0</v>
      </c>
      <c r="AI29" s="14">
        <f t="shared" si="16"/>
        <v>0</v>
      </c>
      <c r="AJ29" s="14">
        <f t="shared" si="16"/>
        <v>0</v>
      </c>
      <c r="AK29" s="19">
        <f t="shared" si="16"/>
        <v>0</v>
      </c>
    </row>
    <row r="30" spans="1:37" s="17" customFormat="1" ht="38.25" customHeight="1" x14ac:dyDescent="0.25">
      <c r="A30" s="5"/>
      <c r="B30" s="7" t="s">
        <v>328</v>
      </c>
      <c r="C30" s="85">
        <v>25000</v>
      </c>
      <c r="D30" s="85" t="s">
        <v>37</v>
      </c>
      <c r="E30" s="18"/>
      <c r="F30" s="146"/>
      <c r="G30" s="9" t="s">
        <v>140</v>
      </c>
      <c r="H30" s="52">
        <f t="shared" ref="H30:AK30" si="17">IF(H10&lt;=7,$C$14/7,0)</f>
        <v>1428.5714285714287</v>
      </c>
      <c r="I30" s="52">
        <f t="shared" si="17"/>
        <v>1428.5714285714287</v>
      </c>
      <c r="J30" s="52">
        <f t="shared" si="17"/>
        <v>1428.5714285714287</v>
      </c>
      <c r="K30" s="52">
        <f t="shared" si="17"/>
        <v>1428.5714285714287</v>
      </c>
      <c r="L30" s="52">
        <f t="shared" si="17"/>
        <v>1428.5714285714287</v>
      </c>
      <c r="M30" s="52">
        <f t="shared" si="17"/>
        <v>1428.5714285714287</v>
      </c>
      <c r="N30" s="52">
        <f t="shared" si="17"/>
        <v>1428.5714285714287</v>
      </c>
      <c r="O30" s="52">
        <f t="shared" si="17"/>
        <v>0</v>
      </c>
      <c r="P30" s="52">
        <f t="shared" si="17"/>
        <v>0</v>
      </c>
      <c r="Q30" s="52">
        <f t="shared" si="17"/>
        <v>0</v>
      </c>
      <c r="R30" s="52">
        <f t="shared" si="17"/>
        <v>0</v>
      </c>
      <c r="S30" s="52">
        <f t="shared" si="17"/>
        <v>0</v>
      </c>
      <c r="T30" s="52">
        <f t="shared" si="17"/>
        <v>0</v>
      </c>
      <c r="U30" s="52">
        <f t="shared" si="17"/>
        <v>0</v>
      </c>
      <c r="V30" s="52">
        <f t="shared" si="17"/>
        <v>0</v>
      </c>
      <c r="W30" s="52">
        <f t="shared" si="17"/>
        <v>0</v>
      </c>
      <c r="X30" s="52">
        <f t="shared" si="17"/>
        <v>0</v>
      </c>
      <c r="Y30" s="52">
        <f t="shared" si="17"/>
        <v>0</v>
      </c>
      <c r="Z30" s="52">
        <f t="shared" si="17"/>
        <v>0</v>
      </c>
      <c r="AA30" s="52">
        <f t="shared" si="17"/>
        <v>0</v>
      </c>
      <c r="AB30" s="52">
        <f t="shared" si="17"/>
        <v>0</v>
      </c>
      <c r="AC30" s="52">
        <f t="shared" si="17"/>
        <v>0</v>
      </c>
      <c r="AD30" s="52">
        <f t="shared" si="17"/>
        <v>0</v>
      </c>
      <c r="AE30" s="52">
        <f t="shared" si="17"/>
        <v>0</v>
      </c>
      <c r="AF30" s="52">
        <f t="shared" si="17"/>
        <v>0</v>
      </c>
      <c r="AG30" s="52">
        <f t="shared" si="17"/>
        <v>0</v>
      </c>
      <c r="AH30" s="52">
        <f t="shared" si="17"/>
        <v>0</v>
      </c>
      <c r="AI30" s="52">
        <f t="shared" si="17"/>
        <v>0</v>
      </c>
      <c r="AJ30" s="52">
        <f t="shared" si="17"/>
        <v>0</v>
      </c>
      <c r="AK30" s="53">
        <f t="shared" si="17"/>
        <v>0</v>
      </c>
    </row>
    <row r="31" spans="1:37" s="17" customFormat="1" ht="38.25" customHeight="1" x14ac:dyDescent="0.25">
      <c r="A31" s="5"/>
      <c r="B31" s="7" t="s">
        <v>321</v>
      </c>
      <c r="C31" s="90">
        <v>0.03</v>
      </c>
      <c r="D31" s="87" t="s">
        <v>26</v>
      </c>
      <c r="E31" s="18"/>
      <c r="F31" s="146"/>
      <c r="G31" s="9" t="s">
        <v>252</v>
      </c>
      <c r="H31" s="14">
        <f t="shared" ref="H31:AK31" si="18">IF(H10&lt;=30,(($C$12*$C$15)+$C$16)/30,0)</f>
        <v>920</v>
      </c>
      <c r="I31" s="14">
        <f t="shared" si="18"/>
        <v>920</v>
      </c>
      <c r="J31" s="14">
        <f t="shared" si="18"/>
        <v>920</v>
      </c>
      <c r="K31" s="14">
        <f t="shared" si="18"/>
        <v>920</v>
      </c>
      <c r="L31" s="14">
        <f t="shared" si="18"/>
        <v>920</v>
      </c>
      <c r="M31" s="14">
        <f t="shared" si="18"/>
        <v>920</v>
      </c>
      <c r="N31" s="14">
        <f t="shared" si="18"/>
        <v>920</v>
      </c>
      <c r="O31" s="14">
        <f t="shared" si="18"/>
        <v>920</v>
      </c>
      <c r="P31" s="14">
        <f t="shared" si="18"/>
        <v>920</v>
      </c>
      <c r="Q31" s="14">
        <f t="shared" si="18"/>
        <v>920</v>
      </c>
      <c r="R31" s="14">
        <f t="shared" si="18"/>
        <v>920</v>
      </c>
      <c r="S31" s="14">
        <f t="shared" si="18"/>
        <v>920</v>
      </c>
      <c r="T31" s="14">
        <f t="shared" si="18"/>
        <v>920</v>
      </c>
      <c r="U31" s="14">
        <f t="shared" si="18"/>
        <v>920</v>
      </c>
      <c r="V31" s="14">
        <f t="shared" si="18"/>
        <v>920</v>
      </c>
      <c r="W31" s="14">
        <f t="shared" si="18"/>
        <v>920</v>
      </c>
      <c r="X31" s="14">
        <f t="shared" si="18"/>
        <v>920</v>
      </c>
      <c r="Y31" s="14">
        <f t="shared" si="18"/>
        <v>920</v>
      </c>
      <c r="Z31" s="14">
        <f t="shared" si="18"/>
        <v>920</v>
      </c>
      <c r="AA31" s="14">
        <f t="shared" si="18"/>
        <v>920</v>
      </c>
      <c r="AB31" s="14">
        <f t="shared" si="18"/>
        <v>920</v>
      </c>
      <c r="AC31" s="14">
        <f t="shared" si="18"/>
        <v>920</v>
      </c>
      <c r="AD31" s="14">
        <f t="shared" si="18"/>
        <v>920</v>
      </c>
      <c r="AE31" s="14">
        <f t="shared" si="18"/>
        <v>920</v>
      </c>
      <c r="AF31" s="14">
        <f t="shared" si="18"/>
        <v>920</v>
      </c>
      <c r="AG31" s="14">
        <f t="shared" si="18"/>
        <v>920</v>
      </c>
      <c r="AH31" s="14">
        <f t="shared" si="18"/>
        <v>920</v>
      </c>
      <c r="AI31" s="14">
        <f t="shared" si="18"/>
        <v>920</v>
      </c>
      <c r="AJ31" s="14">
        <f t="shared" si="18"/>
        <v>920</v>
      </c>
      <c r="AK31" s="19">
        <f t="shared" si="18"/>
        <v>920</v>
      </c>
    </row>
    <row r="32" spans="1:37" s="17" customFormat="1" ht="38.25" customHeight="1" x14ac:dyDescent="0.25">
      <c r="A32" s="5"/>
      <c r="B32" s="7" t="s">
        <v>327</v>
      </c>
      <c r="C32" s="85">
        <v>25000</v>
      </c>
      <c r="D32" s="85" t="s">
        <v>37</v>
      </c>
      <c r="E32" s="18"/>
      <c r="F32" s="146"/>
      <c r="G32" s="9" t="s">
        <v>58</v>
      </c>
      <c r="H32" s="52">
        <f>SUM(H28:H31)</f>
        <v>8948.5714285714275</v>
      </c>
      <c r="I32" s="52">
        <f t="shared" ref="I32:AK32" si="19">SUM(I28:I31)</f>
        <v>8948.5714285714275</v>
      </c>
      <c r="J32" s="52">
        <f t="shared" si="19"/>
        <v>8948.5714285714275</v>
      </c>
      <c r="K32" s="52">
        <f t="shared" si="19"/>
        <v>8948.5714285714275</v>
      </c>
      <c r="L32" s="52">
        <f t="shared" si="19"/>
        <v>8948.5714285714275</v>
      </c>
      <c r="M32" s="52">
        <f t="shared" si="19"/>
        <v>8948.5714285714275</v>
      </c>
      <c r="N32" s="52">
        <f t="shared" si="19"/>
        <v>8948.5714285714275</v>
      </c>
      <c r="O32" s="52">
        <f t="shared" si="19"/>
        <v>7520</v>
      </c>
      <c r="P32" s="52">
        <f t="shared" si="19"/>
        <v>7520</v>
      </c>
      <c r="Q32" s="52">
        <f t="shared" si="19"/>
        <v>7520</v>
      </c>
      <c r="R32" s="52">
        <f t="shared" si="19"/>
        <v>6520</v>
      </c>
      <c r="S32" s="52">
        <f t="shared" si="19"/>
        <v>6520</v>
      </c>
      <c r="T32" s="52">
        <f t="shared" si="19"/>
        <v>6520</v>
      </c>
      <c r="U32" s="52">
        <f t="shared" si="19"/>
        <v>6520</v>
      </c>
      <c r="V32" s="52">
        <f t="shared" si="19"/>
        <v>6520</v>
      </c>
      <c r="W32" s="52">
        <f t="shared" si="19"/>
        <v>6520</v>
      </c>
      <c r="X32" s="52">
        <f t="shared" si="19"/>
        <v>6520</v>
      </c>
      <c r="Y32" s="52">
        <f t="shared" si="19"/>
        <v>6520</v>
      </c>
      <c r="Z32" s="52">
        <f t="shared" si="19"/>
        <v>6520</v>
      </c>
      <c r="AA32" s="52">
        <f t="shared" si="19"/>
        <v>6520</v>
      </c>
      <c r="AB32" s="52">
        <f t="shared" si="19"/>
        <v>6520</v>
      </c>
      <c r="AC32" s="52">
        <f t="shared" si="19"/>
        <v>6520</v>
      </c>
      <c r="AD32" s="52">
        <f t="shared" si="19"/>
        <v>6520</v>
      </c>
      <c r="AE32" s="52">
        <f t="shared" si="19"/>
        <v>6520</v>
      </c>
      <c r="AF32" s="52">
        <f t="shared" si="19"/>
        <v>6520</v>
      </c>
      <c r="AG32" s="52">
        <f t="shared" si="19"/>
        <v>6520</v>
      </c>
      <c r="AH32" s="52">
        <f t="shared" si="19"/>
        <v>6520</v>
      </c>
      <c r="AI32" s="52">
        <f t="shared" si="19"/>
        <v>6520</v>
      </c>
      <c r="AJ32" s="52">
        <f t="shared" si="19"/>
        <v>6520</v>
      </c>
      <c r="AK32" s="53">
        <f t="shared" si="19"/>
        <v>6520</v>
      </c>
    </row>
    <row r="33" spans="1:37" s="36" customFormat="1" ht="38.25" customHeight="1" x14ac:dyDescent="0.25">
      <c r="A33" s="38"/>
      <c r="B33" s="7" t="s">
        <v>322</v>
      </c>
      <c r="C33" s="91">
        <v>0.04</v>
      </c>
      <c r="D33" s="87" t="s">
        <v>26</v>
      </c>
      <c r="E33" s="18"/>
      <c r="F33" s="48"/>
      <c r="G33" s="27"/>
      <c r="H33" s="20"/>
      <c r="I33" s="20"/>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0"/>
      <c r="AI33" s="20"/>
      <c r="AJ33" s="20"/>
      <c r="AK33" s="20"/>
    </row>
    <row r="34" spans="1:37" s="17" customFormat="1" ht="38.25" customHeight="1" x14ac:dyDescent="0.25">
      <c r="A34" s="5"/>
      <c r="B34" s="84" t="s">
        <v>324</v>
      </c>
      <c r="C34" s="88">
        <v>3</v>
      </c>
      <c r="D34" s="88" t="s">
        <v>36</v>
      </c>
      <c r="E34" s="18"/>
      <c r="F34" s="147" t="s">
        <v>87</v>
      </c>
      <c r="G34" s="9" t="s">
        <v>55</v>
      </c>
      <c r="H34" s="52">
        <f t="shared" ref="H34" si="20">H12-H26</f>
        <v>13800</v>
      </c>
      <c r="I34" s="52">
        <f t="shared" ref="I34:AK34" si="21">I12-I26</f>
        <v>13940</v>
      </c>
      <c r="J34" s="52">
        <f t="shared" si="21"/>
        <v>14081.400000000001</v>
      </c>
      <c r="K34" s="52">
        <f t="shared" si="21"/>
        <v>14224.213999999998</v>
      </c>
      <c r="L34" s="52">
        <f t="shared" si="21"/>
        <v>14368.456140000002</v>
      </c>
      <c r="M34" s="52">
        <f t="shared" si="21"/>
        <v>14514.1407014</v>
      </c>
      <c r="N34" s="52">
        <f t="shared" si="21"/>
        <v>14661.282108414001</v>
      </c>
      <c r="O34" s="52">
        <f t="shared" si="21"/>
        <v>14809.894929498139</v>
      </c>
      <c r="P34" s="52">
        <f t="shared" si="21"/>
        <v>14959.993878793124</v>
      </c>
      <c r="Q34" s="52">
        <f t="shared" si="21"/>
        <v>15111.593817581055</v>
      </c>
      <c r="R34" s="52">
        <f t="shared" si="21"/>
        <v>15264.709755756865</v>
      </c>
      <c r="S34" s="52">
        <f t="shared" si="21"/>
        <v>15419.356853314433</v>
      </c>
      <c r="T34" s="52">
        <f t="shared" si="21"/>
        <v>15575.550421847578</v>
      </c>
      <c r="U34" s="52">
        <f t="shared" si="21"/>
        <v>15733.305926066052</v>
      </c>
      <c r="V34" s="52">
        <f t="shared" si="21"/>
        <v>15892.638985326716</v>
      </c>
      <c r="W34" s="52">
        <f t="shared" si="21"/>
        <v>16053.56537517998</v>
      </c>
      <c r="X34" s="52">
        <f t="shared" si="21"/>
        <v>16216.101028931784</v>
      </c>
      <c r="Y34" s="52">
        <f t="shared" si="21"/>
        <v>16380.262039221099</v>
      </c>
      <c r="Z34" s="52">
        <f t="shared" si="21"/>
        <v>16546.064659613316</v>
      </c>
      <c r="AA34" s="52">
        <f t="shared" si="21"/>
        <v>16713.525306209445</v>
      </c>
      <c r="AB34" s="52">
        <f t="shared" si="21"/>
        <v>16882.660559271539</v>
      </c>
      <c r="AC34" s="52">
        <f t="shared" si="21"/>
        <v>17053.487164864251</v>
      </c>
      <c r="AD34" s="52">
        <f t="shared" si="21"/>
        <v>17226.022036512899</v>
      </c>
      <c r="AE34" s="52">
        <f t="shared" si="21"/>
        <v>17400.282256878025</v>
      </c>
      <c r="AF34" s="52">
        <f t="shared" si="21"/>
        <v>17576.28507944681</v>
      </c>
      <c r="AG34" s="52">
        <f t="shared" si="21"/>
        <v>17754.047930241279</v>
      </c>
      <c r="AH34" s="52">
        <f t="shared" si="21"/>
        <v>17933.588409543692</v>
      </c>
      <c r="AI34" s="52">
        <f t="shared" si="21"/>
        <v>18114.92429363912</v>
      </c>
      <c r="AJ34" s="52">
        <f t="shared" si="21"/>
        <v>18298.073536575514</v>
      </c>
      <c r="AK34" s="53">
        <f t="shared" si="21"/>
        <v>18483.054271941273</v>
      </c>
    </row>
    <row r="35" spans="1:37" s="17" customFormat="1" ht="38.25" customHeight="1" x14ac:dyDescent="0.25">
      <c r="A35" s="5"/>
      <c r="B35" s="84" t="s">
        <v>325</v>
      </c>
      <c r="C35" s="90">
        <v>0.01</v>
      </c>
      <c r="D35" s="86" t="s">
        <v>26</v>
      </c>
      <c r="E35" s="35"/>
      <c r="F35" s="146"/>
      <c r="G35" s="9" t="s">
        <v>56</v>
      </c>
      <c r="H35" s="14">
        <f t="shared" ref="H35" si="22">H12-H19-H26</f>
        <v>12889.26552250134</v>
      </c>
      <c r="I35" s="14">
        <f t="shared" ref="I35:AK35" si="23">I12-I19-I26</f>
        <v>13058.468698002496</v>
      </c>
      <c r="J35" s="14">
        <f t="shared" si="23"/>
        <v>13229.48335160828</v>
      </c>
      <c r="K35" s="14">
        <f t="shared" si="23"/>
        <v>13402.32928112073</v>
      </c>
      <c r="L35" s="14">
        <f t="shared" si="23"/>
        <v>13577.026506034003</v>
      </c>
      <c r="M35" s="14">
        <f t="shared" si="23"/>
        <v>13753.595270085367</v>
      </c>
      <c r="N35" s="14">
        <f t="shared" si="23"/>
        <v>13932.056043836557</v>
      </c>
      <c r="O35" s="14">
        <f t="shared" si="23"/>
        <v>14112.429527285571</v>
      </c>
      <c r="P35" s="14">
        <f t="shared" si="23"/>
        <v>14294.736652509535</v>
      </c>
      <c r="Q35" s="14">
        <f t="shared" si="23"/>
        <v>14478.998586338828</v>
      </c>
      <c r="R35" s="14">
        <f t="shared" si="23"/>
        <v>14665.23673306301</v>
      </c>
      <c r="S35" s="14">
        <f t="shared" si="23"/>
        <v>14853.472737168764</v>
      </c>
      <c r="T35" s="14">
        <f t="shared" si="23"/>
        <v>15043.728486110411</v>
      </c>
      <c r="U35" s="14">
        <f t="shared" si="23"/>
        <v>15236.026113113297</v>
      </c>
      <c r="V35" s="14">
        <f t="shared" si="23"/>
        <v>15430.388000010475</v>
      </c>
      <c r="W35" s="14">
        <f t="shared" si="23"/>
        <v>15626.836780113081</v>
      </c>
      <c r="X35" s="14">
        <f t="shared" si="23"/>
        <v>15825.395341114892</v>
      </c>
      <c r="Y35" s="14">
        <f t="shared" si="23"/>
        <v>16026.086828031319</v>
      </c>
      <c r="Z35" s="14">
        <f t="shared" si="23"/>
        <v>16228.934646173457</v>
      </c>
      <c r="AA35" s="14">
        <f t="shared" si="23"/>
        <v>16433.962464157452</v>
      </c>
      <c r="AB35" s="14">
        <f t="shared" si="23"/>
        <v>16641.194216949745</v>
      </c>
      <c r="AC35" s="14">
        <f t="shared" si="23"/>
        <v>16850.654108948525</v>
      </c>
      <c r="AD35" s="14">
        <f t="shared" si="23"/>
        <v>17062.366617101925</v>
      </c>
      <c r="AE35" s="14">
        <f t="shared" si="23"/>
        <v>17276.356494063326</v>
      </c>
      <c r="AF35" s="14">
        <f t="shared" si="23"/>
        <v>17492.648771384345</v>
      </c>
      <c r="AG35" s="14">
        <f t="shared" si="23"/>
        <v>17754.047930241279</v>
      </c>
      <c r="AH35" s="14">
        <f t="shared" si="23"/>
        <v>17933.588409543692</v>
      </c>
      <c r="AI35" s="14">
        <f t="shared" si="23"/>
        <v>18114.92429363912</v>
      </c>
      <c r="AJ35" s="14">
        <f t="shared" si="23"/>
        <v>18298.073536575514</v>
      </c>
      <c r="AK35" s="19">
        <f t="shared" si="23"/>
        <v>18483.054271941273</v>
      </c>
    </row>
    <row r="36" spans="1:37" s="17" customFormat="1" ht="38.25" customHeight="1" x14ac:dyDescent="0.25">
      <c r="A36" s="5"/>
      <c r="B36" s="7" t="s">
        <v>323</v>
      </c>
      <c r="C36" s="90">
        <v>0.01</v>
      </c>
      <c r="D36" s="86" t="s">
        <v>26</v>
      </c>
      <c r="E36" s="18"/>
      <c r="F36" s="146"/>
      <c r="G36" s="9" t="s">
        <v>57</v>
      </c>
      <c r="H36" s="52">
        <f t="shared" ref="H36" si="24">H12-H14-H19-H26</f>
        <v>10816.675390107983</v>
      </c>
      <c r="I36" s="52">
        <f t="shared" ref="I36:AJ36" si="25">I12-I14-I19-I26</f>
        <v>10956.675390107986</v>
      </c>
      <c r="J36" s="52">
        <f t="shared" si="25"/>
        <v>11098.075390107988</v>
      </c>
      <c r="K36" s="52">
        <f t="shared" si="25"/>
        <v>11240.889390107981</v>
      </c>
      <c r="L36" s="52">
        <f t="shared" si="25"/>
        <v>11385.131530107989</v>
      </c>
      <c r="M36" s="52">
        <f t="shared" si="25"/>
        <v>11530.816091507982</v>
      </c>
      <c r="N36" s="52">
        <f t="shared" si="25"/>
        <v>11677.957498521988</v>
      </c>
      <c r="O36" s="52">
        <f t="shared" si="25"/>
        <v>11826.570319606126</v>
      </c>
      <c r="P36" s="52">
        <f t="shared" si="25"/>
        <v>11976.669268901111</v>
      </c>
      <c r="Q36" s="52">
        <f t="shared" si="25"/>
        <v>12128.269207689038</v>
      </c>
      <c r="R36" s="52">
        <f t="shared" si="25"/>
        <v>12281.385145864851</v>
      </c>
      <c r="S36" s="52">
        <f t="shared" si="25"/>
        <v>12436.03224342242</v>
      </c>
      <c r="T36" s="52">
        <f t="shared" si="25"/>
        <v>12592.225811955561</v>
      </c>
      <c r="U36" s="52">
        <f t="shared" si="25"/>
        <v>12749.981316174039</v>
      </c>
      <c r="V36" s="52">
        <f t="shared" si="25"/>
        <v>12909.314375434698</v>
      </c>
      <c r="W36" s="52">
        <f t="shared" si="25"/>
        <v>13070.240765287963</v>
      </c>
      <c r="X36" s="52">
        <f t="shared" si="25"/>
        <v>13232.776419039767</v>
      </c>
      <c r="Y36" s="52">
        <f t="shared" si="25"/>
        <v>13396.937429329086</v>
      </c>
      <c r="Z36" s="52">
        <f t="shared" si="25"/>
        <v>13562.740049721298</v>
      </c>
      <c r="AA36" s="52">
        <f t="shared" si="25"/>
        <v>13730.200696317432</v>
      </c>
      <c r="AB36" s="52">
        <f t="shared" si="25"/>
        <v>13899.335949379521</v>
      </c>
      <c r="AC36" s="52">
        <f t="shared" si="25"/>
        <v>14070.162554972239</v>
      </c>
      <c r="AD36" s="52">
        <f t="shared" si="25"/>
        <v>14242.697426620882</v>
      </c>
      <c r="AE36" s="52">
        <f t="shared" si="25"/>
        <v>14416.957646986011</v>
      </c>
      <c r="AF36" s="52">
        <f t="shared" si="25"/>
        <v>14592.960469554795</v>
      </c>
      <c r="AG36" s="52">
        <f t="shared" si="25"/>
        <v>17754.047930241279</v>
      </c>
      <c r="AH36" s="52">
        <f t="shared" si="25"/>
        <v>17933.588409543692</v>
      </c>
      <c r="AI36" s="52">
        <f t="shared" si="25"/>
        <v>18114.92429363912</v>
      </c>
      <c r="AJ36" s="52">
        <f t="shared" si="25"/>
        <v>18298.073536575514</v>
      </c>
      <c r="AK36" s="53">
        <f>AK12-AK14-AK19-AK26</f>
        <v>18483.054271941273</v>
      </c>
    </row>
    <row r="37" spans="1:37" s="36" customFormat="1" ht="38.25" customHeight="1" x14ac:dyDescent="0.25">
      <c r="A37" s="38"/>
      <c r="B37" s="17"/>
      <c r="C37" s="17"/>
      <c r="D37" s="17"/>
      <c r="E37" s="18"/>
      <c r="F37" s="48"/>
      <c r="G37" s="27"/>
      <c r="H37" s="20"/>
      <c r="I37" s="20"/>
      <c r="J37" s="20"/>
      <c r="K37" s="20"/>
      <c r="L37" s="20"/>
      <c r="M37" s="20"/>
      <c r="N37" s="20"/>
      <c r="O37" s="20"/>
      <c r="P37" s="20"/>
      <c r="Q37" s="20"/>
      <c r="R37" s="20"/>
      <c r="S37" s="20"/>
      <c r="T37" s="20"/>
      <c r="U37" s="20"/>
      <c r="V37" s="20"/>
      <c r="W37" s="20"/>
      <c r="X37" s="20"/>
      <c r="Y37" s="20"/>
      <c r="Z37" s="20"/>
      <c r="AA37" s="20"/>
      <c r="AB37" s="20"/>
      <c r="AC37" s="20"/>
      <c r="AD37" s="20"/>
      <c r="AE37" s="20"/>
      <c r="AF37" s="20"/>
      <c r="AG37" s="20"/>
      <c r="AH37" s="20"/>
      <c r="AI37" s="20"/>
      <c r="AJ37" s="20"/>
      <c r="AK37" s="20"/>
    </row>
    <row r="38" spans="1:37" s="17" customFormat="1" ht="38.25" customHeight="1" x14ac:dyDescent="0.25">
      <c r="A38" s="5"/>
      <c r="B38" s="126" t="s">
        <v>10</v>
      </c>
      <c r="C38" s="127" t="s">
        <v>11</v>
      </c>
      <c r="D38" s="128" t="s">
        <v>23</v>
      </c>
      <c r="E38" s="35"/>
      <c r="F38" s="146" t="s">
        <v>88</v>
      </c>
      <c r="G38" s="9" t="s">
        <v>329</v>
      </c>
      <c r="H38" s="52">
        <f t="shared" ref="H38:AK38" si="26">(($C$30*((1+$C$31)^(H$10-1))*0.78)+($C$32*((1+$C$33)^(H$10-1))*0.78))*0.9</f>
        <v>35100</v>
      </c>
      <c r="I38" s="52">
        <f t="shared" si="26"/>
        <v>36328.5</v>
      </c>
      <c r="J38" s="52">
        <f t="shared" si="26"/>
        <v>37600.875</v>
      </c>
      <c r="K38" s="52">
        <f t="shared" si="26"/>
        <v>38918.722050000004</v>
      </c>
      <c r="L38" s="52">
        <f t="shared" si="26"/>
        <v>40283.697343500004</v>
      </c>
      <c r="M38" s="52">
        <f t="shared" si="26"/>
        <v>41697.518441084998</v>
      </c>
      <c r="N38" s="52">
        <f t="shared" si="26"/>
        <v>43161.966578688764</v>
      </c>
      <c r="O38" s="52">
        <f t="shared" si="26"/>
        <v>44678.889063795468</v>
      </c>
      <c r="P38" s="52">
        <f t="shared" si="26"/>
        <v>46250.201762965225</v>
      </c>
      <c r="Q38" s="52">
        <f t="shared" si="26"/>
        <v>47877.891684200309</v>
      </c>
      <c r="R38" s="52">
        <f t="shared" si="26"/>
        <v>49564.01965780629</v>
      </c>
      <c r="S38" s="52">
        <f t="shared" si="26"/>
        <v>51310.72311954364</v>
      </c>
      <c r="T38" s="52">
        <f t="shared" si="26"/>
        <v>53120.219000013254</v>
      </c>
      <c r="U38" s="52">
        <f t="shared" si="26"/>
        <v>54994.806724372283</v>
      </c>
      <c r="V38" s="52">
        <f t="shared" si="26"/>
        <v>56936.871326636421</v>
      </c>
      <c r="W38" s="52">
        <f t="shared" si="26"/>
        <v>58948.886682989811</v>
      </c>
      <c r="X38" s="52">
        <f t="shared" si="26"/>
        <v>61033.418868695961</v>
      </c>
      <c r="Y38" s="52">
        <f t="shared" si="26"/>
        <v>63193.129643381973</v>
      </c>
      <c r="Z38" s="52">
        <f t="shared" si="26"/>
        <v>65430.780069653563</v>
      </c>
      <c r="AA38" s="52">
        <f t="shared" si="26"/>
        <v>67749.234270192086</v>
      </c>
      <c r="AB38" s="52">
        <f t="shared" si="26"/>
        <v>70151.463328684753</v>
      </c>
      <c r="AC38" s="52">
        <f t="shared" si="26"/>
        <v>72640.549340147671</v>
      </c>
      <c r="AD38" s="52">
        <f t="shared" si="26"/>
        <v>75219.689616418545</v>
      </c>
      <c r="AE38" s="52">
        <f t="shared" si="26"/>
        <v>77892.201052820223</v>
      </c>
      <c r="AF38" s="52">
        <f t="shared" si="26"/>
        <v>80661.524662230309</v>
      </c>
      <c r="AG38" s="52">
        <f t="shared" si="26"/>
        <v>83531.230283035737</v>
      </c>
      <c r="AH38" s="52">
        <f t="shared" si="26"/>
        <v>86505.021467702842</v>
      </c>
      <c r="AI38" s="52">
        <f t="shared" si="26"/>
        <v>89586.740558957012</v>
      </c>
      <c r="AJ38" s="52">
        <f t="shared" si="26"/>
        <v>92780.373960837751</v>
      </c>
      <c r="AK38" s="53">
        <f t="shared" si="26"/>
        <v>96090.057612179371</v>
      </c>
    </row>
    <row r="39" spans="1:37" s="17" customFormat="1" ht="38.25" customHeight="1" x14ac:dyDescent="0.25">
      <c r="A39" s="5"/>
      <c r="B39" s="84" t="s">
        <v>8</v>
      </c>
      <c r="C39" s="136">
        <f>C12+C13+C14+(C15*C12)+C21+C22</f>
        <v>261600</v>
      </c>
      <c r="D39" s="85" t="s">
        <v>37</v>
      </c>
      <c r="E39" s="36"/>
      <c r="F39" s="146"/>
      <c r="G39" s="9" t="s">
        <v>64</v>
      </c>
      <c r="H39" s="14">
        <f t="shared" ref="H39:AK39" si="27">IF($C$32=0,H38,(H38/2))</f>
        <v>17550</v>
      </c>
      <c r="I39" s="14">
        <f t="shared" si="27"/>
        <v>18164.25</v>
      </c>
      <c r="J39" s="14">
        <f t="shared" si="27"/>
        <v>18800.4375</v>
      </c>
      <c r="K39" s="14">
        <f t="shared" si="27"/>
        <v>19459.361025000002</v>
      </c>
      <c r="L39" s="14">
        <f t="shared" si="27"/>
        <v>20141.848671750002</v>
      </c>
      <c r="M39" s="14">
        <f t="shared" si="27"/>
        <v>20848.759220542499</v>
      </c>
      <c r="N39" s="14">
        <f t="shared" si="27"/>
        <v>21580.983289344382</v>
      </c>
      <c r="O39" s="14">
        <f t="shared" si="27"/>
        <v>22339.444531897734</v>
      </c>
      <c r="P39" s="14">
        <f t="shared" si="27"/>
        <v>23125.100881482613</v>
      </c>
      <c r="Q39" s="14">
        <f t="shared" si="27"/>
        <v>23938.945842100155</v>
      </c>
      <c r="R39" s="14">
        <f t="shared" si="27"/>
        <v>24782.009828903145</v>
      </c>
      <c r="S39" s="14">
        <f t="shared" si="27"/>
        <v>25655.36155977182</v>
      </c>
      <c r="T39" s="14">
        <f t="shared" si="27"/>
        <v>26560.109500006627</v>
      </c>
      <c r="U39" s="14">
        <f t="shared" si="27"/>
        <v>27497.403362186142</v>
      </c>
      <c r="V39" s="14">
        <f t="shared" si="27"/>
        <v>28468.435663318211</v>
      </c>
      <c r="W39" s="14">
        <f t="shared" si="27"/>
        <v>29474.443341494905</v>
      </c>
      <c r="X39" s="14">
        <f t="shared" si="27"/>
        <v>30516.70943434798</v>
      </c>
      <c r="Y39" s="14">
        <f t="shared" si="27"/>
        <v>31596.564821690987</v>
      </c>
      <c r="Z39" s="14">
        <f t="shared" si="27"/>
        <v>32715.390034826782</v>
      </c>
      <c r="AA39" s="14">
        <f t="shared" si="27"/>
        <v>33874.617135096043</v>
      </c>
      <c r="AB39" s="14">
        <f t="shared" si="27"/>
        <v>35075.731664342376</v>
      </c>
      <c r="AC39" s="14">
        <f t="shared" si="27"/>
        <v>36320.274670073835</v>
      </c>
      <c r="AD39" s="14">
        <f t="shared" si="27"/>
        <v>37609.844808209273</v>
      </c>
      <c r="AE39" s="14">
        <f t="shared" si="27"/>
        <v>38946.100526410111</v>
      </c>
      <c r="AF39" s="14">
        <f t="shared" si="27"/>
        <v>40330.762331115155</v>
      </c>
      <c r="AG39" s="14">
        <f t="shared" si="27"/>
        <v>41765.615141517868</v>
      </c>
      <c r="AH39" s="14">
        <f t="shared" si="27"/>
        <v>43252.510733851421</v>
      </c>
      <c r="AI39" s="14">
        <f t="shared" si="27"/>
        <v>44793.370279478506</v>
      </c>
      <c r="AJ39" s="14">
        <f t="shared" si="27"/>
        <v>46390.186980418875</v>
      </c>
      <c r="AK39" s="19">
        <f t="shared" si="27"/>
        <v>48045.028806089686</v>
      </c>
    </row>
    <row r="40" spans="1:37" s="17" customFormat="1" ht="38.25" customHeight="1" x14ac:dyDescent="0.25">
      <c r="A40" s="5"/>
      <c r="B40" s="84" t="s">
        <v>7</v>
      </c>
      <c r="C40" s="85">
        <f>IF($C$18&lt;=$C$39,C39-C18,0)</f>
        <v>61600</v>
      </c>
      <c r="D40" s="85" t="s">
        <v>37</v>
      </c>
      <c r="E40" s="37"/>
      <c r="F40" s="146"/>
      <c r="G40" s="9" t="s">
        <v>65</v>
      </c>
      <c r="H40" s="52">
        <f>IF(H39&lt;10084,0,
IF(AND(H39&gt;10084,H39&lt;=25710),(H39-10084)*0.11,
IF(AND(H39&gt;25710,H39&lt;=73516),(H39-25710)*0.3+1721.06,
IF(AND(H39&gt;73516,H39&lt;=158122),(H39-73516)*0.41+16062.86,
IF(H39&gt;158122,(H39-158122)*0.45+50751.32,
0)))))</f>
        <v>821.26</v>
      </c>
      <c r="I40" s="52">
        <f t="shared" ref="I40:AK40" si="28">IF(I39&lt;10084,0,
IF(AND(I39&gt;10084,I39&lt;=25710),(I39-10084)*0.11,
IF(AND(I39&gt;25710,I39&lt;=73516),(I39-25710)*0.3+1721.06,
IF(AND(I39&gt;73516,I39&lt;=158122),(I39-73516)*0.41+16062.86,
IF(I39&gt;158122,(I39-158122)*0.45+50751.32,
0)))))</f>
        <v>888.82749999999999</v>
      </c>
      <c r="J40" s="52">
        <f t="shared" si="28"/>
        <v>958.80812500000002</v>
      </c>
      <c r="K40" s="52">
        <f t="shared" si="28"/>
        <v>1031.2897127500003</v>
      </c>
      <c r="L40" s="52">
        <f t="shared" si="28"/>
        <v>1106.3633538925003</v>
      </c>
      <c r="M40" s="52">
        <f t="shared" si="28"/>
        <v>1184.1235142596749</v>
      </c>
      <c r="N40" s="52">
        <f t="shared" si="28"/>
        <v>1264.6681618278819</v>
      </c>
      <c r="O40" s="52">
        <f t="shared" si="28"/>
        <v>1348.0988985087508</v>
      </c>
      <c r="P40" s="52">
        <f t="shared" si="28"/>
        <v>1434.5210969630873</v>
      </c>
      <c r="Q40" s="52">
        <f t="shared" si="28"/>
        <v>1524.044042631017</v>
      </c>
      <c r="R40" s="52">
        <f t="shared" si="28"/>
        <v>1616.7810811793458</v>
      </c>
      <c r="S40" s="52">
        <f t="shared" si="28"/>
        <v>1712.8497715749002</v>
      </c>
      <c r="T40" s="52">
        <f t="shared" si="28"/>
        <v>1976.0928500019882</v>
      </c>
      <c r="U40" s="52">
        <f t="shared" si="28"/>
        <v>2257.2810086558425</v>
      </c>
      <c r="V40" s="52">
        <f t="shared" si="28"/>
        <v>2548.5906989954628</v>
      </c>
      <c r="W40" s="52">
        <f t="shared" si="28"/>
        <v>2850.3930024484716</v>
      </c>
      <c r="X40" s="52">
        <f t="shared" si="28"/>
        <v>3163.0728303043943</v>
      </c>
      <c r="Y40" s="52">
        <f t="shared" si="28"/>
        <v>3487.0294465072957</v>
      </c>
      <c r="Z40" s="52">
        <f t="shared" si="28"/>
        <v>3822.6770104480343</v>
      </c>
      <c r="AA40" s="52">
        <f t="shared" si="28"/>
        <v>4170.4451405288128</v>
      </c>
      <c r="AB40" s="52">
        <f t="shared" si="28"/>
        <v>4530.7794993027128</v>
      </c>
      <c r="AC40" s="52">
        <f t="shared" si="28"/>
        <v>4904.1424010221508</v>
      </c>
      <c r="AD40" s="52">
        <f t="shared" si="28"/>
        <v>5291.0134424627813</v>
      </c>
      <c r="AE40" s="52">
        <f t="shared" si="28"/>
        <v>5691.8901579230333</v>
      </c>
      <c r="AF40" s="52">
        <f t="shared" si="28"/>
        <v>6107.2886993345455</v>
      </c>
      <c r="AG40" s="52">
        <f t="shared" si="28"/>
        <v>6537.7445424553607</v>
      </c>
      <c r="AH40" s="52">
        <f t="shared" si="28"/>
        <v>6983.8132201554254</v>
      </c>
      <c r="AI40" s="52">
        <f t="shared" si="28"/>
        <v>7446.0710838435516</v>
      </c>
      <c r="AJ40" s="52">
        <f t="shared" si="28"/>
        <v>7925.1160941256621</v>
      </c>
      <c r="AK40" s="53">
        <f t="shared" si="28"/>
        <v>8421.5686418269052</v>
      </c>
    </row>
    <row r="41" spans="1:37" s="17" customFormat="1" ht="38.25" customHeight="1" x14ac:dyDescent="0.25">
      <c r="A41" s="5"/>
      <c r="B41" s="84" t="s">
        <v>9</v>
      </c>
      <c r="C41" s="85">
        <f>IF($C$18&lt;=$C$39,(PMT(C19/12,C17*12,C40)*-1)+(C20*C40/12),0)</f>
        <v>248.61038415766791</v>
      </c>
      <c r="D41" s="85" t="s">
        <v>37</v>
      </c>
      <c r="E41" s="37"/>
      <c r="F41" s="146"/>
      <c r="G41" s="9" t="s">
        <v>66</v>
      </c>
      <c r="H41" s="14">
        <f t="shared" ref="H41:AK41" si="29">IF($C$32=0,H40,(H40*2))</f>
        <v>1642.52</v>
      </c>
      <c r="I41" s="14">
        <f t="shared" si="29"/>
        <v>1777.655</v>
      </c>
      <c r="J41" s="14">
        <f t="shared" si="29"/>
        <v>1917.61625</v>
      </c>
      <c r="K41" s="14">
        <f t="shared" si="29"/>
        <v>2062.5794255000005</v>
      </c>
      <c r="L41" s="14">
        <f t="shared" si="29"/>
        <v>2212.7267077850006</v>
      </c>
      <c r="M41" s="14">
        <f t="shared" si="29"/>
        <v>2368.2470285193499</v>
      </c>
      <c r="N41" s="14">
        <f t="shared" si="29"/>
        <v>2529.3363236557639</v>
      </c>
      <c r="O41" s="14">
        <f t="shared" si="29"/>
        <v>2696.1977970175017</v>
      </c>
      <c r="P41" s="14">
        <f t="shared" si="29"/>
        <v>2869.0421939261746</v>
      </c>
      <c r="Q41" s="14">
        <f t="shared" si="29"/>
        <v>3048.0880852620339</v>
      </c>
      <c r="R41" s="14">
        <f t="shared" si="29"/>
        <v>3233.5621623586917</v>
      </c>
      <c r="S41" s="14">
        <f t="shared" si="29"/>
        <v>3425.6995431498003</v>
      </c>
      <c r="T41" s="14">
        <f t="shared" si="29"/>
        <v>3952.1857000039763</v>
      </c>
      <c r="U41" s="14">
        <f t="shared" si="29"/>
        <v>4514.5620173116849</v>
      </c>
      <c r="V41" s="14">
        <f t="shared" si="29"/>
        <v>5097.1813979909257</v>
      </c>
      <c r="W41" s="14">
        <f t="shared" si="29"/>
        <v>5700.7860048969433</v>
      </c>
      <c r="X41" s="14">
        <f t="shared" si="29"/>
        <v>6326.1456606087886</v>
      </c>
      <c r="Y41" s="14">
        <f t="shared" si="29"/>
        <v>6974.0588930145914</v>
      </c>
      <c r="Z41" s="14">
        <f t="shared" si="29"/>
        <v>7645.3540208960685</v>
      </c>
      <c r="AA41" s="14">
        <f t="shared" si="29"/>
        <v>8340.8902810576255</v>
      </c>
      <c r="AB41" s="14">
        <f t="shared" si="29"/>
        <v>9061.5589986054256</v>
      </c>
      <c r="AC41" s="14">
        <f t="shared" si="29"/>
        <v>9808.2848020443016</v>
      </c>
      <c r="AD41" s="14">
        <f t="shared" si="29"/>
        <v>10582.026884925563</v>
      </c>
      <c r="AE41" s="14">
        <f t="shared" si="29"/>
        <v>11383.780315846067</v>
      </c>
      <c r="AF41" s="14">
        <f t="shared" si="29"/>
        <v>12214.577398669091</v>
      </c>
      <c r="AG41" s="14">
        <f t="shared" si="29"/>
        <v>13075.489084910721</v>
      </c>
      <c r="AH41" s="14">
        <f t="shared" si="29"/>
        <v>13967.626440310851</v>
      </c>
      <c r="AI41" s="14">
        <f t="shared" si="29"/>
        <v>14892.142167687103</v>
      </c>
      <c r="AJ41" s="14">
        <f t="shared" si="29"/>
        <v>15850.232188251324</v>
      </c>
      <c r="AK41" s="19">
        <f t="shared" si="29"/>
        <v>16843.13728365381</v>
      </c>
    </row>
    <row r="42" spans="1:37" s="17" customFormat="1" ht="38.25" customHeight="1" x14ac:dyDescent="0.25">
      <c r="A42" s="5"/>
      <c r="B42" s="84" t="s">
        <v>147</v>
      </c>
      <c r="C42" s="129">
        <f>(C23*C25+C24)/C39</f>
        <v>7.4541284403669722E-2</v>
      </c>
      <c r="D42" s="88" t="s">
        <v>26</v>
      </c>
      <c r="E42" s="36"/>
      <c r="F42" s="146"/>
      <c r="G42" s="9" t="s">
        <v>63</v>
      </c>
      <c r="H42" s="52">
        <f t="shared" ref="H42:AK42" si="30">IF($C$32=0,($C$34-1)/0.25*784,($C$34-2)/0.25*784)</f>
        <v>3136</v>
      </c>
      <c r="I42" s="52">
        <f t="shared" si="30"/>
        <v>3136</v>
      </c>
      <c r="J42" s="52">
        <f t="shared" si="30"/>
        <v>3136</v>
      </c>
      <c r="K42" s="52">
        <f t="shared" si="30"/>
        <v>3136</v>
      </c>
      <c r="L42" s="52">
        <f t="shared" si="30"/>
        <v>3136</v>
      </c>
      <c r="M42" s="52">
        <f t="shared" si="30"/>
        <v>3136</v>
      </c>
      <c r="N42" s="52">
        <f t="shared" si="30"/>
        <v>3136</v>
      </c>
      <c r="O42" s="52">
        <f t="shared" si="30"/>
        <v>3136</v>
      </c>
      <c r="P42" s="52">
        <f t="shared" si="30"/>
        <v>3136</v>
      </c>
      <c r="Q42" s="52">
        <f t="shared" si="30"/>
        <v>3136</v>
      </c>
      <c r="R42" s="52">
        <f t="shared" si="30"/>
        <v>3136</v>
      </c>
      <c r="S42" s="52">
        <f t="shared" si="30"/>
        <v>3136</v>
      </c>
      <c r="T42" s="52">
        <f t="shared" si="30"/>
        <v>3136</v>
      </c>
      <c r="U42" s="52">
        <f t="shared" si="30"/>
        <v>3136</v>
      </c>
      <c r="V42" s="52">
        <f t="shared" si="30"/>
        <v>3136</v>
      </c>
      <c r="W42" s="52">
        <f t="shared" si="30"/>
        <v>3136</v>
      </c>
      <c r="X42" s="52">
        <f t="shared" si="30"/>
        <v>3136</v>
      </c>
      <c r="Y42" s="52">
        <f t="shared" si="30"/>
        <v>3136</v>
      </c>
      <c r="Z42" s="52">
        <f t="shared" si="30"/>
        <v>3136</v>
      </c>
      <c r="AA42" s="52">
        <f t="shared" si="30"/>
        <v>3136</v>
      </c>
      <c r="AB42" s="52">
        <f t="shared" si="30"/>
        <v>3136</v>
      </c>
      <c r="AC42" s="52">
        <f t="shared" si="30"/>
        <v>3136</v>
      </c>
      <c r="AD42" s="52">
        <f t="shared" si="30"/>
        <v>3136</v>
      </c>
      <c r="AE42" s="52">
        <f t="shared" si="30"/>
        <v>3136</v>
      </c>
      <c r="AF42" s="52">
        <f t="shared" si="30"/>
        <v>3136</v>
      </c>
      <c r="AG42" s="52">
        <f t="shared" si="30"/>
        <v>3136</v>
      </c>
      <c r="AH42" s="52">
        <f t="shared" si="30"/>
        <v>3136</v>
      </c>
      <c r="AI42" s="52">
        <f t="shared" si="30"/>
        <v>3136</v>
      </c>
      <c r="AJ42" s="52">
        <f t="shared" si="30"/>
        <v>3136</v>
      </c>
      <c r="AK42" s="53">
        <f t="shared" si="30"/>
        <v>3136</v>
      </c>
    </row>
    <row r="43" spans="1:37" s="17" customFormat="1" ht="38.25" customHeight="1" x14ac:dyDescent="0.25">
      <c r="A43" s="5"/>
      <c r="E43" s="36"/>
      <c r="F43" s="146"/>
      <c r="G43" s="9" t="s">
        <v>67</v>
      </c>
      <c r="H43" s="14">
        <f t="shared" ref="H43:AK43" si="31">H38/$C$34</f>
        <v>11700</v>
      </c>
      <c r="I43" s="14">
        <f t="shared" si="31"/>
        <v>12109.5</v>
      </c>
      <c r="J43" s="14">
        <f t="shared" si="31"/>
        <v>12533.625</v>
      </c>
      <c r="K43" s="14">
        <f t="shared" si="31"/>
        <v>12972.907350000001</v>
      </c>
      <c r="L43" s="14">
        <f t="shared" si="31"/>
        <v>13427.899114500002</v>
      </c>
      <c r="M43" s="14">
        <f t="shared" si="31"/>
        <v>13899.172813694999</v>
      </c>
      <c r="N43" s="14">
        <f t="shared" si="31"/>
        <v>14387.322192896254</v>
      </c>
      <c r="O43" s="14">
        <f t="shared" si="31"/>
        <v>14892.963021265155</v>
      </c>
      <c r="P43" s="14">
        <f t="shared" si="31"/>
        <v>15416.733920988408</v>
      </c>
      <c r="Q43" s="14">
        <f t="shared" si="31"/>
        <v>15959.297228066769</v>
      </c>
      <c r="R43" s="14">
        <f t="shared" si="31"/>
        <v>16521.339885935431</v>
      </c>
      <c r="S43" s="14">
        <f t="shared" si="31"/>
        <v>17103.574373181214</v>
      </c>
      <c r="T43" s="14">
        <f t="shared" si="31"/>
        <v>17706.739666671085</v>
      </c>
      <c r="U43" s="14">
        <f t="shared" si="31"/>
        <v>18331.602241457429</v>
      </c>
      <c r="V43" s="14">
        <f t="shared" si="31"/>
        <v>18978.957108878807</v>
      </c>
      <c r="W43" s="14">
        <f t="shared" si="31"/>
        <v>19649.628894329937</v>
      </c>
      <c r="X43" s="14">
        <f t="shared" si="31"/>
        <v>20344.472956231988</v>
      </c>
      <c r="Y43" s="14">
        <f t="shared" si="31"/>
        <v>21064.376547793992</v>
      </c>
      <c r="Z43" s="14">
        <f t="shared" si="31"/>
        <v>21810.260023217856</v>
      </c>
      <c r="AA43" s="14">
        <f t="shared" si="31"/>
        <v>22583.078090064027</v>
      </c>
      <c r="AB43" s="14">
        <f t="shared" si="31"/>
        <v>23383.821109561584</v>
      </c>
      <c r="AC43" s="14">
        <f t="shared" si="31"/>
        <v>24213.51644671589</v>
      </c>
      <c r="AD43" s="14">
        <f t="shared" si="31"/>
        <v>25073.229872139516</v>
      </c>
      <c r="AE43" s="14">
        <f t="shared" si="31"/>
        <v>25964.06701760674</v>
      </c>
      <c r="AF43" s="14">
        <f t="shared" si="31"/>
        <v>26887.174887410103</v>
      </c>
      <c r="AG43" s="14">
        <f t="shared" si="31"/>
        <v>27843.743427678579</v>
      </c>
      <c r="AH43" s="14">
        <f t="shared" si="31"/>
        <v>28835.007155900948</v>
      </c>
      <c r="AI43" s="14">
        <f t="shared" si="31"/>
        <v>29862.246852985671</v>
      </c>
      <c r="AJ43" s="14">
        <f t="shared" si="31"/>
        <v>30926.791320279252</v>
      </c>
      <c r="AK43" s="19">
        <f t="shared" si="31"/>
        <v>32030.01920405979</v>
      </c>
    </row>
    <row r="44" spans="1:37" s="17" customFormat="1" ht="38.25" customHeight="1" x14ac:dyDescent="0.25">
      <c r="A44" s="5"/>
      <c r="E44" s="34"/>
      <c r="F44" s="146"/>
      <c r="G44" s="9" t="s">
        <v>68</v>
      </c>
      <c r="H44" s="52">
        <f>IF(H43&lt;10084,0,
IF(AND(H43&gt;10084,H43&lt;=25710),(H43-10084)*0.11,
IF(AND(H43&gt;25710,H43&lt;=73516),(H43-25710)*0.3+1721.06,
IF(AND(H43&gt;73516,H43&lt;=158122),(H43-73516)*0.41+16062.86,
IF(H43&gt;158122,(H43-158122)*0.45+50751.32,
0)))))</f>
        <v>177.76</v>
      </c>
      <c r="I44" s="52">
        <f t="shared" ref="I44:AK44" si="32">IF(I43&lt;10084,0,
IF(AND(I43&gt;10084,I43&lt;=25710),(I43-10084)*0.11,
IF(AND(I43&gt;25710,I43&lt;=73516),(I43-25710)*0.3+1721.06,
IF(AND(I43&gt;73516,I43&lt;=158122),(I43-73516)*0.41+16062.86,
IF(I43&gt;158122,(I43-158122)*0.45+50751.32,
0)))))</f>
        <v>222.80500000000001</v>
      </c>
      <c r="J44" s="52">
        <f t="shared" si="32"/>
        <v>269.45875000000001</v>
      </c>
      <c r="K44" s="52">
        <f t="shared" si="32"/>
        <v>317.77980850000017</v>
      </c>
      <c r="L44" s="52">
        <f t="shared" si="32"/>
        <v>367.82890259500022</v>
      </c>
      <c r="M44" s="52">
        <f t="shared" si="32"/>
        <v>419.66900950644987</v>
      </c>
      <c r="N44" s="52">
        <f t="shared" si="32"/>
        <v>473.36544121858793</v>
      </c>
      <c r="O44" s="52">
        <f t="shared" si="32"/>
        <v>528.98593233916711</v>
      </c>
      <c r="P44" s="52">
        <f t="shared" si="32"/>
        <v>586.6007313087249</v>
      </c>
      <c r="Q44" s="52">
        <f t="shared" si="32"/>
        <v>646.28269508734456</v>
      </c>
      <c r="R44" s="52">
        <f t="shared" si="32"/>
        <v>708.10738745289746</v>
      </c>
      <c r="S44" s="52">
        <f t="shared" si="32"/>
        <v>772.15318104993355</v>
      </c>
      <c r="T44" s="52">
        <f t="shared" si="32"/>
        <v>838.50136333381931</v>
      </c>
      <c r="U44" s="52">
        <f t="shared" si="32"/>
        <v>907.23624656031723</v>
      </c>
      <c r="V44" s="52">
        <f t="shared" si="32"/>
        <v>978.44528197666875</v>
      </c>
      <c r="W44" s="52">
        <f t="shared" si="32"/>
        <v>1052.219178376293</v>
      </c>
      <c r="X44" s="52">
        <f t="shared" si="32"/>
        <v>1128.6520251855186</v>
      </c>
      <c r="Y44" s="52">
        <f t="shared" si="32"/>
        <v>1207.8414202573392</v>
      </c>
      <c r="Z44" s="52">
        <f t="shared" si="32"/>
        <v>1289.8886025539641</v>
      </c>
      <c r="AA44" s="52">
        <f t="shared" si="32"/>
        <v>1374.8985899070431</v>
      </c>
      <c r="AB44" s="52">
        <f t="shared" si="32"/>
        <v>1462.9803220517742</v>
      </c>
      <c r="AC44" s="52">
        <f t="shared" si="32"/>
        <v>1554.2468091387479</v>
      </c>
      <c r="AD44" s="52">
        <f t="shared" si="32"/>
        <v>1648.8152859353468</v>
      </c>
      <c r="AE44" s="52">
        <f t="shared" si="32"/>
        <v>1797.2801052820219</v>
      </c>
      <c r="AF44" s="52">
        <f t="shared" si="32"/>
        <v>2074.2124662230308</v>
      </c>
      <c r="AG44" s="52">
        <f t="shared" si="32"/>
        <v>2361.1830283035733</v>
      </c>
      <c r="AH44" s="52">
        <f t="shared" si="32"/>
        <v>2658.5621467702845</v>
      </c>
      <c r="AI44" s="52">
        <f t="shared" si="32"/>
        <v>2966.7340558957012</v>
      </c>
      <c r="AJ44" s="52">
        <f t="shared" si="32"/>
        <v>3286.0973960837755</v>
      </c>
      <c r="AK44" s="53">
        <f t="shared" si="32"/>
        <v>3617.0657612179371</v>
      </c>
    </row>
    <row r="45" spans="1:37" s="17" customFormat="1" ht="38.25" customHeight="1" x14ac:dyDescent="0.25">
      <c r="A45" s="5"/>
      <c r="E45" s="18"/>
      <c r="F45" s="146"/>
      <c r="G45" s="9" t="s">
        <v>69</v>
      </c>
      <c r="H45" s="52">
        <f t="shared" ref="H45:AK45" si="33">H44*$C$34</f>
        <v>533.28</v>
      </c>
      <c r="I45" s="52">
        <f t="shared" si="33"/>
        <v>668.41499999999996</v>
      </c>
      <c r="J45" s="52">
        <f t="shared" si="33"/>
        <v>808.37625000000003</v>
      </c>
      <c r="K45" s="52">
        <f t="shared" si="33"/>
        <v>953.33942550000052</v>
      </c>
      <c r="L45" s="52">
        <f t="shared" si="33"/>
        <v>1103.4867077850006</v>
      </c>
      <c r="M45" s="52">
        <f t="shared" si="33"/>
        <v>1259.0070285193497</v>
      </c>
      <c r="N45" s="52">
        <f t="shared" si="33"/>
        <v>1420.0963236557639</v>
      </c>
      <c r="O45" s="52">
        <f t="shared" si="33"/>
        <v>1586.9577970175014</v>
      </c>
      <c r="P45" s="52">
        <f t="shared" si="33"/>
        <v>1759.8021939261748</v>
      </c>
      <c r="Q45" s="52">
        <f t="shared" si="33"/>
        <v>1938.8480852620337</v>
      </c>
      <c r="R45" s="52">
        <f t="shared" si="33"/>
        <v>2124.3221623586924</v>
      </c>
      <c r="S45" s="52">
        <f t="shared" si="33"/>
        <v>2316.4595431498005</v>
      </c>
      <c r="T45" s="52">
        <f t="shared" si="33"/>
        <v>2515.5040900014578</v>
      </c>
      <c r="U45" s="52">
        <f t="shared" si="33"/>
        <v>2721.7087396809516</v>
      </c>
      <c r="V45" s="52">
        <f t="shared" si="33"/>
        <v>2935.3358459300061</v>
      </c>
      <c r="W45" s="52">
        <f t="shared" si="33"/>
        <v>3156.6575351288793</v>
      </c>
      <c r="X45" s="52">
        <f t="shared" si="33"/>
        <v>3385.9560755565558</v>
      </c>
      <c r="Y45" s="52">
        <f t="shared" si="33"/>
        <v>3623.5242607720174</v>
      </c>
      <c r="Z45" s="52">
        <f t="shared" si="33"/>
        <v>3869.6658076618924</v>
      </c>
      <c r="AA45" s="52">
        <f t="shared" si="33"/>
        <v>4124.6957697211292</v>
      </c>
      <c r="AB45" s="52">
        <f t="shared" si="33"/>
        <v>4388.9409661553227</v>
      </c>
      <c r="AC45" s="52">
        <f t="shared" si="33"/>
        <v>4662.7404274162436</v>
      </c>
      <c r="AD45" s="52">
        <f t="shared" si="33"/>
        <v>4946.4458578060403</v>
      </c>
      <c r="AE45" s="52">
        <f t="shared" si="33"/>
        <v>5391.840315846066</v>
      </c>
      <c r="AF45" s="52">
        <f t="shared" si="33"/>
        <v>6222.6373986690924</v>
      </c>
      <c r="AG45" s="52">
        <f t="shared" si="33"/>
        <v>7083.54908491072</v>
      </c>
      <c r="AH45" s="52">
        <f t="shared" si="33"/>
        <v>7975.6864403108539</v>
      </c>
      <c r="AI45" s="52">
        <f t="shared" si="33"/>
        <v>8900.2021676871045</v>
      </c>
      <c r="AJ45" s="52">
        <f t="shared" si="33"/>
        <v>9858.2921882513256</v>
      </c>
      <c r="AK45" s="53">
        <f t="shared" si="33"/>
        <v>10851.197283653812</v>
      </c>
    </row>
    <row r="46" spans="1:37" s="17" customFormat="1" ht="38.25" customHeight="1" x14ac:dyDescent="0.25">
      <c r="A46" s="5"/>
      <c r="E46" s="18"/>
      <c r="F46" s="146"/>
      <c r="G46" s="9" t="s">
        <v>60</v>
      </c>
      <c r="H46" s="52">
        <f>IF(H41-H45&lt;H42,H45,H41-H42)</f>
        <v>533.28</v>
      </c>
      <c r="I46" s="52">
        <f t="shared" ref="I46:AK46" si="34">IF(I41-I45&lt;I42,I45,I41-I42)</f>
        <v>668.41499999999996</v>
      </c>
      <c r="J46" s="52">
        <f t="shared" si="34"/>
        <v>808.37625000000003</v>
      </c>
      <c r="K46" s="52">
        <f t="shared" si="34"/>
        <v>953.33942550000052</v>
      </c>
      <c r="L46" s="52">
        <f t="shared" si="34"/>
        <v>1103.4867077850006</v>
      </c>
      <c r="M46" s="52">
        <f t="shared" si="34"/>
        <v>1259.0070285193497</v>
      </c>
      <c r="N46" s="52">
        <f t="shared" si="34"/>
        <v>1420.0963236557639</v>
      </c>
      <c r="O46" s="52">
        <f t="shared" si="34"/>
        <v>1586.9577970175014</v>
      </c>
      <c r="P46" s="52">
        <f t="shared" si="34"/>
        <v>1759.8021939261748</v>
      </c>
      <c r="Q46" s="52">
        <f t="shared" si="34"/>
        <v>1938.8480852620337</v>
      </c>
      <c r="R46" s="52">
        <f t="shared" si="34"/>
        <v>2124.3221623586924</v>
      </c>
      <c r="S46" s="52">
        <f t="shared" si="34"/>
        <v>2316.4595431498005</v>
      </c>
      <c r="T46" s="52">
        <f t="shared" si="34"/>
        <v>2515.5040900014578</v>
      </c>
      <c r="U46" s="52">
        <f t="shared" si="34"/>
        <v>2721.7087396809516</v>
      </c>
      <c r="V46" s="52">
        <f t="shared" si="34"/>
        <v>2935.3358459300061</v>
      </c>
      <c r="W46" s="52">
        <f t="shared" si="34"/>
        <v>3156.6575351288793</v>
      </c>
      <c r="X46" s="52">
        <f t="shared" si="34"/>
        <v>3385.9560755565558</v>
      </c>
      <c r="Y46" s="52">
        <f t="shared" si="34"/>
        <v>3838.0588930145914</v>
      </c>
      <c r="Z46" s="52">
        <f t="shared" si="34"/>
        <v>4509.3540208960685</v>
      </c>
      <c r="AA46" s="52">
        <f t="shared" si="34"/>
        <v>5204.8902810576255</v>
      </c>
      <c r="AB46" s="52">
        <f t="shared" si="34"/>
        <v>5925.5589986054256</v>
      </c>
      <c r="AC46" s="52">
        <f t="shared" si="34"/>
        <v>6672.2848020443016</v>
      </c>
      <c r="AD46" s="52">
        <f t="shared" si="34"/>
        <v>7446.0268849255626</v>
      </c>
      <c r="AE46" s="52">
        <f t="shared" si="34"/>
        <v>8247.7803158460665</v>
      </c>
      <c r="AF46" s="52">
        <f t="shared" si="34"/>
        <v>9078.5773986690911</v>
      </c>
      <c r="AG46" s="52">
        <f t="shared" si="34"/>
        <v>9939.4890849107214</v>
      </c>
      <c r="AH46" s="52">
        <f t="shared" si="34"/>
        <v>10831.626440310851</v>
      </c>
      <c r="AI46" s="52">
        <f t="shared" si="34"/>
        <v>11756.142167687103</v>
      </c>
      <c r="AJ46" s="52">
        <f t="shared" si="34"/>
        <v>12714.232188251324</v>
      </c>
      <c r="AK46" s="53">
        <f t="shared" si="34"/>
        <v>13707.13728365381</v>
      </c>
    </row>
    <row r="47" spans="1:37" s="17" customFormat="1" ht="38.25" customHeight="1" x14ac:dyDescent="0.25">
      <c r="A47" s="5"/>
      <c r="E47" s="18"/>
      <c r="F47" s="48"/>
      <c r="G47" s="27"/>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row>
    <row r="48" spans="1:37" s="17" customFormat="1" ht="38.25" customHeight="1" x14ac:dyDescent="0.25">
      <c r="A48" s="5"/>
      <c r="B48" s="28"/>
      <c r="E48" s="36"/>
      <c r="F48" s="77" t="s">
        <v>89</v>
      </c>
      <c r="G48" s="9" t="s">
        <v>81</v>
      </c>
      <c r="H48" s="30">
        <f t="shared" ref="H48:AK48" si="35">($C$12+$C$13)*((1+$C$36)^(H$10))</f>
        <v>232300</v>
      </c>
      <c r="I48" s="30">
        <f t="shared" si="35"/>
        <v>234623</v>
      </c>
      <c r="J48" s="30">
        <f t="shared" si="35"/>
        <v>236969.22999999998</v>
      </c>
      <c r="K48" s="30">
        <f t="shared" si="35"/>
        <v>239338.92230000001</v>
      </c>
      <c r="L48" s="30">
        <f t="shared" si="35"/>
        <v>241732.31152299998</v>
      </c>
      <c r="M48" s="30">
        <f t="shared" si="35"/>
        <v>244149.63463823003</v>
      </c>
      <c r="N48" s="30">
        <f t="shared" si="35"/>
        <v>246591.13098461227</v>
      </c>
      <c r="O48" s="30">
        <f t="shared" si="35"/>
        <v>249057.04229445846</v>
      </c>
      <c r="P48" s="30">
        <f t="shared" si="35"/>
        <v>251547.61271740304</v>
      </c>
      <c r="Q48" s="30">
        <f t="shared" si="35"/>
        <v>254063.08884457708</v>
      </c>
      <c r="R48" s="30">
        <f t="shared" si="35"/>
        <v>256603.71973302279</v>
      </c>
      <c r="S48" s="30">
        <f t="shared" si="35"/>
        <v>259169.75693035306</v>
      </c>
      <c r="T48" s="30">
        <f t="shared" si="35"/>
        <v>261761.4544996566</v>
      </c>
      <c r="U48" s="30">
        <f t="shared" si="35"/>
        <v>264379.06904465321</v>
      </c>
      <c r="V48" s="30">
        <f t="shared" si="35"/>
        <v>267022.85973509966</v>
      </c>
      <c r="W48" s="30">
        <f t="shared" si="35"/>
        <v>269693.08833245072</v>
      </c>
      <c r="X48" s="30">
        <f t="shared" si="35"/>
        <v>272390.01921577525</v>
      </c>
      <c r="Y48" s="30">
        <f t="shared" si="35"/>
        <v>275113.91940793302</v>
      </c>
      <c r="Z48" s="30">
        <f t="shared" si="35"/>
        <v>277865.05860201229</v>
      </c>
      <c r="AA48" s="30">
        <f t="shared" si="35"/>
        <v>280643.70918803243</v>
      </c>
      <c r="AB48" s="30">
        <f t="shared" si="35"/>
        <v>283450.14627991273</v>
      </c>
      <c r="AC48" s="30">
        <f t="shared" si="35"/>
        <v>286284.64774271194</v>
      </c>
      <c r="AD48" s="30">
        <f t="shared" si="35"/>
        <v>289147.49422013899</v>
      </c>
      <c r="AE48" s="30">
        <f t="shared" si="35"/>
        <v>292038.96916234045</v>
      </c>
      <c r="AF48" s="30">
        <f t="shared" si="35"/>
        <v>294959.3588539639</v>
      </c>
      <c r="AG48" s="30">
        <f t="shared" si="35"/>
        <v>297908.95244250353</v>
      </c>
      <c r="AH48" s="30">
        <f t="shared" si="35"/>
        <v>300888.04196692846</v>
      </c>
      <c r="AI48" s="30">
        <f t="shared" si="35"/>
        <v>303896.92238659773</v>
      </c>
      <c r="AJ48" s="30">
        <f t="shared" si="35"/>
        <v>306935.89161046373</v>
      </c>
      <c r="AK48" s="31">
        <f t="shared" si="35"/>
        <v>310005.25052656844</v>
      </c>
    </row>
    <row r="49" spans="1:37" s="17" customFormat="1" ht="38.25" customHeight="1" x14ac:dyDescent="0.25">
      <c r="A49" s="5"/>
      <c r="B49" s="28"/>
      <c r="E49" s="36"/>
      <c r="F49" s="49"/>
      <c r="G49" s="27"/>
      <c r="H49" s="20"/>
      <c r="I49" s="20"/>
      <c r="J49" s="20"/>
      <c r="K49" s="20"/>
      <c r="L49" s="20"/>
      <c r="M49" s="20"/>
      <c r="N49" s="20"/>
      <c r="O49" s="20"/>
      <c r="P49" s="20"/>
      <c r="Q49" s="20"/>
      <c r="R49" s="20"/>
      <c r="S49" s="20"/>
      <c r="T49" s="20"/>
      <c r="U49" s="20"/>
      <c r="V49" s="20"/>
      <c r="W49" s="20"/>
      <c r="X49" s="20"/>
      <c r="Y49" s="20"/>
      <c r="Z49" s="20"/>
      <c r="AA49" s="20"/>
      <c r="AB49" s="20"/>
      <c r="AC49" s="20"/>
      <c r="AD49" s="20"/>
      <c r="AE49" s="20"/>
      <c r="AF49" s="20"/>
      <c r="AG49" s="20"/>
      <c r="AH49" s="20"/>
      <c r="AI49" s="20"/>
      <c r="AJ49" s="20"/>
      <c r="AK49" s="20"/>
    </row>
    <row r="50" spans="1:37" s="17" customFormat="1" ht="38.25" customHeight="1" x14ac:dyDescent="0.25">
      <c r="A50" s="5"/>
      <c r="B50" s="28"/>
      <c r="E50" s="36"/>
      <c r="F50" s="203" t="s">
        <v>154</v>
      </c>
      <c r="G50" s="189" t="s">
        <v>310</v>
      </c>
      <c r="H50" s="30">
        <f t="shared" ref="H50:AK50" si="36">900*((1+$C$35)^(H$10-1))</f>
        <v>900</v>
      </c>
      <c r="I50" s="30">
        <f t="shared" si="36"/>
        <v>909</v>
      </c>
      <c r="J50" s="30">
        <f t="shared" si="36"/>
        <v>918.09</v>
      </c>
      <c r="K50" s="30">
        <f t="shared" si="36"/>
        <v>927.27089999999987</v>
      </c>
      <c r="L50" s="30">
        <f t="shared" si="36"/>
        <v>936.54360900000006</v>
      </c>
      <c r="M50" s="30">
        <f t="shared" si="36"/>
        <v>945.90904508999995</v>
      </c>
      <c r="N50" s="30">
        <f t="shared" si="36"/>
        <v>955.36813554090008</v>
      </c>
      <c r="O50" s="30">
        <f t="shared" si="36"/>
        <v>964.92181689630888</v>
      </c>
      <c r="P50" s="30">
        <f t="shared" si="36"/>
        <v>974.57103506527221</v>
      </c>
      <c r="Q50" s="30">
        <f t="shared" si="36"/>
        <v>984.31674541592497</v>
      </c>
      <c r="R50" s="30">
        <f t="shared" si="36"/>
        <v>994.15991287008433</v>
      </c>
      <c r="S50" s="30">
        <f t="shared" si="36"/>
        <v>1004.1015119987849</v>
      </c>
      <c r="T50" s="30">
        <f t="shared" si="36"/>
        <v>1014.1425271187728</v>
      </c>
      <c r="U50" s="30">
        <f t="shared" si="36"/>
        <v>1024.2839523899606</v>
      </c>
      <c r="V50" s="30">
        <f t="shared" si="36"/>
        <v>1034.5267919138603</v>
      </c>
      <c r="W50" s="30">
        <f t="shared" si="36"/>
        <v>1044.8720598329985</v>
      </c>
      <c r="X50" s="30">
        <f t="shared" si="36"/>
        <v>1055.320780431329</v>
      </c>
      <c r="Y50" s="30">
        <f t="shared" si="36"/>
        <v>1065.8739882356422</v>
      </c>
      <c r="Z50" s="30">
        <f t="shared" si="36"/>
        <v>1076.5327281179987</v>
      </c>
      <c r="AA50" s="30">
        <f t="shared" si="36"/>
        <v>1087.2980553991786</v>
      </c>
      <c r="AB50" s="30">
        <f t="shared" si="36"/>
        <v>1098.1710359531703</v>
      </c>
      <c r="AC50" s="30">
        <f t="shared" si="36"/>
        <v>1109.152746312702</v>
      </c>
      <c r="AD50" s="30">
        <f t="shared" si="36"/>
        <v>1120.2442737758292</v>
      </c>
      <c r="AE50" s="30">
        <f t="shared" si="36"/>
        <v>1131.4467165135873</v>
      </c>
      <c r="AF50" s="30">
        <f t="shared" si="36"/>
        <v>1142.7611836787235</v>
      </c>
      <c r="AG50" s="30">
        <f t="shared" si="36"/>
        <v>1154.1887955155109</v>
      </c>
      <c r="AH50" s="30">
        <f t="shared" si="36"/>
        <v>1165.730683470666</v>
      </c>
      <c r="AI50" s="30">
        <f t="shared" si="36"/>
        <v>1177.3879903053721</v>
      </c>
      <c r="AJ50" s="30">
        <f t="shared" si="36"/>
        <v>1189.1618702084261</v>
      </c>
      <c r="AK50" s="31">
        <f t="shared" si="36"/>
        <v>1201.0534889105104</v>
      </c>
    </row>
    <row r="51" spans="1:37" s="17" customFormat="1" ht="38.25" customHeight="1" x14ac:dyDescent="0.25">
      <c r="A51" s="5"/>
      <c r="B51" s="28"/>
      <c r="E51" s="36"/>
      <c r="F51" s="204"/>
      <c r="G51" s="190" t="s">
        <v>274</v>
      </c>
      <c r="H51" s="52">
        <f t="shared" ref="H51:AK51" si="37">H12*0.025</f>
        <v>487.5</v>
      </c>
      <c r="I51" s="52">
        <f t="shared" si="37"/>
        <v>492.375</v>
      </c>
      <c r="J51" s="52">
        <f t="shared" si="37"/>
        <v>497.29875000000004</v>
      </c>
      <c r="K51" s="52">
        <f t="shared" si="37"/>
        <v>502.27173749999997</v>
      </c>
      <c r="L51" s="52">
        <f t="shared" si="37"/>
        <v>507.2944548750001</v>
      </c>
      <c r="M51" s="52">
        <f t="shared" si="37"/>
        <v>512.36739942375004</v>
      </c>
      <c r="N51" s="52">
        <f t="shared" si="37"/>
        <v>517.49107341798754</v>
      </c>
      <c r="O51" s="52">
        <f t="shared" si="37"/>
        <v>522.66598415216731</v>
      </c>
      <c r="P51" s="52">
        <f t="shared" si="37"/>
        <v>527.89264399368915</v>
      </c>
      <c r="Q51" s="52">
        <f t="shared" si="37"/>
        <v>533.17157043362602</v>
      </c>
      <c r="R51" s="52">
        <f t="shared" si="37"/>
        <v>538.50328613796228</v>
      </c>
      <c r="S51" s="52">
        <f t="shared" si="37"/>
        <v>543.88831899934189</v>
      </c>
      <c r="T51" s="52">
        <f t="shared" si="37"/>
        <v>549.32720218933525</v>
      </c>
      <c r="U51" s="52">
        <f t="shared" si="37"/>
        <v>554.82047421122866</v>
      </c>
      <c r="V51" s="52">
        <f t="shared" si="37"/>
        <v>560.36867895334103</v>
      </c>
      <c r="W51" s="52">
        <f t="shared" si="37"/>
        <v>565.97236574287433</v>
      </c>
      <c r="X51" s="52">
        <f t="shared" si="37"/>
        <v>571.63208940030324</v>
      </c>
      <c r="Y51" s="52">
        <f t="shared" si="37"/>
        <v>577.34841029430618</v>
      </c>
      <c r="Z51" s="52">
        <f t="shared" si="37"/>
        <v>583.12189439724932</v>
      </c>
      <c r="AA51" s="52">
        <f t="shared" si="37"/>
        <v>588.95311334122175</v>
      </c>
      <c r="AB51" s="52">
        <f t="shared" si="37"/>
        <v>594.84264447463397</v>
      </c>
      <c r="AC51" s="52">
        <f t="shared" si="37"/>
        <v>600.79107091938022</v>
      </c>
      <c r="AD51" s="52">
        <f t="shared" si="37"/>
        <v>606.79898162857421</v>
      </c>
      <c r="AE51" s="52">
        <f t="shared" si="37"/>
        <v>612.86697144485981</v>
      </c>
      <c r="AF51" s="52">
        <f t="shared" si="37"/>
        <v>618.99564115930855</v>
      </c>
      <c r="AG51" s="52">
        <f t="shared" si="37"/>
        <v>625.18559757090179</v>
      </c>
      <c r="AH51" s="52">
        <f t="shared" si="37"/>
        <v>631.43745354661075</v>
      </c>
      <c r="AI51" s="52">
        <f t="shared" si="37"/>
        <v>637.7518280820766</v>
      </c>
      <c r="AJ51" s="52">
        <f t="shared" si="37"/>
        <v>644.12934636289742</v>
      </c>
      <c r="AK51" s="53">
        <f t="shared" si="37"/>
        <v>650.57063982652653</v>
      </c>
    </row>
    <row r="52" spans="1:37" s="17" customFormat="1" ht="38.25" customHeight="1" x14ac:dyDescent="0.25">
      <c r="A52" s="5"/>
      <c r="B52" s="28"/>
      <c r="E52" s="36"/>
      <c r="F52" s="204"/>
      <c r="G52" s="191" t="s">
        <v>343</v>
      </c>
      <c r="H52" s="52">
        <f t="shared" ref="H52:AK52" si="38">H24*0.25</f>
        <v>500</v>
      </c>
      <c r="I52" s="52">
        <f t="shared" si="38"/>
        <v>505</v>
      </c>
      <c r="J52" s="52">
        <f t="shared" si="38"/>
        <v>510.05</v>
      </c>
      <c r="K52" s="52">
        <f t="shared" si="38"/>
        <v>515.15049999999997</v>
      </c>
      <c r="L52" s="52">
        <f t="shared" si="38"/>
        <v>520.30200500000001</v>
      </c>
      <c r="M52" s="52">
        <f t="shared" si="38"/>
        <v>525.50502504999997</v>
      </c>
      <c r="N52" s="52">
        <f t="shared" si="38"/>
        <v>530.76007530050003</v>
      </c>
      <c r="O52" s="52">
        <f t="shared" si="38"/>
        <v>536.0676760535049</v>
      </c>
      <c r="P52" s="52">
        <f t="shared" si="38"/>
        <v>541.42835281404007</v>
      </c>
      <c r="Q52" s="52">
        <f t="shared" si="38"/>
        <v>546.84263634218053</v>
      </c>
      <c r="R52" s="52">
        <f t="shared" si="38"/>
        <v>552.31106270560235</v>
      </c>
      <c r="S52" s="52">
        <f t="shared" si="38"/>
        <v>557.83417333265822</v>
      </c>
      <c r="T52" s="52">
        <f t="shared" si="38"/>
        <v>563.41251506598485</v>
      </c>
      <c r="U52" s="52">
        <f t="shared" si="38"/>
        <v>569.04664021664473</v>
      </c>
      <c r="V52" s="52">
        <f t="shared" si="38"/>
        <v>574.73710661881125</v>
      </c>
      <c r="W52" s="52">
        <f t="shared" si="38"/>
        <v>580.48447768499921</v>
      </c>
      <c r="X52" s="52">
        <f t="shared" si="38"/>
        <v>586.28932246184934</v>
      </c>
      <c r="Y52" s="52">
        <f t="shared" si="38"/>
        <v>592.15221568646791</v>
      </c>
      <c r="Z52" s="52">
        <f t="shared" si="38"/>
        <v>598.07373784333265</v>
      </c>
      <c r="AA52" s="52">
        <f t="shared" si="38"/>
        <v>604.05447522176576</v>
      </c>
      <c r="AB52" s="52">
        <f t="shared" si="38"/>
        <v>610.09501997398354</v>
      </c>
      <c r="AC52" s="52">
        <f t="shared" si="38"/>
        <v>616.19597017372325</v>
      </c>
      <c r="AD52" s="52">
        <f t="shared" si="38"/>
        <v>622.35792987546063</v>
      </c>
      <c r="AE52" s="52">
        <f t="shared" si="38"/>
        <v>628.58150917421517</v>
      </c>
      <c r="AF52" s="52">
        <f t="shared" si="38"/>
        <v>634.86732426595745</v>
      </c>
      <c r="AG52" s="52">
        <f t="shared" si="38"/>
        <v>641.21599750861708</v>
      </c>
      <c r="AH52" s="52">
        <f t="shared" si="38"/>
        <v>647.62815748370326</v>
      </c>
      <c r="AI52" s="52">
        <f t="shared" si="38"/>
        <v>654.10443905854015</v>
      </c>
      <c r="AJ52" s="52">
        <f t="shared" si="38"/>
        <v>660.64548344912555</v>
      </c>
      <c r="AK52" s="53">
        <f t="shared" si="38"/>
        <v>667.25193828361682</v>
      </c>
    </row>
    <row r="53" spans="1:37" s="17" customFormat="1" ht="38.25" customHeight="1" x14ac:dyDescent="0.25">
      <c r="A53" s="5"/>
      <c r="B53" s="28"/>
      <c r="E53" s="36"/>
      <c r="F53" s="204"/>
      <c r="G53" s="189" t="s">
        <v>151</v>
      </c>
      <c r="H53" s="14">
        <f>IF(H$10=1,H$19+H$26+H$32+H$50+H$51+H$52+$C$21+$C$22,H$19+H$26+H$32+H$50+H$51+H$52)</f>
        <v>21446.805906070087</v>
      </c>
      <c r="I53" s="14">
        <f t="shared" ref="I53:AK53" si="39">IF(I$10=1,I$19+I$26+I$32+I$50+I$51+I$52+$C$21+$C$22,I$19+I$26+I$32+I$50+I$51+I$52)</f>
        <v>17491.477730568935</v>
      </c>
      <c r="J53" s="14">
        <f t="shared" si="39"/>
        <v>17536.47682696315</v>
      </c>
      <c r="K53" s="14">
        <f t="shared" si="39"/>
        <v>17581.804784950691</v>
      </c>
      <c r="L53" s="14">
        <f t="shared" si="39"/>
        <v>17627.463186412428</v>
      </c>
      <c r="M53" s="14">
        <f t="shared" si="39"/>
        <v>17673.453604999806</v>
      </c>
      <c r="N53" s="14">
        <f t="shared" si="39"/>
        <v>17719.777605713756</v>
      </c>
      <c r="O53" s="14">
        <f t="shared" si="39"/>
        <v>16337.865315903102</v>
      </c>
      <c r="P53" s="14">
        <f t="shared" si="39"/>
        <v>16384.861139111032</v>
      </c>
      <c r="Q53" s="14">
        <f t="shared" si="39"/>
        <v>16432.195183197942</v>
      </c>
      <c r="R53" s="14">
        <f t="shared" si="39"/>
        <v>15479.868974169131</v>
      </c>
      <c r="S53" s="14">
        <f t="shared" si="39"/>
        <v>15527.884027135695</v>
      </c>
      <c r="T53" s="14">
        <f t="shared" si="39"/>
        <v>15576.241845837092</v>
      </c>
      <c r="U53" s="14">
        <f t="shared" si="39"/>
        <v>15624.94392215368</v>
      </c>
      <c r="V53" s="14">
        <f t="shared" si="39"/>
        <v>15673.991735609176</v>
      </c>
      <c r="W53" s="14">
        <f t="shared" si="39"/>
        <v>15723.38675286276</v>
      </c>
      <c r="X53" s="14">
        <f t="shared" si="39"/>
        <v>15773.130427190716</v>
      </c>
      <c r="Y53" s="14">
        <f t="shared" si="39"/>
        <v>15823.224197957346</v>
      </c>
      <c r="Z53" s="14">
        <f t="shared" si="39"/>
        <v>15873.669490075097</v>
      </c>
      <c r="AA53" s="14">
        <f t="shared" si="39"/>
        <v>15924.467713453583</v>
      </c>
      <c r="AB53" s="14">
        <f t="shared" si="39"/>
        <v>15975.6202624374</v>
      </c>
      <c r="AC53" s="14">
        <f t="shared" si="39"/>
        <v>16027.128515232487</v>
      </c>
      <c r="AD53" s="14">
        <f t="shared" si="39"/>
        <v>16078.993833320905</v>
      </c>
      <c r="AE53" s="14">
        <f t="shared" si="39"/>
        <v>16131.217560863728</v>
      </c>
      <c r="AF53" s="14">
        <f t="shared" si="39"/>
        <v>16183.801024091985</v>
      </c>
      <c r="AG53" s="14">
        <f t="shared" si="39"/>
        <v>16193.966363189818</v>
      </c>
      <c r="AH53" s="14">
        <f t="shared" si="39"/>
        <v>16288.706026821714</v>
      </c>
      <c r="AI53" s="14">
        <f t="shared" si="39"/>
        <v>16384.393087089931</v>
      </c>
      <c r="AJ53" s="14">
        <f t="shared" si="39"/>
        <v>16481.037017960833</v>
      </c>
      <c r="AK53" s="19">
        <f t="shared" si="39"/>
        <v>16578.647388140438</v>
      </c>
    </row>
    <row r="54" spans="1:37" s="17" customFormat="1" ht="38.25" customHeight="1" x14ac:dyDescent="0.25">
      <c r="A54" s="5"/>
      <c r="B54" s="28"/>
      <c r="E54" s="36"/>
      <c r="F54" s="204"/>
      <c r="G54" s="189" t="s">
        <v>152</v>
      </c>
      <c r="H54" s="52">
        <f>IF(H$10=1,0,IF(G$54+G$53-G$12&gt;0,G$54+G$53-G$12,0))</f>
        <v>0</v>
      </c>
      <c r="I54" s="52">
        <f t="shared" ref="I54:AK54" si="40">IF(I$10=1,0,IF(H$54+H$53-H$12&gt;0,H$54+H$53-H$12,0))</f>
        <v>1946.8059060700871</v>
      </c>
      <c r="J54" s="52">
        <f t="shared" si="40"/>
        <v>0</v>
      </c>
      <c r="K54" s="52">
        <f t="shared" si="40"/>
        <v>0</v>
      </c>
      <c r="L54" s="52">
        <f t="shared" si="40"/>
        <v>0</v>
      </c>
      <c r="M54" s="52">
        <f t="shared" si="40"/>
        <v>0</v>
      </c>
      <c r="N54" s="52">
        <f t="shared" si="40"/>
        <v>0</v>
      </c>
      <c r="O54" s="52">
        <f t="shared" si="40"/>
        <v>0</v>
      </c>
      <c r="P54" s="52">
        <f t="shared" si="40"/>
        <v>0</v>
      </c>
      <c r="Q54" s="52">
        <f t="shared" si="40"/>
        <v>0</v>
      </c>
      <c r="R54" s="52">
        <f t="shared" si="40"/>
        <v>0</v>
      </c>
      <c r="S54" s="52">
        <f t="shared" si="40"/>
        <v>0</v>
      </c>
      <c r="T54" s="52">
        <f t="shared" si="40"/>
        <v>0</v>
      </c>
      <c r="U54" s="52">
        <f t="shared" si="40"/>
        <v>0</v>
      </c>
      <c r="V54" s="52">
        <f t="shared" si="40"/>
        <v>0</v>
      </c>
      <c r="W54" s="52">
        <f t="shared" si="40"/>
        <v>0</v>
      </c>
      <c r="X54" s="52">
        <f t="shared" si="40"/>
        <v>0</v>
      </c>
      <c r="Y54" s="52">
        <f t="shared" si="40"/>
        <v>0</v>
      </c>
      <c r="Z54" s="52">
        <f t="shared" si="40"/>
        <v>0</v>
      </c>
      <c r="AA54" s="52">
        <f t="shared" si="40"/>
        <v>0</v>
      </c>
      <c r="AB54" s="52">
        <f t="shared" si="40"/>
        <v>0</v>
      </c>
      <c r="AC54" s="52">
        <f t="shared" si="40"/>
        <v>0</v>
      </c>
      <c r="AD54" s="52">
        <f t="shared" si="40"/>
        <v>0</v>
      </c>
      <c r="AE54" s="52">
        <f t="shared" si="40"/>
        <v>0</v>
      </c>
      <c r="AF54" s="52">
        <f t="shared" si="40"/>
        <v>0</v>
      </c>
      <c r="AG54" s="52">
        <f t="shared" si="40"/>
        <v>0</v>
      </c>
      <c r="AH54" s="52">
        <f t="shared" si="40"/>
        <v>0</v>
      </c>
      <c r="AI54" s="52">
        <f t="shared" si="40"/>
        <v>0</v>
      </c>
      <c r="AJ54" s="52">
        <f t="shared" si="40"/>
        <v>0</v>
      </c>
      <c r="AK54" s="53">
        <f t="shared" si="40"/>
        <v>0</v>
      </c>
    </row>
    <row r="55" spans="1:37" s="17" customFormat="1" ht="38.25" customHeight="1" x14ac:dyDescent="0.25">
      <c r="A55" s="5"/>
      <c r="B55" s="28"/>
      <c r="E55" s="36"/>
      <c r="F55" s="204"/>
      <c r="G55" s="192" t="s">
        <v>145</v>
      </c>
      <c r="H55" s="14">
        <f>IF(H12-H53-H54&lt;=0,0,H12-H53-H54)</f>
        <v>0</v>
      </c>
      <c r="I55" s="14">
        <f t="shared" ref="I55:AK55" si="41">IF(I12-I53-I54&lt;=0,0,I12-I53-I54)</f>
        <v>256.71636336097799</v>
      </c>
      <c r="J55" s="14">
        <f t="shared" si="41"/>
        <v>2355.4731730368512</v>
      </c>
      <c r="K55" s="14">
        <f t="shared" si="41"/>
        <v>2509.064715049306</v>
      </c>
      <c r="L55" s="14">
        <f t="shared" si="41"/>
        <v>2664.315008587575</v>
      </c>
      <c r="M55" s="14">
        <f t="shared" si="41"/>
        <v>2821.242371950193</v>
      </c>
      <c r="N55" s="14">
        <f t="shared" si="41"/>
        <v>2979.8653310057452</v>
      </c>
      <c r="O55" s="14">
        <f t="shared" si="41"/>
        <v>4568.7740501835906</v>
      </c>
      <c r="P55" s="14">
        <f t="shared" si="41"/>
        <v>4730.8446206365334</v>
      </c>
      <c r="Q55" s="14">
        <f t="shared" si="41"/>
        <v>4894.6676341470993</v>
      </c>
      <c r="R55" s="14">
        <f t="shared" si="41"/>
        <v>6060.2624713493606</v>
      </c>
      <c r="S55" s="14">
        <f t="shared" si="41"/>
        <v>6227.648732837979</v>
      </c>
      <c r="T55" s="14">
        <f t="shared" si="41"/>
        <v>6396.8462417363189</v>
      </c>
      <c r="U55" s="14">
        <f t="shared" si="41"/>
        <v>6567.8750462954649</v>
      </c>
      <c r="V55" s="14">
        <f t="shared" si="41"/>
        <v>6740.7554225244639</v>
      </c>
      <c r="W55" s="14">
        <f t="shared" si="41"/>
        <v>6915.5078768522108</v>
      </c>
      <c r="X55" s="14">
        <f t="shared" si="41"/>
        <v>7092.1531488214114</v>
      </c>
      <c r="Y55" s="14">
        <f t="shared" si="41"/>
        <v>7270.7122138149007</v>
      </c>
      <c r="Z55" s="14">
        <f t="shared" si="41"/>
        <v>7451.2062858148765</v>
      </c>
      <c r="AA55" s="14">
        <f t="shared" si="41"/>
        <v>7633.656820195285</v>
      </c>
      <c r="AB55" s="14">
        <f t="shared" si="41"/>
        <v>7818.085516547957</v>
      </c>
      <c r="AC55" s="14">
        <f t="shared" si="41"/>
        <v>8004.5143215427215</v>
      </c>
      <c r="AD55" s="14">
        <f t="shared" si="41"/>
        <v>8192.9654318220619</v>
      </c>
      <c r="AE55" s="14">
        <f t="shared" si="41"/>
        <v>8383.4612969306636</v>
      </c>
      <c r="AF55" s="14">
        <f t="shared" si="41"/>
        <v>8576.0246222803562</v>
      </c>
      <c r="AG55" s="14">
        <f t="shared" si="41"/>
        <v>8813.4575396462496</v>
      </c>
      <c r="AH55" s="14">
        <f t="shared" si="41"/>
        <v>8968.7921150427137</v>
      </c>
      <c r="AI55" s="14">
        <f t="shared" si="41"/>
        <v>9125.6800361931309</v>
      </c>
      <c r="AJ55" s="14">
        <f t="shared" si="41"/>
        <v>9284.1368365550625</v>
      </c>
      <c r="AK55" s="19">
        <f t="shared" si="41"/>
        <v>9444.1782049206195</v>
      </c>
    </row>
    <row r="56" spans="1:37" s="17" customFormat="1" ht="38.25" customHeight="1" x14ac:dyDescent="0.25">
      <c r="A56" s="5"/>
      <c r="B56" s="28"/>
      <c r="E56" s="36"/>
      <c r="F56" s="204"/>
      <c r="G56" s="190" t="s">
        <v>144</v>
      </c>
      <c r="H56" s="52">
        <f>IF(H55&lt;=38400,H55*0.15,(H55-38400)*0.28+38400*0.15)</f>
        <v>0</v>
      </c>
      <c r="I56" s="52">
        <f t="shared" ref="I56:AK56" si="42">IF(I55&lt;=38400,I55*0.15,(I55-38400)*0.28+38400*0.15)</f>
        <v>38.5074545041467</v>
      </c>
      <c r="J56" s="52">
        <f t="shared" si="42"/>
        <v>353.32097595552767</v>
      </c>
      <c r="K56" s="52">
        <f t="shared" si="42"/>
        <v>376.35970725739588</v>
      </c>
      <c r="L56" s="52">
        <f t="shared" si="42"/>
        <v>399.64725128813626</v>
      </c>
      <c r="M56" s="52">
        <f t="shared" si="42"/>
        <v>423.18635579252896</v>
      </c>
      <c r="N56" s="52">
        <f t="shared" si="42"/>
        <v>446.97979965086176</v>
      </c>
      <c r="O56" s="52">
        <f t="shared" si="42"/>
        <v>685.31610752753852</v>
      </c>
      <c r="P56" s="52">
        <f t="shared" si="42"/>
        <v>709.62669309547994</v>
      </c>
      <c r="Q56" s="52">
        <f t="shared" si="42"/>
        <v>734.2001451220649</v>
      </c>
      <c r="R56" s="52">
        <f t="shared" si="42"/>
        <v>909.03937070240409</v>
      </c>
      <c r="S56" s="52">
        <f t="shared" si="42"/>
        <v>934.14730992569685</v>
      </c>
      <c r="T56" s="52">
        <f t="shared" si="42"/>
        <v>959.52693626044777</v>
      </c>
      <c r="U56" s="52">
        <f t="shared" si="42"/>
        <v>985.18125694431967</v>
      </c>
      <c r="V56" s="52">
        <f t="shared" si="42"/>
        <v>1011.1133133786695</v>
      </c>
      <c r="W56" s="52">
        <f t="shared" si="42"/>
        <v>1037.3261815278315</v>
      </c>
      <c r="X56" s="52">
        <f t="shared" si="42"/>
        <v>1063.8229723232116</v>
      </c>
      <c r="Y56" s="52">
        <f t="shared" si="42"/>
        <v>1090.606832072235</v>
      </c>
      <c r="Z56" s="52">
        <f t="shared" si="42"/>
        <v>1117.6809428722315</v>
      </c>
      <c r="AA56" s="52">
        <f t="shared" si="42"/>
        <v>1145.0485230292927</v>
      </c>
      <c r="AB56" s="52">
        <f t="shared" si="42"/>
        <v>1172.7128274821935</v>
      </c>
      <c r="AC56" s="52">
        <f t="shared" si="42"/>
        <v>1200.6771482314082</v>
      </c>
      <c r="AD56" s="52">
        <f t="shared" si="42"/>
        <v>1228.9448147733092</v>
      </c>
      <c r="AE56" s="52">
        <f t="shared" si="42"/>
        <v>1257.5191945395995</v>
      </c>
      <c r="AF56" s="52">
        <f t="shared" si="42"/>
        <v>1286.4036933420534</v>
      </c>
      <c r="AG56" s="52">
        <f t="shared" si="42"/>
        <v>1322.0186309469375</v>
      </c>
      <c r="AH56" s="52">
        <f t="shared" si="42"/>
        <v>1345.3188172564071</v>
      </c>
      <c r="AI56" s="52">
        <f t="shared" si="42"/>
        <v>1368.8520054289695</v>
      </c>
      <c r="AJ56" s="52">
        <f t="shared" si="42"/>
        <v>1392.6205254832594</v>
      </c>
      <c r="AK56" s="53">
        <f t="shared" si="42"/>
        <v>1416.6267307380929</v>
      </c>
    </row>
    <row r="57" spans="1:37" s="36" customFormat="1" ht="38.25" customHeight="1" x14ac:dyDescent="0.25">
      <c r="A57" s="38"/>
      <c r="B57" s="22"/>
      <c r="F57" s="204"/>
      <c r="G57" s="198" t="s">
        <v>282</v>
      </c>
      <c r="H57" s="199">
        <f>H12-H19-H26-H14-H52-H51-H50-H56</f>
        <v>8929.1753901079828</v>
      </c>
      <c r="I57" s="199">
        <f t="shared" ref="I57:AK57" si="43">I12-I19-I26-I14-I52-I51-I50-I56</f>
        <v>9011.7929356038403</v>
      </c>
      <c r="J57" s="199">
        <f t="shared" si="43"/>
        <v>8819.3156641524602</v>
      </c>
      <c r="K57" s="199">
        <f t="shared" si="43"/>
        <v>8919.8365453505885</v>
      </c>
      <c r="L57" s="199">
        <f t="shared" si="43"/>
        <v>9021.344209944853</v>
      </c>
      <c r="M57" s="199">
        <f t="shared" si="43"/>
        <v>9123.848266151701</v>
      </c>
      <c r="N57" s="199">
        <f t="shared" si="43"/>
        <v>9227.3584146117355</v>
      </c>
      <c r="O57" s="199">
        <f t="shared" si="43"/>
        <v>9117.5987349766074</v>
      </c>
      <c r="P57" s="199">
        <f t="shared" si="43"/>
        <v>9223.1505439326284</v>
      </c>
      <c r="Q57" s="199">
        <f t="shared" si="43"/>
        <v>9329.7381103752414</v>
      </c>
      <c r="R57" s="199">
        <f t="shared" si="43"/>
        <v>9287.3715134487975</v>
      </c>
      <c r="S57" s="199">
        <f t="shared" si="43"/>
        <v>9396.0609291659384</v>
      </c>
      <c r="T57" s="199">
        <f t="shared" si="43"/>
        <v>9505.8166313210186</v>
      </c>
      <c r="U57" s="199">
        <f t="shared" si="43"/>
        <v>9616.648992411885</v>
      </c>
      <c r="V57" s="199">
        <f t="shared" si="43"/>
        <v>9728.568484570018</v>
      </c>
      <c r="W57" s="199">
        <f t="shared" si="43"/>
        <v>9841.58568049926</v>
      </c>
      <c r="X57" s="199">
        <f t="shared" si="43"/>
        <v>9955.7112544230731</v>
      </c>
      <c r="Y57" s="199">
        <f t="shared" si="43"/>
        <v>10070.955983040434</v>
      </c>
      <c r="Z57" s="199">
        <f t="shared" si="43"/>
        <v>10187.330746490486</v>
      </c>
      <c r="AA57" s="199">
        <f t="shared" si="43"/>
        <v>10304.846529325971</v>
      </c>
      <c r="AB57" s="199">
        <f t="shared" si="43"/>
        <v>10423.51442149554</v>
      </c>
      <c r="AC57" s="199">
        <f t="shared" si="43"/>
        <v>10543.345619335021</v>
      </c>
      <c r="AD57" s="199">
        <f t="shared" si="43"/>
        <v>10664.351426567708</v>
      </c>
      <c r="AE57" s="199">
        <f t="shared" si="43"/>
        <v>10786.543255313749</v>
      </c>
      <c r="AF57" s="199">
        <f t="shared" si="43"/>
        <v>10909.93262710875</v>
      </c>
      <c r="AG57" s="199">
        <f t="shared" si="43"/>
        <v>14011.438908699312</v>
      </c>
      <c r="AH57" s="199">
        <f t="shared" si="43"/>
        <v>14143.473297786302</v>
      </c>
      <c r="AI57" s="199">
        <f t="shared" si="43"/>
        <v>14276.828030764162</v>
      </c>
      <c r="AJ57" s="199">
        <f t="shared" si="43"/>
        <v>14411.516311071802</v>
      </c>
      <c r="AK57" s="200">
        <f t="shared" si="43"/>
        <v>14547.551474182523</v>
      </c>
    </row>
    <row r="58" spans="1:37" s="36" customFormat="1" ht="38.25" customHeight="1" x14ac:dyDescent="0.25">
      <c r="A58" s="38"/>
      <c r="B58" s="22"/>
      <c r="F58" s="204"/>
      <c r="G58" s="198" t="s">
        <v>352</v>
      </c>
      <c r="H58" s="199">
        <f>IF(H10=1,H57,H57+G58)</f>
        <v>8929.1753901079828</v>
      </c>
      <c r="I58" s="199">
        <f t="shared" ref="I58:AK58" si="44">IF(I10=1,I57,I57+H58)</f>
        <v>17940.968325711823</v>
      </c>
      <c r="J58" s="199">
        <f t="shared" si="44"/>
        <v>26760.283989864285</v>
      </c>
      <c r="K58" s="199">
        <f t="shared" si="44"/>
        <v>35680.120535214875</v>
      </c>
      <c r="L58" s="199">
        <f t="shared" si="44"/>
        <v>44701.464745159727</v>
      </c>
      <c r="M58" s="199">
        <f t="shared" si="44"/>
        <v>53825.313011311431</v>
      </c>
      <c r="N58" s="199">
        <f t="shared" si="44"/>
        <v>63052.671425923167</v>
      </c>
      <c r="O58" s="199">
        <f t="shared" si="44"/>
        <v>72170.270160899774</v>
      </c>
      <c r="P58" s="199">
        <f t="shared" si="44"/>
        <v>81393.420704832402</v>
      </c>
      <c r="Q58" s="199">
        <f t="shared" si="44"/>
        <v>90723.158815207644</v>
      </c>
      <c r="R58" s="199">
        <f t="shared" si="44"/>
        <v>100010.53032865644</v>
      </c>
      <c r="S58" s="199">
        <f t="shared" si="44"/>
        <v>109406.59125782238</v>
      </c>
      <c r="T58" s="199">
        <f t="shared" si="44"/>
        <v>118912.4078891434</v>
      </c>
      <c r="U58" s="199">
        <f t="shared" si="44"/>
        <v>128529.05688155528</v>
      </c>
      <c r="V58" s="199">
        <f t="shared" si="44"/>
        <v>138257.62536612531</v>
      </c>
      <c r="W58" s="199">
        <f t="shared" si="44"/>
        <v>148099.21104662458</v>
      </c>
      <c r="X58" s="199">
        <f t="shared" si="44"/>
        <v>158054.92230104766</v>
      </c>
      <c r="Y58" s="199">
        <f t="shared" si="44"/>
        <v>168125.8782840881</v>
      </c>
      <c r="Z58" s="199">
        <f t="shared" si="44"/>
        <v>178313.20903057858</v>
      </c>
      <c r="AA58" s="199">
        <f t="shared" si="44"/>
        <v>188618.05555990455</v>
      </c>
      <c r="AB58" s="199">
        <f t="shared" si="44"/>
        <v>199041.5699814001</v>
      </c>
      <c r="AC58" s="199">
        <f t="shared" si="44"/>
        <v>209584.91560073511</v>
      </c>
      <c r="AD58" s="199">
        <f t="shared" si="44"/>
        <v>220249.26702730282</v>
      </c>
      <c r="AE58" s="199">
        <f t="shared" si="44"/>
        <v>231035.81028261656</v>
      </c>
      <c r="AF58" s="199">
        <f t="shared" si="44"/>
        <v>241945.74290972532</v>
      </c>
      <c r="AG58" s="199">
        <f t="shared" si="44"/>
        <v>255957.18181842464</v>
      </c>
      <c r="AH58" s="199">
        <f t="shared" si="44"/>
        <v>270100.65511621092</v>
      </c>
      <c r="AI58" s="199">
        <f t="shared" si="44"/>
        <v>284377.48314697511</v>
      </c>
      <c r="AJ58" s="199">
        <f t="shared" si="44"/>
        <v>298788.99945804692</v>
      </c>
      <c r="AK58" s="200">
        <f t="shared" si="44"/>
        <v>313336.55093222944</v>
      </c>
    </row>
    <row r="59" spans="1:37" s="36" customFormat="1" ht="38.25" customHeight="1" x14ac:dyDescent="0.25">
      <c r="A59" s="38"/>
      <c r="B59" s="22"/>
      <c r="F59" s="204"/>
      <c r="G59" s="198" t="s">
        <v>284</v>
      </c>
      <c r="H59" s="201">
        <f>IF(H57&gt;0,H57*0.7,H57)</f>
        <v>6250.4227730755874</v>
      </c>
      <c r="I59" s="201">
        <f t="shared" ref="I59:AK59" si="45">IF(I57&gt;0,I57*0.7,I57)</f>
        <v>6308.255054922688</v>
      </c>
      <c r="J59" s="201">
        <f t="shared" si="45"/>
        <v>6173.5209649067219</v>
      </c>
      <c r="K59" s="201">
        <f t="shared" si="45"/>
        <v>6243.8855817454114</v>
      </c>
      <c r="L59" s="201">
        <f t="shared" si="45"/>
        <v>6314.9409469613965</v>
      </c>
      <c r="M59" s="201">
        <f t="shared" si="45"/>
        <v>6386.6937863061903</v>
      </c>
      <c r="N59" s="201">
        <f t="shared" si="45"/>
        <v>6459.1508902282148</v>
      </c>
      <c r="O59" s="201">
        <f t="shared" si="45"/>
        <v>6382.3191144836246</v>
      </c>
      <c r="P59" s="201">
        <f t="shared" si="45"/>
        <v>6456.2053807528391</v>
      </c>
      <c r="Q59" s="201">
        <f t="shared" si="45"/>
        <v>6530.8166772626682</v>
      </c>
      <c r="R59" s="201">
        <f t="shared" si="45"/>
        <v>6501.1600594141582</v>
      </c>
      <c r="S59" s="201">
        <f t="shared" si="45"/>
        <v>6577.2426504161567</v>
      </c>
      <c r="T59" s="201">
        <f t="shared" si="45"/>
        <v>6654.0716419247128</v>
      </c>
      <c r="U59" s="201">
        <f t="shared" si="45"/>
        <v>6731.6542946883192</v>
      </c>
      <c r="V59" s="201">
        <f t="shared" si="45"/>
        <v>6809.9979391990119</v>
      </c>
      <c r="W59" s="201">
        <f t="shared" si="45"/>
        <v>6889.1099763494813</v>
      </c>
      <c r="X59" s="201">
        <f t="shared" si="45"/>
        <v>6968.997878096151</v>
      </c>
      <c r="Y59" s="201">
        <f t="shared" si="45"/>
        <v>7049.6691881283032</v>
      </c>
      <c r="Z59" s="201">
        <f t="shared" si="45"/>
        <v>7131.13152254334</v>
      </c>
      <c r="AA59" s="201">
        <f t="shared" si="45"/>
        <v>7213.392570528179</v>
      </c>
      <c r="AB59" s="201">
        <f t="shared" si="45"/>
        <v>7296.4600950468775</v>
      </c>
      <c r="AC59" s="201">
        <f t="shared" si="45"/>
        <v>7380.3419335345143</v>
      </c>
      <c r="AD59" s="201">
        <f t="shared" si="45"/>
        <v>7465.0459985973948</v>
      </c>
      <c r="AE59" s="201">
        <f t="shared" si="45"/>
        <v>7550.5802787196235</v>
      </c>
      <c r="AF59" s="201">
        <f t="shared" si="45"/>
        <v>7636.9528389761244</v>
      </c>
      <c r="AG59" s="201">
        <f t="shared" si="45"/>
        <v>9808.0072360895174</v>
      </c>
      <c r="AH59" s="201">
        <f t="shared" si="45"/>
        <v>9900.4313084504101</v>
      </c>
      <c r="AI59" s="201">
        <f t="shared" si="45"/>
        <v>9993.7796215349117</v>
      </c>
      <c r="AJ59" s="201">
        <f t="shared" si="45"/>
        <v>10088.061417750261</v>
      </c>
      <c r="AK59" s="202">
        <f t="shared" si="45"/>
        <v>10183.286031927766</v>
      </c>
    </row>
    <row r="60" spans="1:37" s="17" customFormat="1" ht="38.25" customHeight="1" x14ac:dyDescent="0.25">
      <c r="A60" s="5"/>
      <c r="B60" s="28"/>
      <c r="E60" s="36"/>
      <c r="F60" s="204"/>
      <c r="G60" s="198" t="s">
        <v>353</v>
      </c>
      <c r="H60" s="199">
        <f>IF(H10=1,H59,H59+G60)</f>
        <v>6250.4227730755874</v>
      </c>
      <c r="I60" s="199">
        <f t="shared" ref="I60:AK60" si="46">IF(I10=1,I59,I59+H60)</f>
        <v>12558.677827998275</v>
      </c>
      <c r="J60" s="199">
        <f t="shared" si="46"/>
        <v>18732.198792904997</v>
      </c>
      <c r="K60" s="199">
        <f t="shared" si="46"/>
        <v>24976.084374650411</v>
      </c>
      <c r="L60" s="199">
        <f t="shared" si="46"/>
        <v>31291.025321611807</v>
      </c>
      <c r="M60" s="199">
        <f t="shared" si="46"/>
        <v>37677.719107917997</v>
      </c>
      <c r="N60" s="199">
        <f t="shared" si="46"/>
        <v>44136.869998146212</v>
      </c>
      <c r="O60" s="199">
        <f t="shared" si="46"/>
        <v>50519.189112629836</v>
      </c>
      <c r="P60" s="199">
        <f t="shared" si="46"/>
        <v>56975.394493382671</v>
      </c>
      <c r="Q60" s="199">
        <f t="shared" si="46"/>
        <v>63506.211170645343</v>
      </c>
      <c r="R60" s="199">
        <f t="shared" si="46"/>
        <v>70007.371230059507</v>
      </c>
      <c r="S60" s="199">
        <f t="shared" si="46"/>
        <v>76584.613880475663</v>
      </c>
      <c r="T60" s="199">
        <f t="shared" si="46"/>
        <v>83238.685522400381</v>
      </c>
      <c r="U60" s="199">
        <f t="shared" si="46"/>
        <v>89970.339817088694</v>
      </c>
      <c r="V60" s="199">
        <f t="shared" si="46"/>
        <v>96780.337756287699</v>
      </c>
      <c r="W60" s="199">
        <f t="shared" si="46"/>
        <v>103669.44773263719</v>
      </c>
      <c r="X60" s="199">
        <f t="shared" si="46"/>
        <v>110638.44561073334</v>
      </c>
      <c r="Y60" s="199">
        <f t="shared" si="46"/>
        <v>117688.11479886164</v>
      </c>
      <c r="Z60" s="199">
        <f t="shared" si="46"/>
        <v>124819.24632140498</v>
      </c>
      <c r="AA60" s="199">
        <f t="shared" si="46"/>
        <v>132032.63889193317</v>
      </c>
      <c r="AB60" s="199">
        <f t="shared" si="46"/>
        <v>139329.09898698004</v>
      </c>
      <c r="AC60" s="199">
        <f t="shared" si="46"/>
        <v>146709.44092051455</v>
      </c>
      <c r="AD60" s="199">
        <f t="shared" si="46"/>
        <v>154174.48691911195</v>
      </c>
      <c r="AE60" s="199">
        <f t="shared" si="46"/>
        <v>161725.06719783158</v>
      </c>
      <c r="AF60" s="199">
        <f t="shared" si="46"/>
        <v>169362.02003680769</v>
      </c>
      <c r="AG60" s="199">
        <f t="shared" si="46"/>
        <v>179170.02727289722</v>
      </c>
      <c r="AH60" s="199">
        <f t="shared" si="46"/>
        <v>189070.45858134763</v>
      </c>
      <c r="AI60" s="199">
        <f t="shared" si="46"/>
        <v>199064.23820288255</v>
      </c>
      <c r="AJ60" s="199">
        <f t="shared" si="46"/>
        <v>209152.29962063281</v>
      </c>
      <c r="AK60" s="200">
        <f t="shared" si="46"/>
        <v>219335.58565256058</v>
      </c>
    </row>
    <row r="61" spans="1:37" s="17" customFormat="1" ht="38.25" customHeight="1" x14ac:dyDescent="0.25">
      <c r="A61" s="5"/>
      <c r="B61" s="28"/>
      <c r="E61" s="36"/>
      <c r="F61" s="204"/>
      <c r="G61" s="189" t="s">
        <v>351</v>
      </c>
      <c r="H61" s="20">
        <f>IF(H10=1,H32-H30,H32+G61-H30)</f>
        <v>7519.9999999999991</v>
      </c>
      <c r="I61" s="20">
        <f t="shared" ref="I61:AK61" si="47">IF(I10=1,I32-I30,I32+H61-I30)</f>
        <v>15039.999999999998</v>
      </c>
      <c r="J61" s="20">
        <f t="shared" si="47"/>
        <v>22560</v>
      </c>
      <c r="K61" s="20">
        <f t="shared" si="47"/>
        <v>30080</v>
      </c>
      <c r="L61" s="20">
        <f t="shared" si="47"/>
        <v>37600</v>
      </c>
      <c r="M61" s="20">
        <f t="shared" si="47"/>
        <v>45120</v>
      </c>
      <c r="N61" s="20">
        <f t="shared" si="47"/>
        <v>52640</v>
      </c>
      <c r="O61" s="20">
        <f t="shared" si="47"/>
        <v>60160</v>
      </c>
      <c r="P61" s="20">
        <f t="shared" si="47"/>
        <v>67680</v>
      </c>
      <c r="Q61" s="20">
        <f t="shared" si="47"/>
        <v>75200</v>
      </c>
      <c r="R61" s="20">
        <f t="shared" si="47"/>
        <v>81720</v>
      </c>
      <c r="S61" s="20">
        <f t="shared" si="47"/>
        <v>88240</v>
      </c>
      <c r="T61" s="20">
        <f t="shared" si="47"/>
        <v>94760</v>
      </c>
      <c r="U61" s="20">
        <f t="shared" si="47"/>
        <v>101280</v>
      </c>
      <c r="V61" s="20">
        <f t="shared" si="47"/>
        <v>107800</v>
      </c>
      <c r="W61" s="20">
        <f t="shared" si="47"/>
        <v>114320</v>
      </c>
      <c r="X61" s="20">
        <f t="shared" si="47"/>
        <v>120840</v>
      </c>
      <c r="Y61" s="20">
        <f t="shared" si="47"/>
        <v>127360</v>
      </c>
      <c r="Z61" s="20">
        <f t="shared" si="47"/>
        <v>133880</v>
      </c>
      <c r="AA61" s="20">
        <f t="shared" si="47"/>
        <v>140400</v>
      </c>
      <c r="AB61" s="20">
        <f t="shared" si="47"/>
        <v>146920</v>
      </c>
      <c r="AC61" s="20">
        <f t="shared" si="47"/>
        <v>153440</v>
      </c>
      <c r="AD61" s="20">
        <f t="shared" si="47"/>
        <v>159960</v>
      </c>
      <c r="AE61" s="20">
        <f t="shared" si="47"/>
        <v>166480</v>
      </c>
      <c r="AF61" s="20">
        <f t="shared" si="47"/>
        <v>173000</v>
      </c>
      <c r="AG61" s="20">
        <f t="shared" si="47"/>
        <v>179520</v>
      </c>
      <c r="AH61" s="20">
        <f t="shared" si="47"/>
        <v>186040</v>
      </c>
      <c r="AI61" s="20">
        <f t="shared" si="47"/>
        <v>192560</v>
      </c>
      <c r="AJ61" s="20">
        <f t="shared" si="47"/>
        <v>199080</v>
      </c>
      <c r="AK61" s="21">
        <f t="shared" si="47"/>
        <v>205600</v>
      </c>
    </row>
    <row r="62" spans="1:37" s="17" customFormat="1" ht="38.25" customHeight="1" x14ac:dyDescent="0.25">
      <c r="A62" s="5"/>
      <c r="B62" s="28"/>
      <c r="C62" s="13"/>
      <c r="E62" s="36"/>
      <c r="F62" s="204"/>
      <c r="G62" s="190" t="s">
        <v>280</v>
      </c>
      <c r="H62" s="30">
        <f t="shared" ref="H62:AK62" si="48">$C$12+$C$12*$C$15+$C$13-H61</f>
        <v>240080</v>
      </c>
      <c r="I62" s="30">
        <f t="shared" si="48"/>
        <v>232560</v>
      </c>
      <c r="J62" s="30">
        <f t="shared" si="48"/>
        <v>225040</v>
      </c>
      <c r="K62" s="30">
        <f t="shared" si="48"/>
        <v>217520</v>
      </c>
      <c r="L62" s="30">
        <f t="shared" si="48"/>
        <v>210000</v>
      </c>
      <c r="M62" s="30">
        <f t="shared" si="48"/>
        <v>202480</v>
      </c>
      <c r="N62" s="30">
        <f t="shared" si="48"/>
        <v>194960</v>
      </c>
      <c r="O62" s="30">
        <f t="shared" si="48"/>
        <v>187440</v>
      </c>
      <c r="P62" s="30">
        <f t="shared" si="48"/>
        <v>179920</v>
      </c>
      <c r="Q62" s="30">
        <f t="shared" si="48"/>
        <v>172400</v>
      </c>
      <c r="R62" s="30">
        <f t="shared" si="48"/>
        <v>165880</v>
      </c>
      <c r="S62" s="30">
        <f t="shared" si="48"/>
        <v>159360</v>
      </c>
      <c r="T62" s="30">
        <f t="shared" si="48"/>
        <v>152840</v>
      </c>
      <c r="U62" s="30">
        <f t="shared" si="48"/>
        <v>146320</v>
      </c>
      <c r="V62" s="30">
        <f t="shared" si="48"/>
        <v>139800</v>
      </c>
      <c r="W62" s="30">
        <f t="shared" si="48"/>
        <v>133280</v>
      </c>
      <c r="X62" s="30">
        <f t="shared" si="48"/>
        <v>126760</v>
      </c>
      <c r="Y62" s="30">
        <f t="shared" si="48"/>
        <v>120240</v>
      </c>
      <c r="Z62" s="30">
        <f t="shared" si="48"/>
        <v>113720</v>
      </c>
      <c r="AA62" s="30">
        <f t="shared" si="48"/>
        <v>107200</v>
      </c>
      <c r="AB62" s="30">
        <f t="shared" si="48"/>
        <v>100680</v>
      </c>
      <c r="AC62" s="30">
        <f t="shared" si="48"/>
        <v>94160</v>
      </c>
      <c r="AD62" s="30">
        <f t="shared" si="48"/>
        <v>87640</v>
      </c>
      <c r="AE62" s="30">
        <f t="shared" si="48"/>
        <v>81120</v>
      </c>
      <c r="AF62" s="30">
        <f t="shared" si="48"/>
        <v>74600</v>
      </c>
      <c r="AG62" s="30">
        <f t="shared" si="48"/>
        <v>68080</v>
      </c>
      <c r="AH62" s="30">
        <f t="shared" si="48"/>
        <v>61560</v>
      </c>
      <c r="AI62" s="30">
        <f t="shared" si="48"/>
        <v>55040</v>
      </c>
      <c r="AJ62" s="30">
        <f t="shared" si="48"/>
        <v>48520</v>
      </c>
      <c r="AK62" s="31">
        <f t="shared" si="48"/>
        <v>42000</v>
      </c>
    </row>
    <row r="63" spans="1:37" s="17" customFormat="1" ht="38.25" customHeight="1" x14ac:dyDescent="0.25">
      <c r="A63" s="5"/>
      <c r="B63" s="28"/>
      <c r="C63" s="13"/>
      <c r="E63" s="36"/>
      <c r="F63" s="204"/>
      <c r="G63" s="190" t="s">
        <v>279</v>
      </c>
      <c r="H63" s="20">
        <f t="shared" ref="H63:AK63" si="49">H48-H62</f>
        <v>-7780</v>
      </c>
      <c r="I63" s="20">
        <f t="shared" si="49"/>
        <v>2063</v>
      </c>
      <c r="J63" s="20">
        <f t="shared" si="49"/>
        <v>11929.229999999981</v>
      </c>
      <c r="K63" s="20">
        <f t="shared" si="49"/>
        <v>21818.922300000006</v>
      </c>
      <c r="L63" s="20">
        <f t="shared" si="49"/>
        <v>31732.311522999982</v>
      </c>
      <c r="M63" s="20">
        <f t="shared" si="49"/>
        <v>41669.634638230025</v>
      </c>
      <c r="N63" s="20">
        <f t="shared" si="49"/>
        <v>51631.130984612275</v>
      </c>
      <c r="O63" s="20">
        <f t="shared" si="49"/>
        <v>61617.042294458457</v>
      </c>
      <c r="P63" s="20">
        <f t="shared" si="49"/>
        <v>71627.612717403041</v>
      </c>
      <c r="Q63" s="20">
        <f t="shared" si="49"/>
        <v>81663.088844577083</v>
      </c>
      <c r="R63" s="20">
        <f t="shared" si="49"/>
        <v>90723.719733022794</v>
      </c>
      <c r="S63" s="20">
        <f t="shared" si="49"/>
        <v>99809.756930353062</v>
      </c>
      <c r="T63" s="20">
        <f t="shared" si="49"/>
        <v>108921.4544996566</v>
      </c>
      <c r="U63" s="20">
        <f t="shared" si="49"/>
        <v>118059.06904465321</v>
      </c>
      <c r="V63" s="20">
        <f t="shared" si="49"/>
        <v>127222.85973509966</v>
      </c>
      <c r="W63" s="20">
        <f t="shared" si="49"/>
        <v>136413.08833245072</v>
      </c>
      <c r="X63" s="20">
        <f t="shared" si="49"/>
        <v>145630.01921577525</v>
      </c>
      <c r="Y63" s="20">
        <f t="shared" si="49"/>
        <v>154873.91940793302</v>
      </c>
      <c r="Z63" s="20">
        <f t="shared" si="49"/>
        <v>164145.05860201229</v>
      </c>
      <c r="AA63" s="20">
        <f t="shared" si="49"/>
        <v>173443.70918803243</v>
      </c>
      <c r="AB63" s="20">
        <f t="shared" si="49"/>
        <v>182770.14627991273</v>
      </c>
      <c r="AC63" s="20">
        <f t="shared" si="49"/>
        <v>192124.64774271194</v>
      </c>
      <c r="AD63" s="20">
        <f t="shared" si="49"/>
        <v>201507.49422013899</v>
      </c>
      <c r="AE63" s="20">
        <f t="shared" si="49"/>
        <v>210918.96916234045</v>
      </c>
      <c r="AF63" s="20">
        <f t="shared" si="49"/>
        <v>220359.3588539639</v>
      </c>
      <c r="AG63" s="20">
        <f t="shared" si="49"/>
        <v>229828.95244250353</v>
      </c>
      <c r="AH63" s="20">
        <f t="shared" si="49"/>
        <v>239328.04196692846</v>
      </c>
      <c r="AI63" s="20">
        <f t="shared" si="49"/>
        <v>248856.92238659773</v>
      </c>
      <c r="AJ63" s="20">
        <f t="shared" si="49"/>
        <v>258415.89161046373</v>
      </c>
      <c r="AK63" s="21">
        <f t="shared" si="49"/>
        <v>268005.25052656844</v>
      </c>
    </row>
    <row r="64" spans="1:37" s="17" customFormat="1" ht="38.25" customHeight="1" x14ac:dyDescent="0.25">
      <c r="A64" s="5"/>
      <c r="B64" s="28"/>
      <c r="E64" s="36"/>
      <c r="F64" s="204"/>
      <c r="G64" s="190" t="s">
        <v>277</v>
      </c>
      <c r="H64" s="94">
        <f t="shared" ref="H64:AK64" si="50">IF(H12+H63-H53-H54&lt;=0,0,H12+H63-H53-H54)</f>
        <v>0</v>
      </c>
      <c r="I64" s="30">
        <f t="shared" si="50"/>
        <v>2319.716363360978</v>
      </c>
      <c r="J64" s="30">
        <f t="shared" si="50"/>
        <v>14284.703173036833</v>
      </c>
      <c r="K64" s="30">
        <f t="shared" si="50"/>
        <v>24327.987015049315</v>
      </c>
      <c r="L64" s="30">
        <f t="shared" si="50"/>
        <v>34396.626531587564</v>
      </c>
      <c r="M64" s="30">
        <f t="shared" si="50"/>
        <v>44490.877010180215</v>
      </c>
      <c r="N64" s="30">
        <f t="shared" si="50"/>
        <v>54610.996315618017</v>
      </c>
      <c r="O64" s="30">
        <f t="shared" si="50"/>
        <v>66185.816344642051</v>
      </c>
      <c r="P64" s="30">
        <f t="shared" si="50"/>
        <v>76358.457338039574</v>
      </c>
      <c r="Q64" s="30">
        <f t="shared" si="50"/>
        <v>86557.756478724186</v>
      </c>
      <c r="R64" s="30">
        <f t="shared" si="50"/>
        <v>96783.982204372151</v>
      </c>
      <c r="S64" s="30">
        <f t="shared" si="50"/>
        <v>106037.40566319105</v>
      </c>
      <c r="T64" s="30">
        <f t="shared" si="50"/>
        <v>115318.30074139292</v>
      </c>
      <c r="U64" s="30">
        <f t="shared" si="50"/>
        <v>124626.94409094867</v>
      </c>
      <c r="V64" s="30">
        <f t="shared" si="50"/>
        <v>133963.61515762412</v>
      </c>
      <c r="W64" s="30">
        <f t="shared" si="50"/>
        <v>143328.59620930295</v>
      </c>
      <c r="X64" s="30">
        <f t="shared" si="50"/>
        <v>152722.17236459666</v>
      </c>
      <c r="Y64" s="30">
        <f t="shared" si="50"/>
        <v>162144.63162174792</v>
      </c>
      <c r="Z64" s="30">
        <f t="shared" si="50"/>
        <v>171596.26488782716</v>
      </c>
      <c r="AA64" s="30">
        <f t="shared" si="50"/>
        <v>181077.36600822772</v>
      </c>
      <c r="AB64" s="30">
        <f t="shared" si="50"/>
        <v>190588.23179646066</v>
      </c>
      <c r="AC64" s="30">
        <f t="shared" si="50"/>
        <v>200129.16206425466</v>
      </c>
      <c r="AD64" s="30">
        <f t="shared" si="50"/>
        <v>209700.45965196105</v>
      </c>
      <c r="AE64" s="30">
        <f t="shared" si="50"/>
        <v>219302.4304592711</v>
      </c>
      <c r="AF64" s="30">
        <f t="shared" si="50"/>
        <v>228935.38347624426</v>
      </c>
      <c r="AG64" s="30">
        <f t="shared" si="50"/>
        <v>238642.40998214978</v>
      </c>
      <c r="AH64" s="30">
        <f t="shared" si="50"/>
        <v>248296.83408197117</v>
      </c>
      <c r="AI64" s="30">
        <f t="shared" si="50"/>
        <v>257982.60242279083</v>
      </c>
      <c r="AJ64" s="30">
        <f t="shared" si="50"/>
        <v>267700.02844701876</v>
      </c>
      <c r="AK64" s="31">
        <f t="shared" si="50"/>
        <v>277449.42873148905</v>
      </c>
    </row>
    <row r="65" spans="1:38" s="17" customFormat="1" ht="38.25" customHeight="1" x14ac:dyDescent="0.25">
      <c r="A65" s="5"/>
      <c r="B65" s="28"/>
      <c r="C65" s="76"/>
      <c r="E65" s="36"/>
      <c r="F65" s="204"/>
      <c r="G65" s="190" t="s">
        <v>345</v>
      </c>
      <c r="H65" s="20">
        <f>IF(H64&lt;=38400,H64*0.15,
IF(AND(H64&gt;38400,H64&lt;=500000),(H64-38400)*0.28+38400*0.15,
(H64-500000)*0.3333+461600*0.28+38400*0.15))</f>
        <v>0</v>
      </c>
      <c r="I65" s="20">
        <f t="shared" ref="I65:AK65" si="51">IF(I64&lt;=38400,I64*0.15,
IF(AND(I64&gt;38400,I64&lt;=500000),(I64-38400)*0.28+38400*0.15,
(I64-500000)*0.3333+461600*0.28+38400*0.15))</f>
        <v>347.95745450414671</v>
      </c>
      <c r="J65" s="20">
        <f t="shared" si="51"/>
        <v>2142.7054759555249</v>
      </c>
      <c r="K65" s="20">
        <f t="shared" si="51"/>
        <v>3649.1980522573972</v>
      </c>
      <c r="L65" s="20">
        <f t="shared" si="51"/>
        <v>5159.4939797381348</v>
      </c>
      <c r="M65" s="20">
        <f t="shared" si="51"/>
        <v>7465.4455628504602</v>
      </c>
      <c r="N65" s="20">
        <f t="shared" si="51"/>
        <v>10299.078968373045</v>
      </c>
      <c r="O65" s="20">
        <f t="shared" si="51"/>
        <v>13540.028576499775</v>
      </c>
      <c r="P65" s="20">
        <f t="shared" si="51"/>
        <v>16388.36805465108</v>
      </c>
      <c r="Q65" s="20">
        <f t="shared" si="51"/>
        <v>19244.171814042773</v>
      </c>
      <c r="R65" s="20">
        <f t="shared" si="51"/>
        <v>22107.515017224203</v>
      </c>
      <c r="S65" s="20">
        <f t="shared" si="51"/>
        <v>24698.473585693497</v>
      </c>
      <c r="T65" s="20">
        <f t="shared" si="51"/>
        <v>27297.124207590019</v>
      </c>
      <c r="U65" s="20">
        <f t="shared" si="51"/>
        <v>29903.544345465631</v>
      </c>
      <c r="V65" s="20">
        <f t="shared" si="51"/>
        <v>32517.812244134759</v>
      </c>
      <c r="W65" s="20">
        <f t="shared" si="51"/>
        <v>35140.006938604827</v>
      </c>
      <c r="X65" s="20">
        <f t="shared" si="51"/>
        <v>37770.208262087064</v>
      </c>
      <c r="Y65" s="20">
        <f t="shared" si="51"/>
        <v>40408.496854089419</v>
      </c>
      <c r="Z65" s="20">
        <f t="shared" si="51"/>
        <v>43054.954168591605</v>
      </c>
      <c r="AA65" s="20">
        <f t="shared" si="51"/>
        <v>45709.662482303764</v>
      </c>
      <c r="AB65" s="20">
        <f t="shared" si="51"/>
        <v>48372.704903008991</v>
      </c>
      <c r="AC65" s="20">
        <f t="shared" si="51"/>
        <v>51044.16537799131</v>
      </c>
      <c r="AD65" s="20">
        <f t="shared" si="51"/>
        <v>53724.128702549096</v>
      </c>
      <c r="AE65" s="20">
        <f t="shared" si="51"/>
        <v>56412.680528595913</v>
      </c>
      <c r="AF65" s="20">
        <f t="shared" si="51"/>
        <v>59109.907373348397</v>
      </c>
      <c r="AG65" s="20">
        <f t="shared" si="51"/>
        <v>61827.874795001946</v>
      </c>
      <c r="AH65" s="20">
        <f t="shared" si="51"/>
        <v>64531.113542951935</v>
      </c>
      <c r="AI65" s="20">
        <f t="shared" si="51"/>
        <v>67243.128678381443</v>
      </c>
      <c r="AJ65" s="20">
        <f t="shared" si="51"/>
        <v>69964.007965165249</v>
      </c>
      <c r="AK65" s="31">
        <f t="shared" si="51"/>
        <v>72693.840044816941</v>
      </c>
    </row>
    <row r="66" spans="1:38" s="17" customFormat="1" ht="38.25" customHeight="1" x14ac:dyDescent="0.25">
      <c r="A66" s="5"/>
      <c r="B66" s="28"/>
      <c r="E66" s="36"/>
      <c r="F66" s="204"/>
      <c r="G66" s="190" t="s">
        <v>278</v>
      </c>
      <c r="H66" s="30">
        <f>H48+H36-H65-H50-H51-H52</f>
        <v>241229.17539010799</v>
      </c>
      <c r="I66" s="30">
        <f t="shared" ref="I66:AK66" si="52">I48+I36-I65-I50-I51-I52</f>
        <v>243325.34293560384</v>
      </c>
      <c r="J66" s="30">
        <f t="shared" si="52"/>
        <v>243999.16116415247</v>
      </c>
      <c r="K66" s="30">
        <f t="shared" si="52"/>
        <v>244985.92050035059</v>
      </c>
      <c r="L66" s="30">
        <f t="shared" si="52"/>
        <v>245993.80900449486</v>
      </c>
      <c r="M66" s="30">
        <f t="shared" si="52"/>
        <v>246231.22369732382</v>
      </c>
      <c r="N66" s="30">
        <f t="shared" si="52"/>
        <v>245966.39023050183</v>
      </c>
      <c r="O66" s="30">
        <f t="shared" si="52"/>
        <v>245319.92856046284</v>
      </c>
      <c r="P66" s="30">
        <f t="shared" si="52"/>
        <v>245092.02189978005</v>
      </c>
      <c r="Q66" s="30">
        <f t="shared" si="52"/>
        <v>244882.85528603161</v>
      </c>
      <c r="R66" s="30">
        <f t="shared" si="52"/>
        <v>244692.61559994976</v>
      </c>
      <c r="S66" s="30">
        <f t="shared" si="52"/>
        <v>244801.49158375119</v>
      </c>
      <c r="T66" s="30">
        <f t="shared" si="52"/>
        <v>244929.67385964806</v>
      </c>
      <c r="U66" s="30">
        <f t="shared" si="52"/>
        <v>245077.35494854377</v>
      </c>
      <c r="V66" s="30">
        <f t="shared" si="52"/>
        <v>245244.72928891357</v>
      </c>
      <c r="W66" s="30">
        <f t="shared" si="52"/>
        <v>245431.99325587298</v>
      </c>
      <c r="X66" s="30">
        <f t="shared" si="52"/>
        <v>245639.34518043444</v>
      </c>
      <c r="Y66" s="30">
        <f t="shared" si="52"/>
        <v>245866.98536895626</v>
      </c>
      <c r="Z66" s="30">
        <f t="shared" si="52"/>
        <v>246115.11612278342</v>
      </c>
      <c r="AA66" s="30">
        <f t="shared" si="52"/>
        <v>246383.94175808394</v>
      </c>
      <c r="AB66" s="30">
        <f t="shared" si="52"/>
        <v>246673.66862588149</v>
      </c>
      <c r="AC66" s="30">
        <f t="shared" si="52"/>
        <v>246984.50513228707</v>
      </c>
      <c r="AD66" s="30">
        <f t="shared" si="52"/>
        <v>247316.66175893089</v>
      </c>
      <c r="AE66" s="30">
        <f t="shared" si="52"/>
        <v>247670.35108359784</v>
      </c>
      <c r="AF66" s="30">
        <f t="shared" si="52"/>
        <v>248045.78780106633</v>
      </c>
      <c r="AG66" s="30">
        <f t="shared" si="52"/>
        <v>251414.53518714785</v>
      </c>
      <c r="AH66" s="30">
        <f t="shared" si="52"/>
        <v>251845.72053901921</v>
      </c>
      <c r="AI66" s="30">
        <f t="shared" si="52"/>
        <v>252299.47374440942</v>
      </c>
      <c r="AJ66" s="30">
        <f t="shared" si="52"/>
        <v>252776.02048185357</v>
      </c>
      <c r="AK66" s="31">
        <f t="shared" si="52"/>
        <v>253275.58868667207</v>
      </c>
    </row>
    <row r="67" spans="1:38" s="17" customFormat="1" ht="39.75" customHeight="1" x14ac:dyDescent="0.25">
      <c r="A67" s="5"/>
      <c r="B67" s="28"/>
      <c r="E67" s="36"/>
      <c r="F67" s="204"/>
      <c r="G67" s="196" t="s">
        <v>360</v>
      </c>
      <c r="H67" s="209">
        <f>H66-H16</f>
        <v>181701.76552250134</v>
      </c>
      <c r="I67" s="199">
        <f t="shared" ref="I67:AK67" si="53">I66-I16</f>
        <v>185899.72637589171</v>
      </c>
      <c r="J67" s="199">
        <f t="shared" si="53"/>
        <v>188704.95256594062</v>
      </c>
      <c r="K67" s="199">
        <f t="shared" si="53"/>
        <v>191853.15179315151</v>
      </c>
      <c r="L67" s="199">
        <f t="shared" si="53"/>
        <v>195052.93527322178</v>
      </c>
      <c r="M67" s="199">
        <f t="shared" si="53"/>
        <v>197513.12914462812</v>
      </c>
      <c r="N67" s="199">
        <f t="shared" si="53"/>
        <v>199502.3942231207</v>
      </c>
      <c r="O67" s="199">
        <f t="shared" si="53"/>
        <v>201141.79176076117</v>
      </c>
      <c r="P67" s="199">
        <f t="shared" si="53"/>
        <v>203231.95248368679</v>
      </c>
      <c r="Q67" s="199">
        <f t="shared" si="53"/>
        <v>205373.51524858814</v>
      </c>
      <c r="R67" s="199">
        <f t="shared" si="53"/>
        <v>207567.12714970444</v>
      </c>
      <c r="S67" s="199">
        <f t="shared" si="53"/>
        <v>210093.44362725224</v>
      </c>
      <c r="T67" s="199">
        <f t="shared" si="53"/>
        <v>212673.12857730396</v>
      </c>
      <c r="U67" s="199">
        <f t="shared" si="53"/>
        <v>215306.85446313891</v>
      </c>
      <c r="V67" s="199">
        <f t="shared" si="53"/>
        <v>217995.30242808448</v>
      </c>
      <c r="W67" s="199">
        <f t="shared" si="53"/>
        <v>220739.16240986902</v>
      </c>
      <c r="X67" s="199">
        <f t="shared" si="53"/>
        <v>223539.13325650559</v>
      </c>
      <c r="Y67" s="199">
        <f t="shared" si="53"/>
        <v>226395.92284372967</v>
      </c>
      <c r="Z67" s="199">
        <f t="shared" si="53"/>
        <v>229310.24819400898</v>
      </c>
      <c r="AA67" s="199">
        <f t="shared" si="53"/>
        <v>232282.8355971495</v>
      </c>
      <c r="AB67" s="199">
        <f t="shared" si="53"/>
        <v>235314.42073251729</v>
      </c>
      <c r="AC67" s="199">
        <f t="shared" si="53"/>
        <v>238405.74879289916</v>
      </c>
      <c r="AD67" s="199">
        <f t="shared" si="53"/>
        <v>241557.57461002402</v>
      </c>
      <c r="AE67" s="199">
        <f t="shared" si="53"/>
        <v>244770.66278176827</v>
      </c>
      <c r="AF67" s="199">
        <f t="shared" si="53"/>
        <v>248045.78780106633</v>
      </c>
      <c r="AG67" s="199">
        <f t="shared" si="53"/>
        <v>251414.53518714785</v>
      </c>
      <c r="AH67" s="199">
        <f t="shared" si="53"/>
        <v>251845.72053901921</v>
      </c>
      <c r="AI67" s="199">
        <f t="shared" si="53"/>
        <v>252299.47374440942</v>
      </c>
      <c r="AJ67" s="199">
        <f t="shared" si="53"/>
        <v>252776.02048185357</v>
      </c>
      <c r="AK67" s="200">
        <f t="shared" si="53"/>
        <v>253275.58868667207</v>
      </c>
    </row>
    <row r="68" spans="1:38" s="17" customFormat="1" ht="39.75" customHeight="1" x14ac:dyDescent="0.25">
      <c r="A68" s="5"/>
      <c r="B68" s="28"/>
      <c r="E68" s="36"/>
      <c r="F68" s="204"/>
      <c r="G68" s="197" t="s">
        <v>361</v>
      </c>
      <c r="H68" s="226">
        <f>IF(H10=1,H67-$C$18,
IF(H10&gt;1,H67+G58-$C$18))</f>
        <v>-18298.234477498656</v>
      </c>
      <c r="I68" s="227">
        <f t="shared" ref="I68:AK68" si="54">IF(I10=1,I67-$C$18,
IF(I10&gt;1,I67+H58-$C$18))</f>
        <v>-5171.0982340002956</v>
      </c>
      <c r="J68" s="227">
        <f t="shared" si="54"/>
        <v>6645.9208916524367</v>
      </c>
      <c r="K68" s="227">
        <f t="shared" si="54"/>
        <v>18613.435783015797</v>
      </c>
      <c r="L68" s="227">
        <f t="shared" si="54"/>
        <v>30733.055808436649</v>
      </c>
      <c r="M68" s="227">
        <f t="shared" si="54"/>
        <v>42214.593889787851</v>
      </c>
      <c r="N68" s="227">
        <f t="shared" si="54"/>
        <v>53327.707234432135</v>
      </c>
      <c r="O68" s="227">
        <f t="shared" si="54"/>
        <v>64194.463186684356</v>
      </c>
      <c r="P68" s="227">
        <f t="shared" si="54"/>
        <v>75402.222644586582</v>
      </c>
      <c r="Q68" s="227">
        <f t="shared" si="54"/>
        <v>86766.935953420529</v>
      </c>
      <c r="R68" s="227">
        <f t="shared" si="54"/>
        <v>98290.285964912095</v>
      </c>
      <c r="S68" s="227">
        <f t="shared" si="54"/>
        <v>110103.97395590867</v>
      </c>
      <c r="T68" s="227">
        <f t="shared" si="54"/>
        <v>122079.71983512631</v>
      </c>
      <c r="U68" s="227">
        <f t="shared" si="54"/>
        <v>134219.2623522823</v>
      </c>
      <c r="V68" s="227">
        <f t="shared" si="54"/>
        <v>146524.35930963978</v>
      </c>
      <c r="W68" s="227">
        <f t="shared" si="54"/>
        <v>158996.78777599434</v>
      </c>
      <c r="X68" s="227">
        <f t="shared" si="54"/>
        <v>171638.34430313017</v>
      </c>
      <c r="Y68" s="227">
        <f t="shared" si="54"/>
        <v>184450.84514477733</v>
      </c>
      <c r="Z68" s="227">
        <f t="shared" si="54"/>
        <v>197436.12647809705</v>
      </c>
      <c r="AA68" s="227">
        <f t="shared" si="54"/>
        <v>210596.04462772806</v>
      </c>
      <c r="AB68" s="227">
        <f t="shared" si="54"/>
        <v>223932.47629242181</v>
      </c>
      <c r="AC68" s="227">
        <f t="shared" si="54"/>
        <v>237447.31877429923</v>
      </c>
      <c r="AD68" s="227">
        <f t="shared" si="54"/>
        <v>251142.4902107591</v>
      </c>
      <c r="AE68" s="227">
        <f t="shared" si="54"/>
        <v>265019.92980907112</v>
      </c>
      <c r="AF68" s="227">
        <f t="shared" si="54"/>
        <v>279081.59808368288</v>
      </c>
      <c r="AG68" s="227">
        <f t="shared" si="54"/>
        <v>293360.2780968732</v>
      </c>
      <c r="AH68" s="227">
        <f t="shared" si="54"/>
        <v>307802.90235744382</v>
      </c>
      <c r="AI68" s="227">
        <f t="shared" si="54"/>
        <v>322400.12886062032</v>
      </c>
      <c r="AJ68" s="227">
        <f t="shared" si="54"/>
        <v>337153.50362882868</v>
      </c>
      <c r="AK68" s="228">
        <f t="shared" si="54"/>
        <v>352064.58814471902</v>
      </c>
      <c r="AL68" s="13"/>
    </row>
    <row r="69" spans="1:38" s="17" customFormat="1" ht="38.25" customHeight="1" x14ac:dyDescent="0.25">
      <c r="A69" s="5"/>
      <c r="B69" s="28"/>
      <c r="E69" s="36"/>
      <c r="F69" s="204"/>
      <c r="G69" s="225" t="s">
        <v>363</v>
      </c>
      <c r="H69" s="209">
        <f>IF(H67-$C$18&lt;0,H67,(H67-$C$18)*0.7+$C$18)</f>
        <v>181701.76552250134</v>
      </c>
      <c r="I69" s="199">
        <f t="shared" ref="I69:AK69" si="55">IF(I67-$C$18&lt;0,I67,(I67-$C$18)*0.7+$C$18)</f>
        <v>185899.72637589171</v>
      </c>
      <c r="J69" s="199">
        <f t="shared" si="55"/>
        <v>188704.95256594062</v>
      </c>
      <c r="K69" s="199">
        <f t="shared" si="55"/>
        <v>191853.15179315151</v>
      </c>
      <c r="L69" s="199">
        <f t="shared" si="55"/>
        <v>195052.93527322178</v>
      </c>
      <c r="M69" s="199">
        <f t="shared" si="55"/>
        <v>197513.12914462812</v>
      </c>
      <c r="N69" s="199">
        <f t="shared" si="55"/>
        <v>199502.3942231207</v>
      </c>
      <c r="O69" s="199">
        <f t="shared" si="55"/>
        <v>200799.25423253281</v>
      </c>
      <c r="P69" s="199">
        <f t="shared" si="55"/>
        <v>202262.36673858075</v>
      </c>
      <c r="Q69" s="199">
        <f t="shared" si="55"/>
        <v>203761.4606740117</v>
      </c>
      <c r="R69" s="199">
        <f t="shared" si="55"/>
        <v>205296.98900479311</v>
      </c>
      <c r="S69" s="199">
        <f t="shared" si="55"/>
        <v>207065.41053907658</v>
      </c>
      <c r="T69" s="199">
        <f t="shared" si="55"/>
        <v>208871.19000411278</v>
      </c>
      <c r="U69" s="199">
        <f t="shared" si="55"/>
        <v>210714.79812419723</v>
      </c>
      <c r="V69" s="199">
        <f t="shared" si="55"/>
        <v>212596.71169965915</v>
      </c>
      <c r="W69" s="199">
        <f t="shared" si="55"/>
        <v>214517.41368690832</v>
      </c>
      <c r="X69" s="199">
        <f t="shared" si="55"/>
        <v>216477.39327955391</v>
      </c>
      <c r="Y69" s="199">
        <f t="shared" si="55"/>
        <v>218477.14599061076</v>
      </c>
      <c r="Z69" s="199">
        <f t="shared" si="55"/>
        <v>220517.17373580628</v>
      </c>
      <c r="AA69" s="199">
        <f t="shared" si="55"/>
        <v>222597.98491800466</v>
      </c>
      <c r="AB69" s="199">
        <f t="shared" si="55"/>
        <v>224720.09451276209</v>
      </c>
      <c r="AC69" s="199">
        <f t="shared" si="55"/>
        <v>226884.02415502942</v>
      </c>
      <c r="AD69" s="199">
        <f t="shared" si="55"/>
        <v>229090.3022270168</v>
      </c>
      <c r="AE69" s="199">
        <f t="shared" si="55"/>
        <v>231339.46394723779</v>
      </c>
      <c r="AF69" s="199">
        <f t="shared" si="55"/>
        <v>233632.05146074644</v>
      </c>
      <c r="AG69" s="199">
        <f t="shared" si="55"/>
        <v>235990.17463100349</v>
      </c>
      <c r="AH69" s="199">
        <f t="shared" si="55"/>
        <v>236292.00437731345</v>
      </c>
      <c r="AI69" s="199">
        <f t="shared" si="55"/>
        <v>236609.63162108659</v>
      </c>
      <c r="AJ69" s="199">
        <f t="shared" si="55"/>
        <v>236943.21433729748</v>
      </c>
      <c r="AK69" s="200">
        <f t="shared" si="55"/>
        <v>237292.91208067044</v>
      </c>
    </row>
    <row r="70" spans="1:38" s="17" customFormat="1" ht="38.25" customHeight="1" x14ac:dyDescent="0.25">
      <c r="A70" s="5"/>
      <c r="B70" s="28"/>
      <c r="E70" s="36"/>
      <c r="F70" s="204"/>
      <c r="G70" s="197" t="s">
        <v>362</v>
      </c>
      <c r="H70" s="229">
        <f>IF(H10=1,H69-$C$18,H69+G60-$C$18)</f>
        <v>-18298.234477498656</v>
      </c>
      <c r="I70" s="229">
        <f t="shared" ref="I70:R70" si="56">IF(I10=1,I69-$C$18,I69+H60-$C$18)</f>
        <v>-7849.8508510327083</v>
      </c>
      <c r="J70" s="229">
        <f t="shared" si="56"/>
        <v>1263.630393938889</v>
      </c>
      <c r="K70" s="229">
        <f t="shared" si="56"/>
        <v>10585.350586056506</v>
      </c>
      <c r="L70" s="229">
        <f t="shared" si="56"/>
        <v>20029.019647872192</v>
      </c>
      <c r="M70" s="229">
        <f t="shared" si="56"/>
        <v>28804.154466239939</v>
      </c>
      <c r="N70" s="229">
        <f t="shared" si="56"/>
        <v>37180.113331038709</v>
      </c>
      <c r="O70" s="229">
        <f t="shared" si="56"/>
        <v>44936.124230679008</v>
      </c>
      <c r="P70" s="229">
        <f t="shared" si="56"/>
        <v>52781.555851210578</v>
      </c>
      <c r="Q70" s="229">
        <f t="shared" si="56"/>
        <v>60736.855167394388</v>
      </c>
      <c r="R70" s="229">
        <f t="shared" si="56"/>
        <v>68803.200175438426</v>
      </c>
      <c r="S70" s="229">
        <f t="shared" ref="S70" si="57">IF(S10=1,S69-$C$18,S69+R60-$C$18)</f>
        <v>77072.781769136083</v>
      </c>
      <c r="T70" s="229">
        <f t="shared" ref="T70" si="58">IF(T10=1,T69-$C$18,T69+S60-$C$18)</f>
        <v>85455.803884588415</v>
      </c>
      <c r="U70" s="229">
        <f t="shared" ref="U70" si="59">IF(U10=1,U69-$C$18,U69+T60-$C$18)</f>
        <v>93953.483646597597</v>
      </c>
      <c r="V70" s="229">
        <f t="shared" ref="V70" si="60">IF(V10=1,V69-$C$18,V69+U60-$C$18)</f>
        <v>102567.05151674786</v>
      </c>
      <c r="W70" s="229">
        <f t="shared" ref="W70" si="61">IF(W10=1,W69-$C$18,W69+V60-$C$18)</f>
        <v>111297.75144319603</v>
      </c>
      <c r="X70" s="229">
        <f>IF(X10=1,X69-$C$18,X69+W60-$C$18)</f>
        <v>120146.84101219109</v>
      </c>
      <c r="Y70" s="229">
        <f t="shared" ref="Y70" si="62">IF(Y10=1,Y69-$C$18,Y69+X60-$C$18)</f>
        <v>129115.59160134412</v>
      </c>
      <c r="Z70" s="229">
        <f t="shared" ref="Z70" si="63">IF(Z10=1,Z69-$C$18,Z69+Y60-$C$18)</f>
        <v>138205.28853466792</v>
      </c>
      <c r="AA70" s="229">
        <f t="shared" ref="AA70:AB70" si="64">IF(AA10=1,AA69-$C$18,AA69+Z60-$C$18)</f>
        <v>147417.23123940965</v>
      </c>
      <c r="AB70" s="229">
        <f t="shared" si="64"/>
        <v>156752.73340469529</v>
      </c>
      <c r="AC70" s="229">
        <f t="shared" ref="AC70" si="65">IF(AC10=1,AC69-$C$18,AC69+AB60-$C$18)</f>
        <v>166213.12314200948</v>
      </c>
      <c r="AD70" s="229">
        <f t="shared" ref="AD70" si="66">IF(AD10=1,AD69-$C$18,AD69+AC60-$C$18)</f>
        <v>175799.74314753135</v>
      </c>
      <c r="AE70" s="229">
        <f t="shared" ref="AE70" si="67">IF(AE10=1,AE69-$C$18,AE69+AD60-$C$18)</f>
        <v>185513.95086634974</v>
      </c>
      <c r="AF70" s="229">
        <f t="shared" ref="AF70" si="68">IF(AF10=1,AF69-$C$18,AF69+AE60-$C$18)</f>
        <v>195357.11865857802</v>
      </c>
      <c r="AG70" s="229">
        <f t="shared" ref="AG70" si="69">IF(AG10=1,AG69-$C$18,AG69+AF60-$C$18)</f>
        <v>205352.19466781116</v>
      </c>
      <c r="AH70" s="229">
        <f t="shared" ref="AH70" si="70">IF(AH10=1,AH69-$C$18,AH69+AG60-$C$18)</f>
        <v>215462.03165021067</v>
      </c>
      <c r="AI70" s="229">
        <f t="shared" ref="AI70" si="71">IF(AI10=1,AI69-$C$18,AI69+AH60-$C$18)</f>
        <v>225680.09020243422</v>
      </c>
      <c r="AJ70" s="229">
        <f t="shared" ref="AJ70" si="72">IF(AJ10=1,AJ69-$C$18,AJ69+AI60-$C$18)</f>
        <v>236007.45254018006</v>
      </c>
      <c r="AK70" s="230">
        <f t="shared" ref="AK70" si="73">IF(AK10=1,AK69-$C$18,AK69+AJ60-$C$18)</f>
        <v>246445.21170130325</v>
      </c>
    </row>
    <row r="71" spans="1:38" s="36" customFormat="1" ht="38.25" customHeight="1" x14ac:dyDescent="0.25">
      <c r="A71" s="38"/>
      <c r="B71" s="22"/>
      <c r="F71" s="204"/>
      <c r="G71" s="188" t="s">
        <v>354</v>
      </c>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95"/>
    </row>
    <row r="72" spans="1:38" s="36" customFormat="1" ht="38.25" customHeight="1" x14ac:dyDescent="0.25">
      <c r="A72" s="38"/>
      <c r="B72" s="22"/>
      <c r="F72" s="204"/>
      <c r="G72" s="12" t="s">
        <v>346</v>
      </c>
      <c r="H72" s="52">
        <f>IF(H$10=1,($C$18*-1)+H57,H57)</f>
        <v>-191070.82460989201</v>
      </c>
      <c r="I72" s="30">
        <f>IF(I$10=1,($C$18*-1)+I57,I57)</f>
        <v>9011.7929356038403</v>
      </c>
      <c r="J72" s="30">
        <f>IF(J$10=1,($C$18*-1)+J57,J57)</f>
        <v>8819.3156641524602</v>
      </c>
      <c r="K72" s="30">
        <f>IF(K$10=1,($C$18*-1)+K57,K57)</f>
        <v>8919.8365453505885</v>
      </c>
      <c r="L72" s="30">
        <f>IF(L$10=1,($C$18*-1)+L57,L57)</f>
        <v>9021.344209944853</v>
      </c>
      <c r="M72" s="30">
        <f>IF(M$10=1,($C$18*-1)+M57,M57)</f>
        <v>9123.848266151701</v>
      </c>
      <c r="N72" s="30">
        <f>IF(N$10=1,($C$18*-1)+N57,N57)</f>
        <v>9227.3584146117355</v>
      </c>
      <c r="O72" s="30">
        <f>IF(O$10=1,($C$18*-1)+O57,O57)</f>
        <v>9117.5987349766074</v>
      </c>
      <c r="P72" s="30">
        <f>IF(P$10=1,($C$18*-1)+P57,P57)</f>
        <v>9223.1505439326284</v>
      </c>
      <c r="Q72" s="30">
        <f>IF(Q$10=1,($C$18*-1)+Q57,Q57)</f>
        <v>9329.7381103752414</v>
      </c>
      <c r="R72" s="30">
        <f>IF(R$10=1,($C$18*-1)+R57,R57)</f>
        <v>9287.3715134487975</v>
      </c>
      <c r="S72" s="30">
        <f>IF(S$10=1,($C$18*-1)+S57,S57)</f>
        <v>9396.0609291659384</v>
      </c>
      <c r="T72" s="30">
        <f>IF(T$10=1,($C$18*-1)+T57,T57)</f>
        <v>9505.8166313210186</v>
      </c>
      <c r="U72" s="30">
        <f>IF(U$10=1,($C$18*-1)+U57,U57)</f>
        <v>9616.648992411885</v>
      </c>
      <c r="V72" s="30">
        <f>IF(V$10=1,($C$18*-1)+V57,V57)</f>
        <v>9728.568484570018</v>
      </c>
      <c r="W72" s="30">
        <f>IF(W$10=1,($C$18*-1)+W57,W57)</f>
        <v>9841.58568049926</v>
      </c>
      <c r="X72" s="30">
        <f>IF(X$10=1,($C$18*-1)+X57,X57)</f>
        <v>9955.7112544230731</v>
      </c>
      <c r="Y72" s="30">
        <f>IF(Y$10=1,($C$18*-1)+Y57,Y57)</f>
        <v>10070.955983040434</v>
      </c>
      <c r="Z72" s="30">
        <f>IF(Z$10=1,($C$18*-1)+Z57,Z57)</f>
        <v>10187.330746490486</v>
      </c>
      <c r="AA72" s="30">
        <f>IF(AA$10=1,($C$18*-1)+AA57,AA57)</f>
        <v>10304.846529325971</v>
      </c>
      <c r="AB72" s="30">
        <f>IF(AB$10=1,($C$18*-1)+AB57,AB57)</f>
        <v>10423.51442149554</v>
      </c>
      <c r="AC72" s="30">
        <f>IF(AC$10=1,($C$18*-1)+AC57,AC57)</f>
        <v>10543.345619335021</v>
      </c>
      <c r="AD72" s="30">
        <f>IF(AD$10=1,($C$18*-1)+AD57,AD57)</f>
        <v>10664.351426567708</v>
      </c>
      <c r="AE72" s="30">
        <f>IF(AE$10=1,($C$18*-1)+AE57,AE57)</f>
        <v>10786.543255313749</v>
      </c>
      <c r="AF72" s="30">
        <f>IF(AF$10=1,($C$18*-1)+AF57,AF57)</f>
        <v>10909.93262710875</v>
      </c>
      <c r="AG72" s="30">
        <f>IF(AG$10=1,($C$18*-1)+AG57,AG57)</f>
        <v>14011.438908699312</v>
      </c>
      <c r="AH72" s="30">
        <f>IF(AH$10=1,($C$18*-1)+AH57,AH57)</f>
        <v>14143.473297786302</v>
      </c>
      <c r="AI72" s="30">
        <f>IF(AI$10=1,($C$18*-1)+AI57,AI57)</f>
        <v>14276.828030764162</v>
      </c>
      <c r="AJ72" s="30">
        <f>IF(AJ$10=1,($C$18*-1)+AJ57,AJ57)</f>
        <v>14411.516311071802</v>
      </c>
      <c r="AK72" s="31">
        <f>IF(AK$10=1,($C$18*-1)+AK57,AK57)</f>
        <v>14547.551474182523</v>
      </c>
    </row>
    <row r="73" spans="1:38" s="36" customFormat="1" ht="38.25" customHeight="1" x14ac:dyDescent="0.25">
      <c r="A73" s="38"/>
      <c r="B73" s="22"/>
      <c r="F73" s="204"/>
      <c r="G73" s="193" t="s">
        <v>355</v>
      </c>
      <c r="H73" s="135">
        <f>H66-H16-$C$18</f>
        <v>-18298.234477498656</v>
      </c>
      <c r="I73" s="52">
        <f t="shared" ref="I73:AK73" si="74">I66-I16-$C$18</f>
        <v>-14100.273624108289</v>
      </c>
      <c r="J73" s="52">
        <f t="shared" si="74"/>
        <v>-11295.047434059379</v>
      </c>
      <c r="K73" s="52">
        <f t="shared" si="74"/>
        <v>-8146.8482068484882</v>
      </c>
      <c r="L73" s="52">
        <f t="shared" si="74"/>
        <v>-4947.0647267782188</v>
      </c>
      <c r="M73" s="52">
        <f t="shared" si="74"/>
        <v>-2486.8708553718752</v>
      </c>
      <c r="N73" s="52">
        <f t="shared" si="74"/>
        <v>-497.60577687929617</v>
      </c>
      <c r="O73" s="52">
        <f t="shared" si="74"/>
        <v>1141.7917607611744</v>
      </c>
      <c r="P73" s="52">
        <f t="shared" si="74"/>
        <v>3231.9524836867931</v>
      </c>
      <c r="Q73" s="52">
        <f t="shared" si="74"/>
        <v>5373.5152485881408</v>
      </c>
      <c r="R73" s="52">
        <f t="shared" si="74"/>
        <v>7567.1271497044363</v>
      </c>
      <c r="S73" s="52">
        <f t="shared" si="74"/>
        <v>10093.443627252243</v>
      </c>
      <c r="T73" s="52">
        <f t="shared" si="74"/>
        <v>12673.128577303956</v>
      </c>
      <c r="U73" s="52">
        <f t="shared" si="74"/>
        <v>15306.854463138909</v>
      </c>
      <c r="V73" s="52">
        <f t="shared" si="74"/>
        <v>17995.302428084484</v>
      </c>
      <c r="W73" s="52">
        <f t="shared" si="74"/>
        <v>20739.162409869023</v>
      </c>
      <c r="X73" s="52">
        <f t="shared" si="74"/>
        <v>23539.133256505593</v>
      </c>
      <c r="Y73" s="52">
        <f t="shared" si="74"/>
        <v>26395.92284372967</v>
      </c>
      <c r="Z73" s="52">
        <f t="shared" si="74"/>
        <v>29310.248194008978</v>
      </c>
      <c r="AA73" s="52">
        <f t="shared" si="74"/>
        <v>32282.835597149504</v>
      </c>
      <c r="AB73" s="52">
        <f t="shared" si="74"/>
        <v>35314.42073251729</v>
      </c>
      <c r="AC73" s="52">
        <f t="shared" si="74"/>
        <v>38405.748792899161</v>
      </c>
      <c r="AD73" s="52">
        <f t="shared" si="74"/>
        <v>41557.574610024021</v>
      </c>
      <c r="AE73" s="52">
        <f t="shared" si="74"/>
        <v>44770.662781768275</v>
      </c>
      <c r="AF73" s="52">
        <f t="shared" si="74"/>
        <v>48045.787801066326</v>
      </c>
      <c r="AG73" s="52">
        <f t="shared" si="74"/>
        <v>51414.535187147849</v>
      </c>
      <c r="AH73" s="52">
        <f t="shared" si="74"/>
        <v>51845.72053901921</v>
      </c>
      <c r="AI73" s="52">
        <f t="shared" si="74"/>
        <v>52299.473744409421</v>
      </c>
      <c r="AJ73" s="52">
        <f t="shared" si="74"/>
        <v>52776.020481853571</v>
      </c>
      <c r="AK73" s="53">
        <f t="shared" si="74"/>
        <v>53275.588686672068</v>
      </c>
    </row>
    <row r="74" spans="1:38" s="36" customFormat="1" ht="38.25" customHeight="1" x14ac:dyDescent="0.25">
      <c r="A74" s="38"/>
      <c r="B74" s="22"/>
      <c r="F74" s="204"/>
      <c r="G74" s="194" t="s">
        <v>356</v>
      </c>
      <c r="H74" s="212" t="str">
        <f>TRI!C14</f>
        <v>N/A</v>
      </c>
      <c r="I74" s="213">
        <f>TRI!D14</f>
        <v>-2.7063777238403919E-2</v>
      </c>
      <c r="J74" s="213">
        <f>TRI!E14</f>
        <v>1.7651727061008593E-2</v>
      </c>
      <c r="K74" s="213">
        <f>TRI!F14</f>
        <v>3.293488256191579E-2</v>
      </c>
      <c r="L74" s="213">
        <f>TRI!G14</f>
        <v>4.0596743898725141E-2</v>
      </c>
      <c r="M74" s="213">
        <f>TRI!H14</f>
        <v>5.3037039100626293E-2</v>
      </c>
      <c r="N74" s="213">
        <f>TRI!I14</f>
        <v>4.6552454837309076E-2</v>
      </c>
      <c r="O74" s="213">
        <f>TRI!J14</f>
        <v>4.7853777118924246E-2</v>
      </c>
      <c r="P74" s="213">
        <f>TRI!K14</f>
        <v>4.8960929562237077E-2</v>
      </c>
      <c r="Q74" s="213">
        <f>TRI!L14</f>
        <v>4.9840309769768165E-2</v>
      </c>
      <c r="R74" s="213">
        <f>TRI!M14</f>
        <v>5.0558605761665598E-2</v>
      </c>
      <c r="S74" s="213">
        <f>TRI!N14</f>
        <v>5.1202290914752258E-2</v>
      </c>
      <c r="T74" s="213">
        <f>TRI!O14</f>
        <v>5.1743259745029357E-2</v>
      </c>
      <c r="U74" s="213">
        <f>TRI!P14</f>
        <v>5.2204430750377728E-2</v>
      </c>
      <c r="V74" s="213">
        <f>TRI!Q14</f>
        <v>5.2602246666245689E-2</v>
      </c>
      <c r="W74" s="213">
        <f>TRI!R14</f>
        <v>5.2948820591758317E-2</v>
      </c>
      <c r="X74" s="213">
        <f>TRI!S14</f>
        <v>5.3253281349200154E-2</v>
      </c>
      <c r="Y74" s="213">
        <f>TRI!T14</f>
        <v>5.3522646232116111E-2</v>
      </c>
      <c r="Z74" s="213">
        <f>TRI!U14</f>
        <v>5.3762404113763207E-2</v>
      </c>
      <c r="AA74" s="213">
        <f>TRI!V14</f>
        <v>5.397691517687786E-2</v>
      </c>
      <c r="AB74" s="213">
        <f>TRI!W14</f>
        <v>5.4169691193494351E-2</v>
      </c>
      <c r="AC74" s="213">
        <f>TRI!X14</f>
        <v>5.4343596023203267E-2</v>
      </c>
      <c r="AD74" s="213">
        <f>TRI!Y14</f>
        <v>5.4500991625941353E-2</v>
      </c>
      <c r="AE74" s="213">
        <f>TRI!Z14</f>
        <v>5.4643846117220285E-2</v>
      </c>
      <c r="AF74" s="213">
        <f>TRI!AA14</f>
        <v>5.4773814902598916E-2</v>
      </c>
      <c r="AG74" s="213">
        <f>TRI!AB14</f>
        <v>5.4895196315529082E-2</v>
      </c>
      <c r="AH74" s="213">
        <f>TRI!AC14</f>
        <v>5.501798944402303E-2</v>
      </c>
      <c r="AI74" s="213">
        <f>TRI!AD14</f>
        <v>5.5140529569307706E-2</v>
      </c>
      <c r="AJ74" s="213">
        <f>TRI!AE14</f>
        <v>5.5262352801952019E-2</v>
      </c>
      <c r="AK74" s="214">
        <f>TRI!AF14</f>
        <v>5.5383073650175696E-2</v>
      </c>
    </row>
    <row r="75" spans="1:38" s="36" customFormat="1" ht="38.25" customHeight="1" x14ac:dyDescent="0.25">
      <c r="A75" s="38"/>
      <c r="B75" s="22"/>
      <c r="F75" s="204"/>
      <c r="G75" s="12" t="s">
        <v>357</v>
      </c>
      <c r="H75" s="52">
        <f>IF(H$10=1,($C$18*-1)+H59,H59)</f>
        <v>-193749.57722692442</v>
      </c>
      <c r="I75" s="95">
        <f>IF(I$10=1,($C$18*-1)+I59,I59)</f>
        <v>6308.255054922688</v>
      </c>
      <c r="J75" s="95">
        <f>IF(J$10=1,($C$18*-1)+J59,J59)</f>
        <v>6173.5209649067219</v>
      </c>
      <c r="K75" s="95">
        <f>IF(K$10=1,($C$18*-1)+K59,K59)</f>
        <v>6243.8855817454114</v>
      </c>
      <c r="L75" s="95">
        <f>IF(L$10=1,($C$18*-1)+L59,L59)</f>
        <v>6314.9409469613965</v>
      </c>
      <c r="M75" s="95">
        <f>IF(M$10=1,($C$18*-1)+M59,M59)</f>
        <v>6386.6937863061903</v>
      </c>
      <c r="N75" s="95">
        <f>IF(N$10=1,($C$18*-1)+N59,N59)</f>
        <v>6459.1508902282148</v>
      </c>
      <c r="O75" s="95">
        <f>IF(O$10=1,($C$18*-1)+O59,O59)</f>
        <v>6382.3191144836246</v>
      </c>
      <c r="P75" s="95">
        <f>IF(P$10=1,($C$18*-1)+P59,P59)</f>
        <v>6456.2053807528391</v>
      </c>
      <c r="Q75" s="95">
        <f>IF(Q$10=1,($C$18*-1)+Q59,Q59)</f>
        <v>6530.8166772626682</v>
      </c>
      <c r="R75" s="95">
        <f>IF(R$10=1,($C$18*-1)+R59,R59)</f>
        <v>6501.1600594141582</v>
      </c>
      <c r="S75" s="95">
        <f>IF(S$10=1,($C$18*-1)+S59,S59)</f>
        <v>6577.2426504161567</v>
      </c>
      <c r="T75" s="95">
        <f>IF(T$10=1,($C$18*-1)+T59,T59)</f>
        <v>6654.0716419247128</v>
      </c>
      <c r="U75" s="95">
        <f>IF(U$10=1,($C$18*-1)+U59,U59)</f>
        <v>6731.6542946883192</v>
      </c>
      <c r="V75" s="95">
        <f>IF(V$10=1,($C$18*-1)+V59,V59)</f>
        <v>6809.9979391990119</v>
      </c>
      <c r="W75" s="95">
        <f>IF(W$10=1,($C$18*-1)+W59,W59)</f>
        <v>6889.1099763494813</v>
      </c>
      <c r="X75" s="95">
        <f>IF(X$10=1,($C$18*-1)+X59,X59)</f>
        <v>6968.997878096151</v>
      </c>
      <c r="Y75" s="95">
        <f>IF(Y$10=1,($C$18*-1)+Y59,Y59)</f>
        <v>7049.6691881283032</v>
      </c>
      <c r="Z75" s="95">
        <f>IF(Z$10=1,($C$18*-1)+Z59,Z59)</f>
        <v>7131.13152254334</v>
      </c>
      <c r="AA75" s="95">
        <f>IF(AA$10=1,($C$18*-1)+AA59,AA59)</f>
        <v>7213.392570528179</v>
      </c>
      <c r="AB75" s="95">
        <f>IF(AB$10=1,($C$18*-1)+AB59,AB59)</f>
        <v>7296.4600950468775</v>
      </c>
      <c r="AC75" s="95">
        <f>IF(AC$10=1,($C$18*-1)+AC59,AC59)</f>
        <v>7380.3419335345143</v>
      </c>
      <c r="AD75" s="95">
        <f>IF(AD$10=1,($C$18*-1)+AD59,AD59)</f>
        <v>7465.0459985973948</v>
      </c>
      <c r="AE75" s="95">
        <f>IF(AE$10=1,($C$18*-1)+AE59,AE59)</f>
        <v>7550.5802787196235</v>
      </c>
      <c r="AF75" s="95">
        <f>IF(AF$10=1,($C$18*-1)+AF59,AF59)</f>
        <v>7636.9528389761244</v>
      </c>
      <c r="AG75" s="95">
        <f>IF(AG$10=1,($C$18*-1)+AG59,AG59)</f>
        <v>9808.0072360895174</v>
      </c>
      <c r="AH75" s="95">
        <f>IF(AH$10=1,($C$18*-1)+AH59,AH59)</f>
        <v>9900.4313084504101</v>
      </c>
      <c r="AI75" s="95">
        <f>IF(AI$10=1,($C$18*-1)+AI59,AI59)</f>
        <v>9993.7796215349117</v>
      </c>
      <c r="AJ75" s="95">
        <f>IF(AJ$10=1,($C$18*-1)+AJ59,AJ59)</f>
        <v>10088.061417750261</v>
      </c>
      <c r="AK75" s="96">
        <f>IF(AK$10=1,($C$18*-1)+AK59,AK59)</f>
        <v>10183.286031927766</v>
      </c>
    </row>
    <row r="76" spans="1:38" s="36" customFormat="1" ht="38.25" customHeight="1" x14ac:dyDescent="0.25">
      <c r="A76" s="38"/>
      <c r="B76" s="22"/>
      <c r="F76" s="204"/>
      <c r="G76" s="179" t="s">
        <v>358</v>
      </c>
      <c r="H76" s="52">
        <f>IF(H67&lt;0,H67,H67*0.7)</f>
        <v>127191.23586575093</v>
      </c>
      <c r="I76" s="52">
        <f t="shared" ref="I76:AJ76" si="75">IF(I67&lt;0,I67,I67*0.7)</f>
        <v>130129.80846312419</v>
      </c>
      <c r="J76" s="52">
        <f t="shared" si="75"/>
        <v>132093.46679615843</v>
      </c>
      <c r="K76" s="52">
        <f t="shared" si="75"/>
        <v>134297.20625520605</v>
      </c>
      <c r="L76" s="52">
        <f t="shared" si="75"/>
        <v>136537.05469125524</v>
      </c>
      <c r="M76" s="52">
        <f t="shared" si="75"/>
        <v>138259.19040123967</v>
      </c>
      <c r="N76" s="52">
        <f t="shared" si="75"/>
        <v>139651.67595618448</v>
      </c>
      <c r="O76" s="52">
        <f t="shared" si="75"/>
        <v>140799.25423253281</v>
      </c>
      <c r="P76" s="52">
        <f t="shared" si="75"/>
        <v>142262.36673858075</v>
      </c>
      <c r="Q76" s="52">
        <f t="shared" si="75"/>
        <v>143761.4606740117</v>
      </c>
      <c r="R76" s="52">
        <f t="shared" si="75"/>
        <v>145296.98900479308</v>
      </c>
      <c r="S76" s="52">
        <f t="shared" si="75"/>
        <v>147065.41053907655</v>
      </c>
      <c r="T76" s="52">
        <f t="shared" si="75"/>
        <v>148871.19000411275</v>
      </c>
      <c r="U76" s="52">
        <f t="shared" si="75"/>
        <v>150714.79812419723</v>
      </c>
      <c r="V76" s="52">
        <f t="shared" si="75"/>
        <v>152596.71169965912</v>
      </c>
      <c r="W76" s="52">
        <f t="shared" si="75"/>
        <v>154517.41368690832</v>
      </c>
      <c r="X76" s="52">
        <f t="shared" si="75"/>
        <v>156477.39327955391</v>
      </c>
      <c r="Y76" s="52">
        <f t="shared" si="75"/>
        <v>158477.14599061076</v>
      </c>
      <c r="Z76" s="52">
        <f t="shared" si="75"/>
        <v>160517.17373580628</v>
      </c>
      <c r="AA76" s="52">
        <f t="shared" si="75"/>
        <v>162597.98491800463</v>
      </c>
      <c r="AB76" s="52">
        <f t="shared" si="75"/>
        <v>164720.09451276209</v>
      </c>
      <c r="AC76" s="52">
        <f t="shared" si="75"/>
        <v>166884.02415502942</v>
      </c>
      <c r="AD76" s="52">
        <f t="shared" si="75"/>
        <v>169090.3022270168</v>
      </c>
      <c r="AE76" s="52">
        <f t="shared" si="75"/>
        <v>171339.46394723779</v>
      </c>
      <c r="AF76" s="52">
        <f t="shared" si="75"/>
        <v>173632.05146074641</v>
      </c>
      <c r="AG76" s="52">
        <f t="shared" si="75"/>
        <v>175990.17463100349</v>
      </c>
      <c r="AH76" s="52">
        <f t="shared" si="75"/>
        <v>176292.00437731342</v>
      </c>
      <c r="AI76" s="52">
        <f t="shared" si="75"/>
        <v>176609.63162108659</v>
      </c>
      <c r="AJ76" s="52">
        <f t="shared" si="75"/>
        <v>176943.21433729748</v>
      </c>
      <c r="AK76" s="53">
        <f>IF(AK67&lt;0,AK67,AK67*0.7)</f>
        <v>177292.91208067044</v>
      </c>
    </row>
    <row r="77" spans="1:38" s="36" customFormat="1" ht="38.25" customHeight="1" x14ac:dyDescent="0.25">
      <c r="A77" s="38"/>
      <c r="B77" s="22"/>
      <c r="F77" s="205"/>
      <c r="G77" s="194" t="s">
        <v>359</v>
      </c>
      <c r="H77" s="210" t="str">
        <f>TRI!C52</f>
        <v>N/A</v>
      </c>
      <c r="I77" s="210">
        <f>TRI!D52</f>
        <v>-4.0515447638054591E-2</v>
      </c>
      <c r="J77" s="210">
        <f>TRI!E52</f>
        <v>3.3093876101899511E-3</v>
      </c>
      <c r="K77" s="210">
        <f>TRI!F52</f>
        <v>1.8468941389298887E-2</v>
      </c>
      <c r="L77" s="210">
        <f>TRI!G52</f>
        <v>2.6090179167897354E-2</v>
      </c>
      <c r="M77" s="210">
        <f>TRI!H52</f>
        <v>2.9881570351442788E-2</v>
      </c>
      <c r="N77" s="210">
        <f>TRI!I52</f>
        <v>2.8625989886896797E-2</v>
      </c>
      <c r="O77" s="210">
        <f>TRI!J52</f>
        <v>3.3063695794129266E-2</v>
      </c>
      <c r="P77" s="210">
        <f>TRI!K52</f>
        <v>3.3873328801331315E-2</v>
      </c>
      <c r="Q77" s="210">
        <f>TRI!L52</f>
        <v>3.4529353844254151E-2</v>
      </c>
      <c r="R77" s="210">
        <f>TRI!M52</f>
        <v>3.5076809983581869E-2</v>
      </c>
      <c r="S77" s="210">
        <f>TRI!N52</f>
        <v>3.5578080046887894E-2</v>
      </c>
      <c r="T77" s="210">
        <f>TRI!O52</f>
        <v>3.6010194298935039E-2</v>
      </c>
      <c r="U77" s="210">
        <f>TRI!P52</f>
        <v>3.6388461053067589E-2</v>
      </c>
      <c r="V77" s="210">
        <f>TRI!Q52</f>
        <v>3.6723843848675664E-2</v>
      </c>
      <c r="W77" s="210">
        <f>TRI!R52</f>
        <v>3.7024404481500017E-2</v>
      </c>
      <c r="X77" s="210">
        <f>TRI!S52</f>
        <v>3.7296206810771615E-2</v>
      </c>
      <c r="Y77" s="210">
        <f>TRI!T52</f>
        <v>3.7543902621103964E-2</v>
      </c>
      <c r="Z77" s="210">
        <f>TRI!U52</f>
        <v>3.7771122789562739E-2</v>
      </c>
      <c r="AA77" s="210">
        <f>TRI!V52</f>
        <v>3.798074527081452E-2</v>
      </c>
      <c r="AB77" s="210">
        <f>TRI!W52</f>
        <v>3.8175082891440004E-2</v>
      </c>
      <c r="AC77" s="210">
        <f>TRI!X52</f>
        <v>3.8356017611593352E-2</v>
      </c>
      <c r="AD77" s="210">
        <f>TRI!Y52</f>
        <v>3.8525098243789024E-2</v>
      </c>
      <c r="AE77" s="210">
        <f>TRI!Z52</f>
        <v>3.8683612723700245E-2</v>
      </c>
      <c r="AF77" s="210">
        <f>TRI!AA52</f>
        <v>3.8832642339081458E-2</v>
      </c>
      <c r="AG77" s="210">
        <f>TRI!AB52</f>
        <v>3.8975627122742607E-2</v>
      </c>
      <c r="AH77" s="210">
        <f>TRI!AC52</f>
        <v>4.0185382652977664E-2</v>
      </c>
      <c r="AI77" s="210">
        <f>TRI!AD52</f>
        <v>4.0266700431418778E-2</v>
      </c>
      <c r="AJ77" s="210">
        <f>TRI!AE52</f>
        <v>3.9395134444166535E-2</v>
      </c>
      <c r="AK77" s="211">
        <f>TRI!AF52</f>
        <v>3.9530675967489159E-2</v>
      </c>
    </row>
    <row r="78" spans="1:38" s="17" customFormat="1" ht="38.25" customHeight="1" x14ac:dyDescent="0.25">
      <c r="A78" s="5"/>
      <c r="B78" s="28"/>
      <c r="E78" s="36"/>
      <c r="F78" s="48"/>
      <c r="G78" s="27"/>
      <c r="H78" s="20"/>
      <c r="I78" s="20"/>
      <c r="J78" s="20"/>
      <c r="K78" s="20"/>
      <c r="L78" s="20"/>
      <c r="M78" s="20"/>
      <c r="N78" s="20"/>
      <c r="O78" s="20"/>
      <c r="P78" s="20"/>
      <c r="Q78" s="20"/>
      <c r="R78" s="20"/>
      <c r="S78" s="20"/>
      <c r="T78" s="20"/>
      <c r="U78" s="20"/>
      <c r="V78" s="14"/>
      <c r="W78" s="20"/>
      <c r="X78" s="20"/>
      <c r="Y78" s="20"/>
      <c r="Z78" s="20"/>
      <c r="AA78" s="20"/>
      <c r="AB78" s="20"/>
      <c r="AC78" s="20"/>
      <c r="AD78" s="20"/>
      <c r="AE78" s="20"/>
      <c r="AF78" s="20"/>
      <c r="AG78" s="20"/>
      <c r="AH78" s="20"/>
      <c r="AI78" s="20"/>
      <c r="AJ78" s="20"/>
      <c r="AK78" s="20"/>
    </row>
    <row r="79" spans="1:38" s="17" customFormat="1" ht="38.25" customHeight="1" x14ac:dyDescent="0.25">
      <c r="A79" s="5"/>
      <c r="B79" s="28"/>
      <c r="E79" s="36"/>
      <c r="F79" s="215" t="s">
        <v>153</v>
      </c>
      <c r="G79" s="178" t="s">
        <v>310</v>
      </c>
      <c r="H79" s="130">
        <f t="shared" ref="H79:AK79" si="76">500*((1+$C$35)^(H$10-1))</f>
        <v>500</v>
      </c>
      <c r="I79" s="30">
        <f t="shared" si="76"/>
        <v>505</v>
      </c>
      <c r="J79" s="30">
        <f t="shared" si="76"/>
        <v>510.05</v>
      </c>
      <c r="K79" s="30">
        <f t="shared" si="76"/>
        <v>515.15049999999997</v>
      </c>
      <c r="L79" s="30">
        <f t="shared" si="76"/>
        <v>520.30200500000001</v>
      </c>
      <c r="M79" s="30">
        <f t="shared" si="76"/>
        <v>525.50502504999997</v>
      </c>
      <c r="N79" s="30">
        <f t="shared" si="76"/>
        <v>530.76007530050003</v>
      </c>
      <c r="O79" s="30">
        <f t="shared" si="76"/>
        <v>536.0676760535049</v>
      </c>
      <c r="P79" s="30">
        <f t="shared" si="76"/>
        <v>541.42835281404007</v>
      </c>
      <c r="Q79" s="30">
        <f t="shared" si="76"/>
        <v>546.84263634218053</v>
      </c>
      <c r="R79" s="30">
        <f t="shared" si="76"/>
        <v>552.31106270560235</v>
      </c>
      <c r="S79" s="30">
        <f t="shared" si="76"/>
        <v>557.83417333265822</v>
      </c>
      <c r="T79" s="30">
        <f t="shared" si="76"/>
        <v>563.41251506598485</v>
      </c>
      <c r="U79" s="30">
        <f t="shared" si="76"/>
        <v>569.04664021664473</v>
      </c>
      <c r="V79" s="30">
        <f t="shared" si="76"/>
        <v>574.73710661881125</v>
      </c>
      <c r="W79" s="30">
        <f t="shared" si="76"/>
        <v>580.48447768499921</v>
      </c>
      <c r="X79" s="30">
        <f t="shared" si="76"/>
        <v>586.28932246184934</v>
      </c>
      <c r="Y79" s="30">
        <f t="shared" si="76"/>
        <v>592.15221568646791</v>
      </c>
      <c r="Z79" s="30">
        <f t="shared" si="76"/>
        <v>598.07373784333265</v>
      </c>
      <c r="AA79" s="30">
        <f t="shared" si="76"/>
        <v>604.05447522176576</v>
      </c>
      <c r="AB79" s="30">
        <f t="shared" si="76"/>
        <v>610.09501997398354</v>
      </c>
      <c r="AC79" s="30">
        <f t="shared" si="76"/>
        <v>616.19597017372325</v>
      </c>
      <c r="AD79" s="30">
        <f t="shared" si="76"/>
        <v>622.35792987546063</v>
      </c>
      <c r="AE79" s="30">
        <f t="shared" si="76"/>
        <v>628.58150917421517</v>
      </c>
      <c r="AF79" s="30">
        <f t="shared" si="76"/>
        <v>634.86732426595745</v>
      </c>
      <c r="AG79" s="30">
        <f t="shared" si="76"/>
        <v>641.21599750861708</v>
      </c>
      <c r="AH79" s="30">
        <f t="shared" si="76"/>
        <v>647.62815748370326</v>
      </c>
      <c r="AI79" s="30">
        <f t="shared" si="76"/>
        <v>654.10443905854015</v>
      </c>
      <c r="AJ79" s="30">
        <f t="shared" si="76"/>
        <v>660.64548344912555</v>
      </c>
      <c r="AK79" s="31">
        <f t="shared" si="76"/>
        <v>667.25193828361682</v>
      </c>
    </row>
    <row r="80" spans="1:38" s="17" customFormat="1" ht="38.25" customHeight="1" x14ac:dyDescent="0.25">
      <c r="A80" s="5"/>
      <c r="B80" s="28"/>
      <c r="E80" s="36"/>
      <c r="F80" s="216"/>
      <c r="G80" s="191" t="s">
        <v>343</v>
      </c>
      <c r="H80" s="52">
        <f>H24*0.25</f>
        <v>500</v>
      </c>
      <c r="I80" s="52">
        <f>I24*0.25</f>
        <v>505</v>
      </c>
      <c r="J80" s="52">
        <f>J24*0.25</f>
        <v>510.05</v>
      </c>
      <c r="K80" s="52">
        <f>K24*0.25</f>
        <v>515.15049999999997</v>
      </c>
      <c r="L80" s="52">
        <f>L24*0.25</f>
        <v>520.30200500000001</v>
      </c>
      <c r="M80" s="52">
        <f>M24*0.25</f>
        <v>525.50502504999997</v>
      </c>
      <c r="N80" s="52">
        <f>N24*0.25</f>
        <v>530.76007530050003</v>
      </c>
      <c r="O80" s="52">
        <f>O24*0.25</f>
        <v>536.0676760535049</v>
      </c>
      <c r="P80" s="52">
        <f>P24*0.25</f>
        <v>541.42835281404007</v>
      </c>
      <c r="Q80" s="52">
        <f>Q24*0.25</f>
        <v>546.84263634218053</v>
      </c>
      <c r="R80" s="52">
        <f>R24*0.25</f>
        <v>552.31106270560235</v>
      </c>
      <c r="S80" s="52">
        <f>S24*0.25</f>
        <v>557.83417333265822</v>
      </c>
      <c r="T80" s="52">
        <f>T24*0.25</f>
        <v>563.41251506598485</v>
      </c>
      <c r="U80" s="52">
        <f>U24*0.25</f>
        <v>569.04664021664473</v>
      </c>
      <c r="V80" s="52">
        <f>V24*0.25</f>
        <v>574.73710661881125</v>
      </c>
      <c r="W80" s="52">
        <f>W24*0.25</f>
        <v>580.48447768499921</v>
      </c>
      <c r="X80" s="52">
        <f>X24*0.25</f>
        <v>586.28932246184934</v>
      </c>
      <c r="Y80" s="52">
        <f>Y24*0.25</f>
        <v>592.15221568646791</v>
      </c>
      <c r="Z80" s="52">
        <f>Z24*0.25</f>
        <v>598.07373784333265</v>
      </c>
      <c r="AA80" s="52">
        <f>AA24*0.25</f>
        <v>604.05447522176576</v>
      </c>
      <c r="AB80" s="52">
        <f>AB24*0.25</f>
        <v>610.09501997398354</v>
      </c>
      <c r="AC80" s="52">
        <f>AC24*0.25</f>
        <v>616.19597017372325</v>
      </c>
      <c r="AD80" s="52">
        <f>AD24*0.25</f>
        <v>622.35792987546063</v>
      </c>
      <c r="AE80" s="52">
        <f>AE24*0.25</f>
        <v>628.58150917421517</v>
      </c>
      <c r="AF80" s="52">
        <f>AF24*0.25</f>
        <v>634.86732426595745</v>
      </c>
      <c r="AG80" s="52">
        <f>AG24*0.25</f>
        <v>641.21599750861708</v>
      </c>
      <c r="AH80" s="52">
        <f>AH24*0.25</f>
        <v>647.62815748370326</v>
      </c>
      <c r="AI80" s="52">
        <f>AI24*0.25</f>
        <v>654.10443905854015</v>
      </c>
      <c r="AJ80" s="52">
        <f>AJ24*0.25</f>
        <v>660.64548344912555</v>
      </c>
      <c r="AK80" s="53">
        <f>AK24*0.25</f>
        <v>667.25193828361682</v>
      </c>
    </row>
    <row r="81" spans="1:37" s="17" customFormat="1" ht="38.25" customHeight="1" x14ac:dyDescent="0.25">
      <c r="A81" s="5"/>
      <c r="B81" s="28"/>
      <c r="E81" s="36"/>
      <c r="F81" s="216"/>
      <c r="G81" s="189" t="s">
        <v>311</v>
      </c>
      <c r="H81" s="52">
        <f>IF(H$10=1,$C$21+$C$22+H$19+H$26+H$32+$C$12*$C$15+$C$16+H$79+H$80-H$31,H$19+H$26+H$32+H$79+H$80-H$31)</f>
        <v>47239.305906070091</v>
      </c>
      <c r="I81" s="52">
        <f>IF(I$10=1,$C$21+$C$22+I$19+I$26+I$32+$C$12*$C$15+$C$16+I$79+I$80-I$31,I$19+I$26+I$32+I$79+I$80-I$31)</f>
        <v>15675.102730568935</v>
      </c>
      <c r="J81" s="52">
        <f>IF(J$10=1,$C$21+$C$22+J$19+J$26+J$32+$C$12*$C$15+$C$16+J$79+J$80-J$31,J$19+J$26+J$32+J$79+J$80-J$31)</f>
        <v>15711.138076963151</v>
      </c>
      <c r="K81" s="52">
        <f>IF(K$10=1,$C$21+$C$22+K$19+K$26+K$32+$C$12*$C$15+$C$16+K$79+K$80-K$31,K$19+K$26+K$32+K$79+K$80-K$31)</f>
        <v>15747.412647450692</v>
      </c>
      <c r="L81" s="52">
        <f>IF(L$10=1,$C$21+$C$22+L$19+L$26+L$32+$C$12*$C$15+$C$16+L$79+L$80-L$31,L$19+L$26+L$32+L$79+L$80-L$31)</f>
        <v>15783.927127537427</v>
      </c>
      <c r="M81" s="52">
        <f>IF(M$10=1,$C$21+$C$22+M$19+M$26+M$32+$C$12*$C$15+$C$16+M$79+M$80-M$31,M$19+M$26+M$32+M$79+M$80-M$31)</f>
        <v>15820.682185536058</v>
      </c>
      <c r="N81" s="52">
        <f>IF(N$10=1,$C$21+$C$22+N$19+N$26+N$32+$C$12*$C$15+$C$16+N$79+N$80-N$31,N$19+N$26+N$32+N$79+N$80-N$31)</f>
        <v>15857.678472055373</v>
      </c>
      <c r="O81" s="52">
        <f>IF(O$10=1,$C$21+$C$22+O$19+O$26+O$32+$C$12*$C$15+$C$16+O$79+O$80-O$31,O$19+O$26+O$32+O$79+O$80-O$31)</f>
        <v>14466.34519090813</v>
      </c>
      <c r="P81" s="52">
        <f>IF(P$10=1,$C$21+$C$22+P$19+P$26+P$32+$C$12*$C$15+$C$16+P$79+P$80-P$31,P$19+P$26+P$32+P$79+P$80-P$31)</f>
        <v>14503.825812866113</v>
      </c>
      <c r="Q81" s="52">
        <f>IF(Q$10=1,$C$21+$C$22+Q$19+Q$26+Q$32+$C$12*$C$15+$C$16+Q$79+Q$80-Q$31,Q$19+Q$26+Q$32+Q$79+Q$80-Q$31)</f>
        <v>14541.549503690572</v>
      </c>
      <c r="R81" s="52">
        <f>IF(R$10=1,$C$21+$C$22+R$19+R$26+R$32+$C$12*$C$15+$C$16+R$79+R$80-R$31,R$19+R$26+R$32+R$79+R$80-R$31)</f>
        <v>13579.516837866688</v>
      </c>
      <c r="S81" s="52">
        <f>IF(S$10=1,$C$21+$C$22+S$19+S$26+S$32+$C$12*$C$15+$C$16+S$79+S$80-S$31,S$19+S$26+S$32+S$79+S$80-S$31)</f>
        <v>13617.728369470227</v>
      </c>
      <c r="T81" s="52">
        <f>IF(T$10=1,$C$21+$C$22+T$19+T$26+T$32+$C$12*$C$15+$C$16+T$79+T$80-T$31,T$19+T$26+T$32+T$79+T$80-T$31)</f>
        <v>13656.18463159497</v>
      </c>
      <c r="U81" s="52">
        <f>IF(U$10=1,$C$21+$C$22+U$19+U$26+U$32+$C$12*$C$15+$C$16+U$79+U$80-U$31,U$19+U$26+U$32+U$79+U$80-U$31)</f>
        <v>13694.886135769135</v>
      </c>
      <c r="V81" s="52">
        <f>IF(V$10=1,$C$21+$C$22+V$19+V$26+V$32+$C$12*$C$15+$C$16+V$79+V$80-V$31,V$19+V$26+V$32+V$79+V$80-V$31)</f>
        <v>13733.833371360786</v>
      </c>
      <c r="W81" s="52">
        <f>IF(W$10=1,$C$21+$C$22+W$19+W$26+W$32+$C$12*$C$15+$C$16+W$79+W$80-W$31,W$19+W$26+W$32+W$79+W$80-W$31)</f>
        <v>13773.026804971885</v>
      </c>
      <c r="X81" s="52">
        <f>IF(X$10=1,$C$21+$C$22+X$19+X$26+X$32+$C$12*$C$15+$C$16+X$79+X$80-X$31,X$19+X$26+X$32+X$79+X$80-X$31)</f>
        <v>13812.466879820931</v>
      </c>
      <c r="Y81" s="52">
        <f>IF(Y$10=1,$C$21+$C$22+Y$19+Y$26+Y$32+$C$12*$C$15+$C$16+Y$79+Y$80-Y$31,Y$19+Y$26+Y$32+Y$79+Y$80-Y$31)</f>
        <v>13852.154015113867</v>
      </c>
      <c r="Z81" s="52">
        <f>IF(Z$10=1,$C$21+$C$22+Z$19+Z$26+Z$32+$C$12*$C$15+$C$16+Z$79+Z$80-Z$31,Z$19+Z$26+Z$32+Z$79+Z$80-Z$31)</f>
        <v>13892.088605403183</v>
      </c>
      <c r="AA81" s="52">
        <f>IF(AA$10=1,$C$21+$C$22+AA$19+AA$26+AA$32+$C$12*$C$15+$C$16+AA$79+AA$80-AA$31,AA$19+AA$26+AA$32+AA$79+AA$80-AA$31)</f>
        <v>13932.271019934949</v>
      </c>
      <c r="AB81" s="52">
        <f>IF(AB$10=1,$C$21+$C$22+AB$19+AB$26+AB$32+$C$12*$C$15+$C$16+AB$79+AB$80-AB$31,AB$19+AB$26+AB$32+AB$79+AB$80-AB$31)</f>
        <v>13972.701601983579</v>
      </c>
      <c r="AC81" s="52">
        <f>IF(AC$10=1,$C$21+$C$22+AC$19+AC$26+AC$32+$C$12*$C$15+$C$16+AC$79+AC$80-AC$31,AC$19+AC$26+AC$32+AC$79+AC$80-AC$31)</f>
        <v>14013.380668174128</v>
      </c>
      <c r="AD81" s="52">
        <f>IF(AD$10=1,$C$21+$C$22+AD$19+AD$26+AD$32+$C$12*$C$15+$C$16+AD$79+AD$80-AD$31,AD$19+AD$26+AD$32+AD$79+AD$80-AD$31)</f>
        <v>14054.308507791964</v>
      </c>
      <c r="AE81" s="52">
        <f>IF(AE$10=1,$C$21+$C$22+AE$19+AE$26+AE$32+$C$12*$C$15+$C$16+AE$79+AE$80-AE$31,AE$19+AE$26+AE$32+AE$79+AE$80-AE$31)</f>
        <v>14095.485382079496</v>
      </c>
      <c r="AF81" s="52">
        <f>IF(AF$10=1,$C$21+$C$22+AF$19+AF$26+AF$32+$C$12*$C$15+$C$16+AF$79+AF$80-AF$31,AF$19+AF$26+AF$32+AF$79+AF$80-AF$31)</f>
        <v>14136.91152351991</v>
      </c>
      <c r="AG81" s="52">
        <f>IF(AG$10=1,$C$21+$C$22+AG$19+AG$26+AG$32+$C$12*$C$15+$C$16+AG$79+AG$80-AG$31,AG$19+AG$26+AG$32+AG$79+AG$80-AG$31)</f>
        <v>14135.807967612023</v>
      </c>
      <c r="AH81" s="52">
        <f>IF(AH$10=1,$C$21+$C$22+AH$19+AH$26+AH$32+$C$12*$C$15+$C$16+AH$79+AH$80-AH$31,AH$19+AH$26+AH$32+AH$79+AH$80-AH$31)</f>
        <v>14219.166047288141</v>
      </c>
      <c r="AI81" s="52">
        <f>IF(AI$10=1,$C$21+$C$22+AI$19+AI$26+AI$32+$C$12*$C$15+$C$16+AI$79+AI$80-AI$31,AI$19+AI$26+AI$32+AI$79+AI$80-AI$31)</f>
        <v>14303.357707761021</v>
      </c>
      <c r="AJ81" s="52">
        <f>IF(AJ$10=1,$C$21+$C$22+AJ$19+AJ$26+AJ$32+$C$12*$C$15+$C$16+AJ$79+AJ$80-AJ$31,AJ$19+AJ$26+AJ$32+AJ$79+AJ$80-AJ$31)</f>
        <v>14388.391284838632</v>
      </c>
      <c r="AK81" s="53">
        <f>IF(AK$10=1,$C$21+$C$22+AK$19+AK$26+AK$32+$C$12*$C$15+$C$16+AK$79+AK$80-AK$31,AK$19+AK$26+AK$32+AK$79+AK$80-AK$31)</f>
        <v>14474.275197687017</v>
      </c>
    </row>
    <row r="82" spans="1:37" s="17" customFormat="1" ht="38.25" customHeight="1" x14ac:dyDescent="0.25">
      <c r="A82" s="5"/>
      <c r="B82" s="28"/>
      <c r="E82" s="36"/>
      <c r="F82" s="216"/>
      <c r="G82" s="189" t="s">
        <v>157</v>
      </c>
      <c r="H82" s="52">
        <f>IF(H$10=1,0,IF(G$82+G$81-G$12&gt;0,G$82+G$81-G$12,0))</f>
        <v>0</v>
      </c>
      <c r="I82" s="52">
        <f>IF(I$10=1,0,IF(H$82+H$81-H$12&gt;0,H$82+H$81-H$12,0))</f>
        <v>27739.305906070091</v>
      </c>
      <c r="J82" s="52">
        <f>IF(J$10=1,0,IF(I$82+I$81-I$12&gt;0,I$82+I$81-I$12,0))</f>
        <v>23719.408636639026</v>
      </c>
      <c r="K82" s="52">
        <f>IF(K$10=1,0,IF(J$82+J$81-J$12&gt;0,J$82+J$81-J$12,0))</f>
        <v>19538.596713602175</v>
      </c>
      <c r="L82" s="52">
        <f>IF(L$10=1,0,IF(K$82+K$81-K$12&gt;0,K$82+K$81-K$12,0))</f>
        <v>15195.139861052874</v>
      </c>
      <c r="M82" s="52">
        <f>IF(M$10=1,0,IF(L$82+L$81-L$12&gt;0,L$82+L$81-L$12,0))</f>
        <v>10687.288793590298</v>
      </c>
      <c r="N82" s="52">
        <f>IF(N$10=1,0,IF(M$82+M$81-M$12&gt;0,M$82+M$81-M$12,0))</f>
        <v>6013.2750021763568</v>
      </c>
      <c r="O82" s="52">
        <f>IF(O$10=1,0,IF(N$82+N$81-N$12&gt;0,N$82+N$81-N$12,0))</f>
        <v>1171.3105375122286</v>
      </c>
      <c r="P82" s="52">
        <f>IF(P$10=1,0,IF(O$82+O$81-O$12&gt;0,O$82+O$81-O$12,0))</f>
        <v>0</v>
      </c>
      <c r="Q82" s="52">
        <f>IF(Q$10=1,0,IF(P$82+P$81-P$12&gt;0,P$82+P$81-P$12,0))</f>
        <v>0</v>
      </c>
      <c r="R82" s="52">
        <f>IF(R$10=1,0,IF(Q$82+Q$81-Q$12&gt;0,Q$82+Q$81-Q$12,0))</f>
        <v>0</v>
      </c>
      <c r="S82" s="52">
        <f>IF(S$10=1,0,IF(R$82+R$81-R$12&gt;0,R$82+R$81-R$12,0))</f>
        <v>0</v>
      </c>
      <c r="T82" s="52">
        <f>IF(T$10=1,0,IF(S$82+S$81-S$12&gt;0,S$82+S$81-S$12,0))</f>
        <v>0</v>
      </c>
      <c r="U82" s="52">
        <f>IF(U$10=1,0,IF(T$82+T$81-T$12&gt;0,T$82+T$81-T$12,0))</f>
        <v>0</v>
      </c>
      <c r="V82" s="52">
        <f>IF(V$10=1,0,IF(U$82+U$81-U$12&gt;0,U$82+U$81-U$12,0))</f>
        <v>0</v>
      </c>
      <c r="W82" s="52">
        <f>IF(W$10=1,0,IF(V$82+V$81-V$12&gt;0,V$82+V$81-V$12,0))</f>
        <v>0</v>
      </c>
      <c r="X82" s="52">
        <f>IF(X$10=1,0,IF(W$82+W$81-W$12&gt;0,W$82+W$81-W$12,0))</f>
        <v>0</v>
      </c>
      <c r="Y82" s="52">
        <f>IF(Y$10=1,0,IF(X$82+X$81-X$12&gt;0,X$82+X$81-X$12,0))</f>
        <v>0</v>
      </c>
      <c r="Z82" s="52">
        <f>IF(Z$10=1,0,IF(Y$82+Y$81-Y$12&gt;0,Y$82+Y$81-Y$12,0))</f>
        <v>0</v>
      </c>
      <c r="AA82" s="52">
        <f>IF(AA$10=1,0,IF(Z$82+Z$81-Z$12&gt;0,Z$82+Z$81-Z$12,0))</f>
        <v>0</v>
      </c>
      <c r="AB82" s="52">
        <f>IF(AB$10=1,0,IF(AA$82+AA$81-AA$12&gt;0,AA$82+AA$81-AA$12,0))</f>
        <v>0</v>
      </c>
      <c r="AC82" s="52">
        <f>IF(AC$10=1,0,IF(AB$82+AB$81-AB$12&gt;0,AB$82+AB$81-AB$12,0))</f>
        <v>0</v>
      </c>
      <c r="AD82" s="52">
        <f>IF(AD$10=1,0,IF(AC$82+AC$81-AC$12&gt;0,AC$82+AC$81-AC$12,0))</f>
        <v>0</v>
      </c>
      <c r="AE82" s="52">
        <f>IF(AE$10=1,0,IF(AD$82+AD$81-AD$12&gt;0,AD$82+AD$81-AD$12,0))</f>
        <v>0</v>
      </c>
      <c r="AF82" s="52">
        <f>IF(AF$10=1,0,IF(AE$82+AE$81-AE$12&gt;0,AE$82+AE$81-AE$12,0))</f>
        <v>0</v>
      </c>
      <c r="AG82" s="52">
        <f>IF(AG$10=1,0,IF(AF$82+AF$81-AF$12&gt;0,AF$82+AF$81-AF$12,0))</f>
        <v>0</v>
      </c>
      <c r="AH82" s="52">
        <f>IF(AH$10=1,0,IF(AG$82+AG$81-AG$12&gt;0,AG$82+AG$81-AG$12,0))</f>
        <v>0</v>
      </c>
      <c r="AI82" s="52">
        <f>IF(AI$10=1,0,IF(AH$82+AH$81-AH$12&gt;0,AH$82+AH$81-AH$12,0))</f>
        <v>0</v>
      </c>
      <c r="AJ82" s="52">
        <f>IF(AJ$10=1,0,IF(AI$82+AI$81-AI$12&gt;0,AI$82+AI$81-AI$12,0))</f>
        <v>0</v>
      </c>
      <c r="AK82" s="53">
        <f>IF(AK$10=1,0,IF(AJ$82+AJ$81-AJ$12&gt;0,AJ$82+AJ$81-AJ$12,0))</f>
        <v>0</v>
      </c>
    </row>
    <row r="83" spans="1:37" s="17" customFormat="1" ht="38.25" customHeight="1" x14ac:dyDescent="0.25">
      <c r="A83" s="5"/>
      <c r="B83" s="28"/>
      <c r="E83" s="36"/>
      <c r="F83" s="216"/>
      <c r="G83" s="189" t="s">
        <v>90</v>
      </c>
      <c r="H83" s="14">
        <f>IF(H12-H81-H82&lt;=0,0,H12-H81-H82)</f>
        <v>0</v>
      </c>
      <c r="I83" s="14">
        <f>IF(I12-I81-I82&lt;=0,0,I12-I81-I82)</f>
        <v>0</v>
      </c>
      <c r="J83" s="14">
        <f>IF(J12-J81-J82&lt;=0,0,J12-J81-J82)</f>
        <v>0</v>
      </c>
      <c r="K83" s="14">
        <f>IF(K12-K81-K82&lt;=0,0,K12-K81-K82)</f>
        <v>0</v>
      </c>
      <c r="L83" s="14">
        <f>IF(L12-L81-L82&lt;=0,0,L12-L81-L82)</f>
        <v>0</v>
      </c>
      <c r="M83" s="14">
        <f>IF(M12-M81-M82&lt;=0,0,M12-M81-M82)</f>
        <v>0</v>
      </c>
      <c r="N83" s="14">
        <f>IF(N12-N81-N82&lt;=0,0,N12-N81-N82)</f>
        <v>0</v>
      </c>
      <c r="O83" s="14">
        <f>IF(O12-O81-O82&lt;=0,0,O12-O81-O82)</f>
        <v>5268.9836376663334</v>
      </c>
      <c r="P83" s="14">
        <f>IF(P12-P81-P82&lt;=0,0,P12-P81-P82)</f>
        <v>6611.8799468814523</v>
      </c>
      <c r="Q83" s="14">
        <f>IF(Q12-Q81-Q82&lt;=0,0,Q12-Q81-Q82)</f>
        <v>6785.3133136544693</v>
      </c>
      <c r="R83" s="14">
        <f>IF(R12-R81-R82&lt;=0,0,R12-R81-R82)</f>
        <v>7960.6146076518035</v>
      </c>
      <c r="S83" s="14">
        <f>IF(S12-S81-S82&lt;=0,0,S12-S81-S82)</f>
        <v>8137.8043905034465</v>
      </c>
      <c r="T83" s="14">
        <f>IF(T12-T81-T82&lt;=0,0,T12-T81-T82)</f>
        <v>8316.9034559784413</v>
      </c>
      <c r="U83" s="14">
        <f>IF(U12-U81-U82&lt;=0,0,U12-U81-U82)</f>
        <v>8497.9328326800096</v>
      </c>
      <c r="V83" s="14">
        <f>IF(V12-V81-V82&lt;=0,0,V12-V81-V82)</f>
        <v>8680.9137867728532</v>
      </c>
      <c r="W83" s="14">
        <f>IF(W12-W81-W82&lt;=0,0,W12-W81-W82)</f>
        <v>8865.8678247430853</v>
      </c>
      <c r="X83" s="14">
        <f>IF(X12-X81-X82&lt;=0,0,X12-X81-X82)</f>
        <v>9052.8166961911957</v>
      </c>
      <c r="Y83" s="14">
        <f>IF(Y12-Y81-Y82&lt;=0,0,Y12-Y81-Y82)</f>
        <v>9241.7823966583801</v>
      </c>
      <c r="Z83" s="14">
        <f>IF(Z12-Z81-Z82&lt;=0,0,Z12-Z81-Z82)</f>
        <v>9432.7871704867903</v>
      </c>
      <c r="AA83" s="14">
        <f>IF(AA12-AA81-AA82&lt;=0,0,AA12-AA81-AA82)</f>
        <v>9625.8535137139188</v>
      </c>
      <c r="AB83" s="14">
        <f>IF(AB12-AB81-AB82&lt;=0,0,AB12-AB81-AB82)</f>
        <v>9821.0041770017779</v>
      </c>
      <c r="AC83" s="14">
        <f>IF(AC12-AC81-AC82&lt;=0,0,AC12-AC81-AC82)</f>
        <v>10018.262168601081</v>
      </c>
      <c r="AD83" s="14">
        <f>IF(AD12-AD81-AD82&lt;=0,0,AD12-AD81-AD82)</f>
        <v>10217.650757351003</v>
      </c>
      <c r="AE83" s="14">
        <f>IF(AE12-AE81-AE82&lt;=0,0,AE12-AE81-AE82)</f>
        <v>10419.193475714896</v>
      </c>
      <c r="AF83" s="14">
        <f>IF(AF12-AF81-AF82&lt;=0,0,AF12-AF81-AF82)</f>
        <v>10622.914122852431</v>
      </c>
      <c r="AG83" s="14">
        <f>IF(AG12-AG81-AG82&lt;=0,0,AG12-AG81-AG82)</f>
        <v>10871.615935224045</v>
      </c>
      <c r="AH83" s="14">
        <f>IF(AH12-AH81-AH82&lt;=0,0,AH12-AH81-AH82)</f>
        <v>11038.332094576286</v>
      </c>
      <c r="AI83" s="14">
        <f>IF(AI12-AI81-AI82&lt;=0,0,AI12-AI81-AI82)</f>
        <v>11206.715415522041</v>
      </c>
      <c r="AJ83" s="14">
        <f>IF(AJ12-AJ81-AJ82&lt;=0,0,AJ12-AJ81-AJ82)</f>
        <v>11376.782569677263</v>
      </c>
      <c r="AK83" s="19">
        <f>IF(AK12-AK81-AK82&lt;=0,0,AK12-AK81-AK82)</f>
        <v>11548.550395374041</v>
      </c>
    </row>
    <row r="84" spans="1:37" s="17" customFormat="1" ht="38.25" customHeight="1" x14ac:dyDescent="0.25">
      <c r="A84" s="5"/>
      <c r="B84" s="28"/>
      <c r="E84" s="36"/>
      <c r="F84" s="216"/>
      <c r="G84" s="189" t="s">
        <v>94</v>
      </c>
      <c r="H84" s="52">
        <f>H83+H38</f>
        <v>35100</v>
      </c>
      <c r="I84" s="52">
        <f>I83+I38</f>
        <v>36328.5</v>
      </c>
      <c r="J84" s="52">
        <f>J83+J38</f>
        <v>37600.875</v>
      </c>
      <c r="K84" s="52">
        <f>K83+K38</f>
        <v>38918.722050000004</v>
      </c>
      <c r="L84" s="52">
        <f>L83+L38</f>
        <v>40283.697343500004</v>
      </c>
      <c r="M84" s="52">
        <f>M83+M38</f>
        <v>41697.518441084998</v>
      </c>
      <c r="N84" s="52">
        <f>N83+N38</f>
        <v>43161.966578688764</v>
      </c>
      <c r="O84" s="52">
        <f>O83+O38</f>
        <v>49947.872701461805</v>
      </c>
      <c r="P84" s="52">
        <f>P83+P38</f>
        <v>52862.08170984668</v>
      </c>
      <c r="Q84" s="52">
        <f>Q83+Q38</f>
        <v>54663.20499785478</v>
      </c>
      <c r="R84" s="52">
        <f>R83+R38</f>
        <v>57524.634265458095</v>
      </c>
      <c r="S84" s="52">
        <f>S83+S38</f>
        <v>59448.52751004709</v>
      </c>
      <c r="T84" s="52">
        <f>T83+T38</f>
        <v>61437.122455991695</v>
      </c>
      <c r="U84" s="52">
        <f>U83+U38</f>
        <v>63492.739557052293</v>
      </c>
      <c r="V84" s="52">
        <f>V83+V38</f>
        <v>65617.785113409278</v>
      </c>
      <c r="W84" s="52">
        <f>W83+W38</f>
        <v>67814.754507732898</v>
      </c>
      <c r="X84" s="52">
        <f>X83+X38</f>
        <v>70086.23556488716</v>
      </c>
      <c r="Y84" s="52">
        <f>Y83+Y38</f>
        <v>72434.912040040348</v>
      </c>
      <c r="Z84" s="52">
        <f>Z83+Z38</f>
        <v>74863.567240140357</v>
      </c>
      <c r="AA84" s="52">
        <f>AA83+AA38</f>
        <v>77375.087783905998</v>
      </c>
      <c r="AB84" s="52">
        <f>AB83+AB38</f>
        <v>79972.467505686538</v>
      </c>
      <c r="AC84" s="52">
        <f>AC83+AC38</f>
        <v>82658.811508748753</v>
      </c>
      <c r="AD84" s="52">
        <f>AD83+AD38</f>
        <v>85437.340373769548</v>
      </c>
      <c r="AE84" s="52">
        <f>AE83+AE38</f>
        <v>88311.394528535122</v>
      </c>
      <c r="AF84" s="52">
        <f>AF83+AF38</f>
        <v>91284.438785082748</v>
      </c>
      <c r="AG84" s="52">
        <f>AG83+AG38</f>
        <v>94402.846218259787</v>
      </c>
      <c r="AH84" s="52">
        <f>AH83+AH38</f>
        <v>97543.353562279124</v>
      </c>
      <c r="AI84" s="52">
        <f>AI83+AI38</f>
        <v>100793.45597447906</v>
      </c>
      <c r="AJ84" s="52">
        <f>AJ83+AJ38</f>
        <v>104157.15653051501</v>
      </c>
      <c r="AK84" s="53">
        <f>AK83+AK38</f>
        <v>107638.60800755341</v>
      </c>
    </row>
    <row r="85" spans="1:37" s="17" customFormat="1" ht="38.25" customHeight="1" x14ac:dyDescent="0.25">
      <c r="A85" s="5"/>
      <c r="B85" s="28"/>
      <c r="E85" s="36"/>
      <c r="F85" s="216"/>
      <c r="G85" s="189" t="s">
        <v>95</v>
      </c>
      <c r="H85" s="14">
        <f t="shared" ref="H85:AK85" si="77">IF($C$32=0,H84,H84/2)</f>
        <v>17550</v>
      </c>
      <c r="I85" s="14">
        <f t="shared" si="77"/>
        <v>18164.25</v>
      </c>
      <c r="J85" s="14">
        <f t="shared" si="77"/>
        <v>18800.4375</v>
      </c>
      <c r="K85" s="14">
        <f t="shared" si="77"/>
        <v>19459.361025000002</v>
      </c>
      <c r="L85" s="14">
        <f t="shared" si="77"/>
        <v>20141.848671750002</v>
      </c>
      <c r="M85" s="14">
        <f t="shared" si="77"/>
        <v>20848.759220542499</v>
      </c>
      <c r="N85" s="14">
        <f t="shared" si="77"/>
        <v>21580.983289344382</v>
      </c>
      <c r="O85" s="14">
        <f t="shared" si="77"/>
        <v>24973.936350730903</v>
      </c>
      <c r="P85" s="14">
        <f t="shared" si="77"/>
        <v>26431.04085492334</v>
      </c>
      <c r="Q85" s="14">
        <f t="shared" si="77"/>
        <v>27331.60249892739</v>
      </c>
      <c r="R85" s="14">
        <f t="shared" si="77"/>
        <v>28762.317132729047</v>
      </c>
      <c r="S85" s="14">
        <f t="shared" si="77"/>
        <v>29724.263755023545</v>
      </c>
      <c r="T85" s="14">
        <f t="shared" si="77"/>
        <v>30718.561227995848</v>
      </c>
      <c r="U85" s="14">
        <f t="shared" si="77"/>
        <v>31746.369778526147</v>
      </c>
      <c r="V85" s="14">
        <f t="shared" si="77"/>
        <v>32808.892556704639</v>
      </c>
      <c r="W85" s="14">
        <f t="shared" si="77"/>
        <v>33907.377253866449</v>
      </c>
      <c r="X85" s="14">
        <f t="shared" si="77"/>
        <v>35043.11778244358</v>
      </c>
      <c r="Y85" s="14">
        <f t="shared" si="77"/>
        <v>36217.456020020174</v>
      </c>
      <c r="Z85" s="14">
        <f t="shared" si="77"/>
        <v>37431.783620070179</v>
      </c>
      <c r="AA85" s="14">
        <f t="shared" si="77"/>
        <v>38687.543891952999</v>
      </c>
      <c r="AB85" s="14">
        <f t="shared" si="77"/>
        <v>39986.233752843269</v>
      </c>
      <c r="AC85" s="14">
        <f t="shared" si="77"/>
        <v>41329.405754374377</v>
      </c>
      <c r="AD85" s="14">
        <f t="shared" si="77"/>
        <v>42718.670186884774</v>
      </c>
      <c r="AE85" s="14">
        <f t="shared" si="77"/>
        <v>44155.697264267561</v>
      </c>
      <c r="AF85" s="14">
        <f t="shared" si="77"/>
        <v>45642.219392541374</v>
      </c>
      <c r="AG85" s="14">
        <f t="shared" si="77"/>
        <v>47201.423109129893</v>
      </c>
      <c r="AH85" s="14">
        <f t="shared" si="77"/>
        <v>48771.676781139562</v>
      </c>
      <c r="AI85" s="14">
        <f t="shared" si="77"/>
        <v>50396.72798723953</v>
      </c>
      <c r="AJ85" s="14">
        <f t="shared" si="77"/>
        <v>52078.578265257507</v>
      </c>
      <c r="AK85" s="19">
        <f t="shared" si="77"/>
        <v>53819.304003776706</v>
      </c>
    </row>
    <row r="86" spans="1:37" s="36" customFormat="1" ht="38.25" customHeight="1" x14ac:dyDescent="0.25">
      <c r="A86" s="38"/>
      <c r="B86" s="22"/>
      <c r="F86" s="216"/>
      <c r="G86" s="189" t="s">
        <v>96</v>
      </c>
      <c r="H86" s="52">
        <f>IF(H85&lt;10084,0,
IF(AND(H85&gt;10084,H85&lt;=25710),(H85-10084)*0.11,
IF(AND(H85&gt;25710,H85&lt;=73516),(H85-25710)*0.3+1721.06,
IF(AND(H85&gt;73516,H85&lt;=158122),(H85-73516)*0.41+16062.86,
IF(H85&gt;158122,(H85-158122)*0.45+50751.32,
0)))))</f>
        <v>821.26</v>
      </c>
      <c r="I86" s="52">
        <f t="shared" ref="I86:AK86" si="78">IF(I85&lt;10084,0,
IF(AND(I85&gt;10084,I85&lt;=25710),(I85-10084)*0.11,
IF(AND(I85&gt;25710,I85&lt;=73516),(I85-25710)*0.3+1721.06,
IF(AND(I85&gt;73516,I85&lt;=158122),(I85-73516)*0.41+16062.86,
IF(I85&gt;158122,(I85-158122)*0.45+50751.32,
0)))))</f>
        <v>888.82749999999999</v>
      </c>
      <c r="J86" s="52">
        <f t="shared" si="78"/>
        <v>958.80812500000002</v>
      </c>
      <c r="K86" s="52">
        <f t="shared" si="78"/>
        <v>1031.2897127500003</v>
      </c>
      <c r="L86" s="52">
        <f t="shared" si="78"/>
        <v>1106.3633538925003</v>
      </c>
      <c r="M86" s="52">
        <f t="shared" si="78"/>
        <v>1184.1235142596749</v>
      </c>
      <c r="N86" s="52">
        <f t="shared" si="78"/>
        <v>1264.6681618278819</v>
      </c>
      <c r="O86" s="52">
        <f t="shared" si="78"/>
        <v>1637.8929985803993</v>
      </c>
      <c r="P86" s="52">
        <f t="shared" si="78"/>
        <v>1937.3722564770019</v>
      </c>
      <c r="Q86" s="52">
        <f t="shared" si="78"/>
        <v>2207.5407496782168</v>
      </c>
      <c r="R86" s="52">
        <f t="shared" si="78"/>
        <v>2636.7551398187143</v>
      </c>
      <c r="S86" s="52">
        <f t="shared" si="78"/>
        <v>2925.3391265070632</v>
      </c>
      <c r="T86" s="52">
        <f t="shared" si="78"/>
        <v>3223.628368398754</v>
      </c>
      <c r="U86" s="52">
        <f t="shared" si="78"/>
        <v>3531.9709335578436</v>
      </c>
      <c r="V86" s="52">
        <f t="shared" si="78"/>
        <v>3850.7277670113917</v>
      </c>
      <c r="W86" s="52">
        <f t="shared" si="78"/>
        <v>4180.2731761599343</v>
      </c>
      <c r="X86" s="52">
        <f t="shared" si="78"/>
        <v>4520.9953347330738</v>
      </c>
      <c r="Y86" s="52">
        <f t="shared" si="78"/>
        <v>4873.2968060060521</v>
      </c>
      <c r="Z86" s="52">
        <f t="shared" si="78"/>
        <v>5237.5950860210532</v>
      </c>
      <c r="AA86" s="52">
        <f t="shared" si="78"/>
        <v>5614.3231675858988</v>
      </c>
      <c r="AB86" s="52">
        <f t="shared" si="78"/>
        <v>6003.9301258529813</v>
      </c>
      <c r="AC86" s="52">
        <f t="shared" si="78"/>
        <v>6406.8817263123128</v>
      </c>
      <c r="AD86" s="52">
        <f t="shared" si="78"/>
        <v>6823.6610560654317</v>
      </c>
      <c r="AE86" s="52">
        <f t="shared" si="78"/>
        <v>7254.7691792802689</v>
      </c>
      <c r="AF86" s="52">
        <f t="shared" si="78"/>
        <v>7700.7258177624117</v>
      </c>
      <c r="AG86" s="52">
        <f t="shared" si="78"/>
        <v>8168.4869327389679</v>
      </c>
      <c r="AH86" s="52">
        <f t="shared" si="78"/>
        <v>8639.5630343418688</v>
      </c>
      <c r="AI86" s="52">
        <f t="shared" si="78"/>
        <v>9127.0783961718589</v>
      </c>
      <c r="AJ86" s="52">
        <f t="shared" si="78"/>
        <v>9631.6334795772509</v>
      </c>
      <c r="AK86" s="53">
        <f t="shared" si="78"/>
        <v>10153.851201133011</v>
      </c>
    </row>
    <row r="87" spans="1:37" s="36" customFormat="1" ht="38.25" customHeight="1" x14ac:dyDescent="0.25">
      <c r="A87" s="38"/>
      <c r="B87" s="22"/>
      <c r="F87" s="216"/>
      <c r="G87" s="189" t="s">
        <v>97</v>
      </c>
      <c r="H87" s="14">
        <f t="shared" ref="H87:AK87" si="79">IF($C$32=0,H86,H86*2)</f>
        <v>1642.52</v>
      </c>
      <c r="I87" s="14">
        <f t="shared" si="79"/>
        <v>1777.655</v>
      </c>
      <c r="J87" s="14">
        <f t="shared" si="79"/>
        <v>1917.61625</v>
      </c>
      <c r="K87" s="14">
        <f t="shared" si="79"/>
        <v>2062.5794255000005</v>
      </c>
      <c r="L87" s="14">
        <f t="shared" si="79"/>
        <v>2212.7267077850006</v>
      </c>
      <c r="M87" s="14">
        <f t="shared" si="79"/>
        <v>2368.2470285193499</v>
      </c>
      <c r="N87" s="14">
        <f t="shared" si="79"/>
        <v>2529.3363236557639</v>
      </c>
      <c r="O87" s="14">
        <f t="shared" si="79"/>
        <v>3275.7859971607986</v>
      </c>
      <c r="P87" s="14">
        <f t="shared" si="79"/>
        <v>3874.7445129540038</v>
      </c>
      <c r="Q87" s="14">
        <f t="shared" si="79"/>
        <v>4415.0814993564336</v>
      </c>
      <c r="R87" s="14">
        <f t="shared" si="79"/>
        <v>5273.5102796374285</v>
      </c>
      <c r="S87" s="14">
        <f t="shared" si="79"/>
        <v>5850.6782530141263</v>
      </c>
      <c r="T87" s="14">
        <f t="shared" si="79"/>
        <v>6447.256736797508</v>
      </c>
      <c r="U87" s="14">
        <f t="shared" si="79"/>
        <v>7063.9418671156873</v>
      </c>
      <c r="V87" s="14">
        <f t="shared" si="79"/>
        <v>7701.4555340227835</v>
      </c>
      <c r="W87" s="14">
        <f t="shared" si="79"/>
        <v>8360.5463523198687</v>
      </c>
      <c r="X87" s="14">
        <f t="shared" si="79"/>
        <v>9041.9906694661477</v>
      </c>
      <c r="Y87" s="14">
        <f t="shared" si="79"/>
        <v>9746.5936120121041</v>
      </c>
      <c r="Z87" s="14">
        <f t="shared" si="79"/>
        <v>10475.190172042106</v>
      </c>
      <c r="AA87" s="14">
        <f t="shared" si="79"/>
        <v>11228.646335171798</v>
      </c>
      <c r="AB87" s="14">
        <f t="shared" si="79"/>
        <v>12007.860251705963</v>
      </c>
      <c r="AC87" s="14">
        <f t="shared" si="79"/>
        <v>12813.763452624626</v>
      </c>
      <c r="AD87" s="14">
        <f t="shared" si="79"/>
        <v>13647.322112130863</v>
      </c>
      <c r="AE87" s="14">
        <f t="shared" si="79"/>
        <v>14509.538358560538</v>
      </c>
      <c r="AF87" s="14">
        <f t="shared" si="79"/>
        <v>15401.451635524823</v>
      </c>
      <c r="AG87" s="14">
        <f t="shared" si="79"/>
        <v>16336.973865477936</v>
      </c>
      <c r="AH87" s="14">
        <f t="shared" si="79"/>
        <v>17279.126068683738</v>
      </c>
      <c r="AI87" s="14">
        <f t="shared" si="79"/>
        <v>18254.156792343718</v>
      </c>
      <c r="AJ87" s="14">
        <f t="shared" si="79"/>
        <v>19263.266959154502</v>
      </c>
      <c r="AK87" s="19">
        <f t="shared" si="79"/>
        <v>20307.702402266023</v>
      </c>
    </row>
    <row r="88" spans="1:37" s="36" customFormat="1" ht="38.25" customHeight="1" x14ac:dyDescent="0.25">
      <c r="A88" s="38"/>
      <c r="B88" s="22"/>
      <c r="F88" s="216"/>
      <c r="G88" s="189" t="s">
        <v>98</v>
      </c>
      <c r="H88" s="52">
        <f t="shared" ref="H88:AK88" si="80">H84/$C$34</f>
        <v>11700</v>
      </c>
      <c r="I88" s="52">
        <f t="shared" si="80"/>
        <v>12109.5</v>
      </c>
      <c r="J88" s="52">
        <f t="shared" si="80"/>
        <v>12533.625</v>
      </c>
      <c r="K88" s="52">
        <f t="shared" si="80"/>
        <v>12972.907350000001</v>
      </c>
      <c r="L88" s="52">
        <f t="shared" si="80"/>
        <v>13427.899114500002</v>
      </c>
      <c r="M88" s="52">
        <f t="shared" si="80"/>
        <v>13899.172813694999</v>
      </c>
      <c r="N88" s="52">
        <f t="shared" si="80"/>
        <v>14387.322192896254</v>
      </c>
      <c r="O88" s="52">
        <f t="shared" si="80"/>
        <v>16649.290900487267</v>
      </c>
      <c r="P88" s="52">
        <f t="shared" si="80"/>
        <v>17620.693903282227</v>
      </c>
      <c r="Q88" s="52">
        <f t="shared" si="80"/>
        <v>18221.068332618259</v>
      </c>
      <c r="R88" s="52">
        <f t="shared" si="80"/>
        <v>19174.878088486032</v>
      </c>
      <c r="S88" s="52">
        <f t="shared" si="80"/>
        <v>19816.175836682363</v>
      </c>
      <c r="T88" s="52">
        <f t="shared" si="80"/>
        <v>20479.0408186639</v>
      </c>
      <c r="U88" s="52">
        <f t="shared" si="80"/>
        <v>21164.24651901743</v>
      </c>
      <c r="V88" s="52">
        <f t="shared" si="80"/>
        <v>21872.595037803094</v>
      </c>
      <c r="W88" s="52">
        <f t="shared" si="80"/>
        <v>22604.918169244298</v>
      </c>
      <c r="X88" s="52">
        <f t="shared" si="80"/>
        <v>23362.078521629053</v>
      </c>
      <c r="Y88" s="52">
        <f t="shared" si="80"/>
        <v>24144.970680013448</v>
      </c>
      <c r="Z88" s="52">
        <f t="shared" si="80"/>
        <v>24954.52241338012</v>
      </c>
      <c r="AA88" s="52">
        <f t="shared" si="80"/>
        <v>25791.695927968667</v>
      </c>
      <c r="AB88" s="52">
        <f t="shared" si="80"/>
        <v>26657.489168562181</v>
      </c>
      <c r="AC88" s="52">
        <f t="shared" si="80"/>
        <v>27552.937169582918</v>
      </c>
      <c r="AD88" s="52">
        <f t="shared" si="80"/>
        <v>28479.113457923184</v>
      </c>
      <c r="AE88" s="52">
        <f t="shared" si="80"/>
        <v>29437.131509511706</v>
      </c>
      <c r="AF88" s="52">
        <f t="shared" si="80"/>
        <v>30428.146261694248</v>
      </c>
      <c r="AG88" s="52">
        <f t="shared" si="80"/>
        <v>31467.615406086596</v>
      </c>
      <c r="AH88" s="52">
        <f t="shared" si="80"/>
        <v>32514.451187426374</v>
      </c>
      <c r="AI88" s="52">
        <f t="shared" si="80"/>
        <v>33597.818658159689</v>
      </c>
      <c r="AJ88" s="52">
        <f t="shared" si="80"/>
        <v>34719.052176838341</v>
      </c>
      <c r="AK88" s="53">
        <f t="shared" si="80"/>
        <v>35879.536002517802</v>
      </c>
    </row>
    <row r="89" spans="1:37" s="17" customFormat="1" ht="38.25" customHeight="1" x14ac:dyDescent="0.25">
      <c r="A89" s="5"/>
      <c r="B89" s="28"/>
      <c r="D89" s="5"/>
      <c r="E89" s="38"/>
      <c r="F89" s="216"/>
      <c r="G89" s="189" t="s">
        <v>99</v>
      </c>
      <c r="H89" s="14">
        <f>IF(H88&lt;10084,0,
IF(AND(H88&gt;10084,H88&lt;=25710),(H88-10084)*0.11,
IF(AND(H88&gt;25710,H88&lt;=73516),(H88-25710)*0.3+1721.06,
IF(AND(H88&gt;73516,H88&lt;=158122),(H88-73516)*0.41+16062.86,
IF(H88&gt;158122,(H88-158122)*0.45+50751.32,
0)))))</f>
        <v>177.76</v>
      </c>
      <c r="I89" s="14">
        <f t="shared" ref="I89:AK89" si="81">IF(I88&lt;10084,0,
IF(AND(I88&gt;10084,I88&lt;=25710),(I88-10084)*0.11,
IF(AND(I88&gt;25710,I88&lt;=73516),(I88-25710)*0.3+1721.06,
IF(AND(I88&gt;73516,I88&lt;=158122),(I88-73516)*0.41+16062.86,
IF(I88&gt;158122,(I88-158122)*0.45+50751.32,
0)))))</f>
        <v>222.80500000000001</v>
      </c>
      <c r="J89" s="14">
        <f t="shared" si="81"/>
        <v>269.45875000000001</v>
      </c>
      <c r="K89" s="14">
        <f t="shared" si="81"/>
        <v>317.77980850000017</v>
      </c>
      <c r="L89" s="14">
        <f t="shared" si="81"/>
        <v>367.82890259500022</v>
      </c>
      <c r="M89" s="14">
        <f t="shared" si="81"/>
        <v>419.66900950644987</v>
      </c>
      <c r="N89" s="14">
        <f t="shared" si="81"/>
        <v>473.36544121858793</v>
      </c>
      <c r="O89" s="14">
        <f t="shared" si="81"/>
        <v>722.18199905359938</v>
      </c>
      <c r="P89" s="14">
        <f t="shared" si="81"/>
        <v>829.03632936104498</v>
      </c>
      <c r="Q89" s="14">
        <f t="shared" si="81"/>
        <v>895.07751658800851</v>
      </c>
      <c r="R89" s="14">
        <f t="shared" si="81"/>
        <v>999.99658973346345</v>
      </c>
      <c r="S89" s="14">
        <f t="shared" si="81"/>
        <v>1070.5393420350599</v>
      </c>
      <c r="T89" s="14">
        <f t="shared" si="81"/>
        <v>1143.4544900530291</v>
      </c>
      <c r="U89" s="14">
        <f t="shared" si="81"/>
        <v>1218.8271170919172</v>
      </c>
      <c r="V89" s="14">
        <f t="shared" si="81"/>
        <v>1296.7454541583404</v>
      </c>
      <c r="W89" s="14">
        <f t="shared" si="81"/>
        <v>1377.3009986168729</v>
      </c>
      <c r="X89" s="14">
        <f t="shared" si="81"/>
        <v>1460.5886373791959</v>
      </c>
      <c r="Y89" s="14">
        <f t="shared" si="81"/>
        <v>1546.7067748014792</v>
      </c>
      <c r="Z89" s="14">
        <f t="shared" si="81"/>
        <v>1635.7574654718132</v>
      </c>
      <c r="AA89" s="14">
        <f t="shared" si="81"/>
        <v>1745.5687783906001</v>
      </c>
      <c r="AB89" s="14">
        <f t="shared" si="81"/>
        <v>2005.306750568654</v>
      </c>
      <c r="AC89" s="14">
        <f t="shared" si="81"/>
        <v>2273.9411508748753</v>
      </c>
      <c r="AD89" s="14">
        <f t="shared" si="81"/>
        <v>2551.7940373769552</v>
      </c>
      <c r="AE89" s="14">
        <f t="shared" si="81"/>
        <v>2839.1994528535115</v>
      </c>
      <c r="AF89" s="14">
        <f t="shared" si="81"/>
        <v>3136.5038785082743</v>
      </c>
      <c r="AG89" s="14">
        <f t="shared" si="81"/>
        <v>3448.3446218259787</v>
      </c>
      <c r="AH89" s="14">
        <f t="shared" si="81"/>
        <v>3762.3953562279121</v>
      </c>
      <c r="AI89" s="14">
        <f t="shared" si="81"/>
        <v>4087.4055974479065</v>
      </c>
      <c r="AJ89" s="14">
        <f t="shared" si="81"/>
        <v>4423.7756530515016</v>
      </c>
      <c r="AK89" s="19">
        <f t="shared" si="81"/>
        <v>4771.9208007553407</v>
      </c>
    </row>
    <row r="90" spans="1:37" s="17" customFormat="1" ht="38.25" customHeight="1" x14ac:dyDescent="0.25">
      <c r="A90" s="5"/>
      <c r="B90" s="60"/>
      <c r="D90" s="5"/>
      <c r="E90" s="38"/>
      <c r="F90" s="216"/>
      <c r="G90" s="189" t="s">
        <v>100</v>
      </c>
      <c r="H90" s="52">
        <f t="shared" ref="H90:AK90" si="82">H89*$C$34</f>
        <v>533.28</v>
      </c>
      <c r="I90" s="52">
        <f t="shared" si="82"/>
        <v>668.41499999999996</v>
      </c>
      <c r="J90" s="52">
        <f t="shared" si="82"/>
        <v>808.37625000000003</v>
      </c>
      <c r="K90" s="52">
        <f t="shared" si="82"/>
        <v>953.33942550000052</v>
      </c>
      <c r="L90" s="52">
        <f t="shared" si="82"/>
        <v>1103.4867077850006</v>
      </c>
      <c r="M90" s="52">
        <f t="shared" si="82"/>
        <v>1259.0070285193497</v>
      </c>
      <c r="N90" s="52">
        <f t="shared" si="82"/>
        <v>1420.0963236557639</v>
      </c>
      <c r="O90" s="52">
        <f t="shared" si="82"/>
        <v>2166.5459971607979</v>
      </c>
      <c r="P90" s="52">
        <f t="shared" si="82"/>
        <v>2487.108988083135</v>
      </c>
      <c r="Q90" s="52">
        <f t="shared" si="82"/>
        <v>2685.2325497640254</v>
      </c>
      <c r="R90" s="52">
        <f t="shared" si="82"/>
        <v>2999.9897692003906</v>
      </c>
      <c r="S90" s="52">
        <f t="shared" si="82"/>
        <v>3211.6180261051795</v>
      </c>
      <c r="T90" s="52">
        <f t="shared" si="82"/>
        <v>3430.3634701590872</v>
      </c>
      <c r="U90" s="52">
        <f t="shared" si="82"/>
        <v>3656.4813512757519</v>
      </c>
      <c r="V90" s="52">
        <f t="shared" si="82"/>
        <v>3890.2363624750215</v>
      </c>
      <c r="W90" s="52">
        <f t="shared" si="82"/>
        <v>4131.9029958506189</v>
      </c>
      <c r="X90" s="52">
        <f t="shared" si="82"/>
        <v>4381.7659121375873</v>
      </c>
      <c r="Y90" s="52">
        <f t="shared" si="82"/>
        <v>4640.1203244044373</v>
      </c>
      <c r="Z90" s="52">
        <f t="shared" si="82"/>
        <v>4907.2723964154393</v>
      </c>
      <c r="AA90" s="52">
        <f t="shared" si="82"/>
        <v>5236.7063351718007</v>
      </c>
      <c r="AB90" s="52">
        <f t="shared" si="82"/>
        <v>6015.9202517059621</v>
      </c>
      <c r="AC90" s="52">
        <f t="shared" si="82"/>
        <v>6821.823452624626</v>
      </c>
      <c r="AD90" s="52">
        <f t="shared" si="82"/>
        <v>7655.3821121308656</v>
      </c>
      <c r="AE90" s="52">
        <f t="shared" si="82"/>
        <v>8517.5983585605354</v>
      </c>
      <c r="AF90" s="52">
        <f t="shared" si="82"/>
        <v>9409.5116355248229</v>
      </c>
      <c r="AG90" s="52">
        <f t="shared" si="82"/>
        <v>10345.033865477937</v>
      </c>
      <c r="AH90" s="52">
        <f t="shared" si="82"/>
        <v>11287.186068683735</v>
      </c>
      <c r="AI90" s="52">
        <f t="shared" si="82"/>
        <v>12262.216792343719</v>
      </c>
      <c r="AJ90" s="52">
        <f t="shared" si="82"/>
        <v>13271.326959154505</v>
      </c>
      <c r="AK90" s="53">
        <f t="shared" si="82"/>
        <v>14315.762402266022</v>
      </c>
    </row>
    <row r="91" spans="1:37" s="17" customFormat="1" ht="38.25" customHeight="1" x14ac:dyDescent="0.25">
      <c r="A91" s="5"/>
      <c r="B91" s="28"/>
      <c r="E91" s="36"/>
      <c r="F91" s="216"/>
      <c r="G91" s="189" t="s">
        <v>101</v>
      </c>
      <c r="H91" s="14">
        <f>IF(H87-H42&gt;H90,H87-H42,H90)</f>
        <v>533.28</v>
      </c>
      <c r="I91" s="14">
        <f>IF(I87-I42&gt;I90,I87-I42,I90)</f>
        <v>668.41499999999996</v>
      </c>
      <c r="J91" s="14">
        <f>IF(J87-J42&gt;J90,J87-J42,J90)</f>
        <v>808.37625000000003</v>
      </c>
      <c r="K91" s="14">
        <f>IF(K87-K42&gt;K90,K87-K42,K90)</f>
        <v>953.33942550000052</v>
      </c>
      <c r="L91" s="14">
        <f>IF(L87-L42&gt;L90,L87-L42,L90)</f>
        <v>1103.4867077850006</v>
      </c>
      <c r="M91" s="14">
        <f>IF(M87-M42&gt;M90,M87-M42,M90)</f>
        <v>1259.0070285193497</v>
      </c>
      <c r="N91" s="14">
        <f>IF(N87-N42&gt;N90,N87-N42,N90)</f>
        <v>1420.0963236557639</v>
      </c>
      <c r="O91" s="14">
        <f>IF(O87-O42&gt;O90,O87-O42,O90)</f>
        <v>2166.5459971607979</v>
      </c>
      <c r="P91" s="14">
        <f>IF(P87-P42&gt;P90,P87-P42,P90)</f>
        <v>2487.108988083135</v>
      </c>
      <c r="Q91" s="14">
        <f>IF(Q87-Q42&gt;Q90,Q87-Q42,Q90)</f>
        <v>2685.2325497640254</v>
      </c>
      <c r="R91" s="14">
        <f>IF(R87-R42&gt;R90,R87-R42,R90)</f>
        <v>2999.9897692003906</v>
      </c>
      <c r="S91" s="14">
        <f>IF(S87-S42&gt;S90,S87-S42,S90)</f>
        <v>3211.6180261051795</v>
      </c>
      <c r="T91" s="14">
        <f>IF(T87-T42&gt;T90,T87-T42,T90)</f>
        <v>3430.3634701590872</v>
      </c>
      <c r="U91" s="14">
        <f>IF(U87-U42&gt;U90,U87-U42,U90)</f>
        <v>3927.9418671156873</v>
      </c>
      <c r="V91" s="14">
        <f>IF(V87-V42&gt;V90,V87-V42,V90)</f>
        <v>4565.4555340227835</v>
      </c>
      <c r="W91" s="14">
        <f>IF(W87-W42&gt;W90,W87-W42,W90)</f>
        <v>5224.5463523198687</v>
      </c>
      <c r="X91" s="14">
        <f>IF(X87-X42&gt;X90,X87-X42,X90)</f>
        <v>5905.9906694661477</v>
      </c>
      <c r="Y91" s="14">
        <f>IF(Y87-Y42&gt;Y90,Y87-Y42,Y90)</f>
        <v>6610.5936120121041</v>
      </c>
      <c r="Z91" s="14">
        <f>IF(Z87-Z42&gt;Z90,Z87-Z42,Z90)</f>
        <v>7339.1901720421065</v>
      </c>
      <c r="AA91" s="14">
        <f>IF(AA87-AA42&gt;AA90,AA87-AA42,AA90)</f>
        <v>8092.6463351717975</v>
      </c>
      <c r="AB91" s="14">
        <f>IF(AB87-AB42&gt;AB90,AB87-AB42,AB90)</f>
        <v>8871.8602517059626</v>
      </c>
      <c r="AC91" s="14">
        <f>IF(AC87-AC42&gt;AC90,AC87-AC42,AC90)</f>
        <v>9677.7634526246256</v>
      </c>
      <c r="AD91" s="14">
        <f>IF(AD87-AD42&gt;AD90,AD87-AD42,AD90)</f>
        <v>10511.322112130863</v>
      </c>
      <c r="AE91" s="14">
        <f>IF(AE87-AE42&gt;AE90,AE87-AE42,AE90)</f>
        <v>11373.538358560538</v>
      </c>
      <c r="AF91" s="14">
        <f>IF(AF87-AF42&gt;AF90,AF87-AF42,AF90)</f>
        <v>12265.451635524823</v>
      </c>
      <c r="AG91" s="14">
        <f>IF(AG87-AG42&gt;AG90,AG87-AG42,AG90)</f>
        <v>13200.973865477936</v>
      </c>
      <c r="AH91" s="14">
        <f>IF(AH87-AH42&gt;AH90,AH87-AH42,AH90)</f>
        <v>14143.126068683738</v>
      </c>
      <c r="AI91" s="14">
        <f>IF(AI87-AI42&gt;AI90,AI87-AI42,AI90)</f>
        <v>15118.156792343718</v>
      </c>
      <c r="AJ91" s="14">
        <f>IF(AJ87-AJ42&gt;AJ90,AJ87-AJ42,AJ90)</f>
        <v>16127.266959154502</v>
      </c>
      <c r="AK91" s="19">
        <f>IF(AK87-AK42&gt;AK90,AK87-AK42,AK90)</f>
        <v>17171.702402266023</v>
      </c>
    </row>
    <row r="92" spans="1:37" s="17" customFormat="1" ht="38.25" customHeight="1" x14ac:dyDescent="0.25">
      <c r="A92" s="5"/>
      <c r="B92" s="28"/>
      <c r="E92" s="36"/>
      <c r="F92" s="216"/>
      <c r="G92" s="189" t="s">
        <v>102</v>
      </c>
      <c r="H92" s="52">
        <f>H83*0.172</f>
        <v>0</v>
      </c>
      <c r="I92" s="52">
        <f t="shared" ref="I92:AK92" si="83">I83*0.172</f>
        <v>0</v>
      </c>
      <c r="J92" s="52">
        <f t="shared" si="83"/>
        <v>0</v>
      </c>
      <c r="K92" s="52">
        <f t="shared" si="83"/>
        <v>0</v>
      </c>
      <c r="L92" s="52">
        <f t="shared" si="83"/>
        <v>0</v>
      </c>
      <c r="M92" s="52">
        <f t="shared" si="83"/>
        <v>0</v>
      </c>
      <c r="N92" s="52">
        <f t="shared" si="83"/>
        <v>0</v>
      </c>
      <c r="O92" s="52">
        <f t="shared" si="83"/>
        <v>906.26518567860921</v>
      </c>
      <c r="P92" s="52">
        <f t="shared" si="83"/>
        <v>1137.2433508636097</v>
      </c>
      <c r="Q92" s="52">
        <f t="shared" si="83"/>
        <v>1167.0738899485686</v>
      </c>
      <c r="R92" s="52">
        <f t="shared" si="83"/>
        <v>1369.22571251611</v>
      </c>
      <c r="S92" s="52">
        <f t="shared" si="83"/>
        <v>1399.7023551665927</v>
      </c>
      <c r="T92" s="52">
        <f t="shared" si="83"/>
        <v>1430.5073944282917</v>
      </c>
      <c r="U92" s="52">
        <f t="shared" si="83"/>
        <v>1461.6444472209616</v>
      </c>
      <c r="V92" s="52">
        <f t="shared" si="83"/>
        <v>1493.1171713249307</v>
      </c>
      <c r="W92" s="52">
        <f t="shared" si="83"/>
        <v>1524.9292658558106</v>
      </c>
      <c r="X92" s="52">
        <f t="shared" si="83"/>
        <v>1557.0844717448856</v>
      </c>
      <c r="Y92" s="52">
        <f t="shared" si="83"/>
        <v>1589.5865722252413</v>
      </c>
      <c r="Z92" s="52">
        <f t="shared" si="83"/>
        <v>1622.4393933237277</v>
      </c>
      <c r="AA92" s="52">
        <f t="shared" si="83"/>
        <v>1655.6468043587938</v>
      </c>
      <c r="AB92" s="52">
        <f t="shared" si="83"/>
        <v>1689.2127184443057</v>
      </c>
      <c r="AC92" s="52">
        <f t="shared" si="83"/>
        <v>1723.1410929993858</v>
      </c>
      <c r="AD92" s="52">
        <f t="shared" si="83"/>
        <v>1757.4359302643722</v>
      </c>
      <c r="AE92" s="52">
        <f t="shared" si="83"/>
        <v>1792.1012778229619</v>
      </c>
      <c r="AF92" s="52">
        <f t="shared" si="83"/>
        <v>1827.1412291306181</v>
      </c>
      <c r="AG92" s="52">
        <f t="shared" si="83"/>
        <v>1869.9179408585355</v>
      </c>
      <c r="AH92" s="52">
        <f t="shared" si="83"/>
        <v>1898.5931202671211</v>
      </c>
      <c r="AI92" s="52">
        <f t="shared" si="83"/>
        <v>1927.5550514697909</v>
      </c>
      <c r="AJ92" s="52">
        <f t="shared" si="83"/>
        <v>1956.8066019844891</v>
      </c>
      <c r="AK92" s="53">
        <f t="shared" si="83"/>
        <v>1986.3506680043349</v>
      </c>
    </row>
    <row r="93" spans="1:37" s="17" customFormat="1" ht="38.25" customHeight="1" x14ac:dyDescent="0.25">
      <c r="A93" s="5"/>
      <c r="B93" s="28"/>
      <c r="E93" s="36"/>
      <c r="F93" s="216"/>
      <c r="G93" s="191" t="s">
        <v>91</v>
      </c>
      <c r="H93" s="52">
        <f>H91-H46</f>
        <v>0</v>
      </c>
      <c r="I93" s="52">
        <f>I91-I46</f>
        <v>0</v>
      </c>
      <c r="J93" s="52">
        <f>J91-J46</f>
        <v>0</v>
      </c>
      <c r="K93" s="52">
        <f>K91-K46</f>
        <v>0</v>
      </c>
      <c r="L93" s="52">
        <f>L91-L46</f>
        <v>0</v>
      </c>
      <c r="M93" s="52">
        <f>M91-M46</f>
        <v>0</v>
      </c>
      <c r="N93" s="52">
        <f>N91-N46</f>
        <v>0</v>
      </c>
      <c r="O93" s="52">
        <f>O91-O46</f>
        <v>579.58820014329649</v>
      </c>
      <c r="P93" s="52">
        <f>P91-P46</f>
        <v>727.30679415696022</v>
      </c>
      <c r="Q93" s="52">
        <f>Q91-Q46</f>
        <v>746.38446450199172</v>
      </c>
      <c r="R93" s="52">
        <f>R91-R46</f>
        <v>875.66760684169822</v>
      </c>
      <c r="S93" s="52">
        <f>S91-S46</f>
        <v>895.15848295537899</v>
      </c>
      <c r="T93" s="52">
        <f>T91-T46</f>
        <v>914.8593801576294</v>
      </c>
      <c r="U93" s="52">
        <f>U91-U46</f>
        <v>1206.2331274347357</v>
      </c>
      <c r="V93" s="52">
        <f>V91-V46</f>
        <v>1630.1196880927773</v>
      </c>
      <c r="W93" s="52">
        <f>W91-W46</f>
        <v>2067.8888171909894</v>
      </c>
      <c r="X93" s="52">
        <f>X91-X46</f>
        <v>2520.0345939095919</v>
      </c>
      <c r="Y93" s="52">
        <f>Y91-Y46</f>
        <v>2772.5347189975128</v>
      </c>
      <c r="Z93" s="52">
        <f>Z91-Z46</f>
        <v>2829.836151146038</v>
      </c>
      <c r="AA93" s="52">
        <f>AA91-AA46</f>
        <v>2887.756054114172</v>
      </c>
      <c r="AB93" s="52">
        <f>AB91-AB46</f>
        <v>2946.301253100537</v>
      </c>
      <c r="AC93" s="52">
        <f>AC91-AC46</f>
        <v>3005.478650580324</v>
      </c>
      <c r="AD93" s="52">
        <f>AD91-AD46</f>
        <v>3065.2952272053008</v>
      </c>
      <c r="AE93" s="52">
        <f>AE91-AE46</f>
        <v>3125.7580427144712</v>
      </c>
      <c r="AF93" s="52">
        <f>AF91-AF46</f>
        <v>3186.8742368557323</v>
      </c>
      <c r="AG93" s="52">
        <f>AG91-AG46</f>
        <v>3261.4847805672143</v>
      </c>
      <c r="AH93" s="52">
        <f>AH91-AH46</f>
        <v>3311.4996283728869</v>
      </c>
      <c r="AI93" s="52">
        <f>AI91-AI46</f>
        <v>3362.0146246566146</v>
      </c>
      <c r="AJ93" s="52">
        <f>AJ91-AJ46</f>
        <v>3413.0347709031776</v>
      </c>
      <c r="AK93" s="53">
        <f>AK91-AK46</f>
        <v>3464.5651186122122</v>
      </c>
    </row>
    <row r="94" spans="1:37" s="17" customFormat="1" ht="38.25" customHeight="1" x14ac:dyDescent="0.25">
      <c r="A94" s="5"/>
      <c r="B94" s="28"/>
      <c r="E94" s="36"/>
      <c r="F94" s="216"/>
      <c r="G94" s="220" t="s">
        <v>103</v>
      </c>
      <c r="H94" s="201">
        <f>H12-H19-H26-H14-H93-H92-H80-H79</f>
        <v>9816.6753901079828</v>
      </c>
      <c r="I94" s="201">
        <f>I12-I19-I26-I14-I93-I92-I80-I79</f>
        <v>9946.6753901079865</v>
      </c>
      <c r="J94" s="201">
        <f>J12-J19-J26-J14-J93-J92-J80-J79</f>
        <v>10077.975390107989</v>
      </c>
      <c r="K94" s="201">
        <f>K12-K19-K26-K14-K93-K92-K80-K79</f>
        <v>10210.588390107983</v>
      </c>
      <c r="L94" s="201">
        <f>L12-L19-L26-L14-L93-L92-L80-L79</f>
        <v>10344.527520107989</v>
      </c>
      <c r="M94" s="201">
        <f>M12-M19-M26-M14-M93-M92-M80-M79</f>
        <v>10479.806041407981</v>
      </c>
      <c r="N94" s="201">
        <f>N12-N19-N26-N14-N93-N92-N80-N79</f>
        <v>10616.437347920984</v>
      </c>
      <c r="O94" s="201">
        <f>O12-O19-O26-O14-O93-O92-O80-O79</f>
        <v>9268.5815816772119</v>
      </c>
      <c r="P94" s="201">
        <f>P12-P19-P26-P14-P93-P92-P80-P79</f>
        <v>9029.2624182524596</v>
      </c>
      <c r="Q94" s="201">
        <f>Q12-Q19-Q26-Q14-Q93-Q92-Q80-Q79</f>
        <v>9121.125580554115</v>
      </c>
      <c r="R94" s="201">
        <f>R12-R19-R26-R14-R93-R92-R80-R79</f>
        <v>8931.8697010958349</v>
      </c>
      <c r="S94" s="201">
        <f>S12-S19-S26-S14-S93-S92-S80-S79</f>
        <v>9025.5030586351295</v>
      </c>
      <c r="T94" s="201">
        <f>T12-T19-T26-T14-T93-T92-T80-T79</f>
        <v>9120.0340072376675</v>
      </c>
      <c r="U94" s="201">
        <f>U12-U19-U26-U14-U93-U92-U80-U79</f>
        <v>8944.0104610850503</v>
      </c>
      <c r="V94" s="201">
        <f>V12-V19-V26-V14-V93-V92-V80-V79</f>
        <v>8636.6033027793674</v>
      </c>
      <c r="W94" s="201">
        <f>W12-W19-W26-W14-W93-W92-W80-W79</f>
        <v>8316.4537268711647</v>
      </c>
      <c r="X94" s="201">
        <f>X12-X19-X26-X14-X93-X92-X80-X79</f>
        <v>7983.0787084615913</v>
      </c>
      <c r="Y94" s="201">
        <f>Y12-Y19-Y26-Y14-Y93-Y92-Y80-Y79</f>
        <v>7850.5117067333949</v>
      </c>
      <c r="Z94" s="201">
        <f>Z12-Z19-Z26-Z14-Z93-Z92-Z80-Z79</f>
        <v>7914.3170295648661</v>
      </c>
      <c r="AA94" s="201">
        <f>AA12-AA19-AA26-AA14-AA93-AA92-AA80-AA79</f>
        <v>7978.6888874009319</v>
      </c>
      <c r="AB94" s="201">
        <f>AB12-AB19-AB26-AB14-AB93-AB92-AB80-AB79</f>
        <v>8043.631937886712</v>
      </c>
      <c r="AC94" s="201">
        <f>AC12-AC19-AC26-AC14-AC93-AC92-AC80-AC79</f>
        <v>8109.1508710450798</v>
      </c>
      <c r="AD94" s="201">
        <f>AD12-AD19-AD26-AD14-AD93-AD92-AD80-AD79</f>
        <v>8175.2504094002879</v>
      </c>
      <c r="AE94" s="201">
        <f>AE12-AE19-AE26-AE14-AE93-AE92-AE80-AE79</f>
        <v>8241.9353081001482</v>
      </c>
      <c r="AF94" s="201">
        <f>AF12-AF19-AF26-AF14-AF93-AF92-AF80-AF79</f>
        <v>8309.2103550365282</v>
      </c>
      <c r="AG94" s="201">
        <f>AG12-AG19-AG26-AG14-AG93-AG92-AG80-AG79</f>
        <v>11340.213213798294</v>
      </c>
      <c r="AH94" s="201">
        <f>AH12-AH19-AH26-AH14-AH93-AH92-AH80-AH79</f>
        <v>11428.239345936277</v>
      </c>
      <c r="AI94" s="201">
        <f>AI12-AI19-AI26-AI14-AI93-AI92-AI80-AI79</f>
        <v>11517.145739395635</v>
      </c>
      <c r="AJ94" s="201">
        <f>AJ12-AJ19-AJ26-AJ14-AJ93-AJ92-AJ80-AJ79</f>
        <v>11606.941196789598</v>
      </c>
      <c r="AK94" s="202">
        <f>AK12-AK19-AK26-AK14-AK93-AK92-AK80-AK79</f>
        <v>11697.634608757493</v>
      </c>
    </row>
    <row r="95" spans="1:37" s="17" customFormat="1" ht="38.25" customHeight="1" x14ac:dyDescent="0.25">
      <c r="A95" s="5"/>
      <c r="B95" s="28"/>
      <c r="E95" s="36"/>
      <c r="F95" s="216"/>
      <c r="G95" s="221" t="s">
        <v>104</v>
      </c>
      <c r="H95" s="199">
        <f>IF(H10=1,H94,H94+G95)</f>
        <v>9816.6753901079828</v>
      </c>
      <c r="I95" s="199">
        <f>IF(I10=1,I94,I94+H95)</f>
        <v>19763.350780215969</v>
      </c>
      <c r="J95" s="199">
        <f>IF(J10=1,J94,J94+I95)</f>
        <v>29841.326170323959</v>
      </c>
      <c r="K95" s="199">
        <f>IF(K10=1,K94,K94+J95)</f>
        <v>40051.914560431942</v>
      </c>
      <c r="L95" s="199">
        <f>IF(L10=1,L94,L94+K95)</f>
        <v>50396.442080539928</v>
      </c>
      <c r="M95" s="199">
        <f>IF(M10=1,M94,M94+L95)</f>
        <v>60876.248121947909</v>
      </c>
      <c r="N95" s="199">
        <f>IF(N10=1,N94,N94+M95)</f>
        <v>71492.685469868899</v>
      </c>
      <c r="O95" s="199">
        <f>IF(O10=1,O94,O94+N95)</f>
        <v>80761.267051546107</v>
      </c>
      <c r="P95" s="199">
        <f>IF(P10=1,P94,P94+O95)</f>
        <v>89790.529469798566</v>
      </c>
      <c r="Q95" s="199">
        <f>IF(Q10=1,Q94,Q94+P95)</f>
        <v>98911.655050352681</v>
      </c>
      <c r="R95" s="199">
        <f>IF(R10=1,R94,R94+Q95)</f>
        <v>107843.52475144851</v>
      </c>
      <c r="S95" s="199">
        <f>IF(S10=1,S94,S94+R95)</f>
        <v>116869.02781008364</v>
      </c>
      <c r="T95" s="199">
        <f>IF(T10=1,T94,T94+S95)</f>
        <v>125989.06181732132</v>
      </c>
      <c r="U95" s="199">
        <f>IF(U10=1,U94,U94+T95)</f>
        <v>134933.07227840635</v>
      </c>
      <c r="V95" s="199">
        <f>IF(V10=1,V94,V94+U95)</f>
        <v>143569.67558118573</v>
      </c>
      <c r="W95" s="199">
        <f>IF(W10=1,W94,W94+V95)</f>
        <v>151886.1293080569</v>
      </c>
      <c r="X95" s="199">
        <f>IF(X10=1,X94,X94+W95)</f>
        <v>159869.2080165185</v>
      </c>
      <c r="Y95" s="199">
        <f>IF(Y10=1,Y94,Y94+X95)</f>
        <v>167719.71972325191</v>
      </c>
      <c r="Z95" s="199">
        <f>IF(Z10=1,Z94,Z94+Y95)</f>
        <v>175634.03675281678</v>
      </c>
      <c r="AA95" s="199">
        <f>IF(AA10=1,AA94,AA94+Z95)</f>
        <v>183612.72564021772</v>
      </c>
      <c r="AB95" s="199">
        <f>IF(AB10=1,AB94,AB94+AA95)</f>
        <v>191656.35757810442</v>
      </c>
      <c r="AC95" s="199">
        <f>IF(AC10=1,AC94,AC94+AB95)</f>
        <v>199765.50844914949</v>
      </c>
      <c r="AD95" s="199">
        <f>IF(AD10=1,AD94,AD94+AC95)</f>
        <v>207940.75885854979</v>
      </c>
      <c r="AE95" s="199">
        <f>IF(AE10=1,AE94,AE94+AD95)</f>
        <v>216182.69416664995</v>
      </c>
      <c r="AF95" s="199">
        <f>IF(AF10=1,AF94,AF94+AE95)</f>
        <v>224491.90452168649</v>
      </c>
      <c r="AG95" s="199">
        <f>IF(AG10=1,AG94,AG94+AF95)</f>
        <v>235832.11773548479</v>
      </c>
      <c r="AH95" s="199">
        <f>IF(AH10=1,AH94,AH94+AG95)</f>
        <v>247260.35708142107</v>
      </c>
      <c r="AI95" s="199">
        <f>IF(AI10=1,AI94,AI94+AH95)</f>
        <v>258777.50282081671</v>
      </c>
      <c r="AJ95" s="199">
        <f>IF(AJ10=1,AJ94,AJ94+AI95)</f>
        <v>270384.44401760632</v>
      </c>
      <c r="AK95" s="200">
        <f>IF(AK10=1,AK94,AK94+AJ95)</f>
        <v>282082.07862636383</v>
      </c>
    </row>
    <row r="96" spans="1:37" s="17" customFormat="1" ht="38.25" customHeight="1" x14ac:dyDescent="0.25">
      <c r="A96" s="5"/>
      <c r="B96" s="28"/>
      <c r="E96" s="36"/>
      <c r="F96" s="216"/>
      <c r="G96" s="189" t="s">
        <v>332</v>
      </c>
      <c r="H96" s="14">
        <f>IF(H$10&lt;5,$C$13,
IF(AND(H$10&gt;=5,$C$13&gt;$C$12*0.15),$C$13,
IF(AND(H$10&gt;=5,$C$13&lt;=$C$12*0.15),$C$12*0.15)))</f>
        <v>10000</v>
      </c>
      <c r="I96" s="14">
        <f t="shared" ref="I96:AK96" si="84">IF(I$10&lt;5,$C$13,
IF(AND(I$10&gt;=5,$C$13&gt;$C$12*0.15),$C$13,
IF(AND(I$10&gt;=5,$C$13&lt;=$C$12*0.15),$C$12*0.15)))</f>
        <v>10000</v>
      </c>
      <c r="J96" s="14">
        <f t="shared" si="84"/>
        <v>10000</v>
      </c>
      <c r="K96" s="14">
        <f t="shared" si="84"/>
        <v>10000</v>
      </c>
      <c r="L96" s="14">
        <f t="shared" si="84"/>
        <v>33000</v>
      </c>
      <c r="M96" s="14">
        <f t="shared" si="84"/>
        <v>33000</v>
      </c>
      <c r="N96" s="14">
        <f t="shared" si="84"/>
        <v>33000</v>
      </c>
      <c r="O96" s="14">
        <f t="shared" si="84"/>
        <v>33000</v>
      </c>
      <c r="P96" s="14">
        <f t="shared" si="84"/>
        <v>33000</v>
      </c>
      <c r="Q96" s="14">
        <f t="shared" si="84"/>
        <v>33000</v>
      </c>
      <c r="R96" s="14">
        <f t="shared" si="84"/>
        <v>33000</v>
      </c>
      <c r="S96" s="14">
        <f t="shared" si="84"/>
        <v>33000</v>
      </c>
      <c r="T96" s="14">
        <f t="shared" si="84"/>
        <v>33000</v>
      </c>
      <c r="U96" s="14">
        <f t="shared" si="84"/>
        <v>33000</v>
      </c>
      <c r="V96" s="14">
        <f t="shared" si="84"/>
        <v>33000</v>
      </c>
      <c r="W96" s="14">
        <f t="shared" si="84"/>
        <v>33000</v>
      </c>
      <c r="X96" s="14">
        <f t="shared" si="84"/>
        <v>33000</v>
      </c>
      <c r="Y96" s="14">
        <f t="shared" si="84"/>
        <v>33000</v>
      </c>
      <c r="Z96" s="14">
        <f t="shared" si="84"/>
        <v>33000</v>
      </c>
      <c r="AA96" s="14">
        <f t="shared" si="84"/>
        <v>33000</v>
      </c>
      <c r="AB96" s="14">
        <f t="shared" si="84"/>
        <v>33000</v>
      </c>
      <c r="AC96" s="14">
        <f t="shared" si="84"/>
        <v>33000</v>
      </c>
      <c r="AD96" s="14">
        <f t="shared" si="84"/>
        <v>33000</v>
      </c>
      <c r="AE96" s="14">
        <f t="shared" si="84"/>
        <v>33000</v>
      </c>
      <c r="AF96" s="14">
        <f t="shared" si="84"/>
        <v>33000</v>
      </c>
      <c r="AG96" s="14">
        <f t="shared" si="84"/>
        <v>33000</v>
      </c>
      <c r="AH96" s="14">
        <f t="shared" si="84"/>
        <v>33000</v>
      </c>
      <c r="AI96" s="14">
        <f t="shared" si="84"/>
        <v>33000</v>
      </c>
      <c r="AJ96" s="14">
        <f t="shared" si="84"/>
        <v>33000</v>
      </c>
      <c r="AK96" s="19">
        <f t="shared" si="84"/>
        <v>33000</v>
      </c>
    </row>
    <row r="97" spans="1:37" s="17" customFormat="1" ht="38.25" customHeight="1" x14ac:dyDescent="0.25">
      <c r="A97" s="5"/>
      <c r="B97" s="28"/>
      <c r="E97" s="36"/>
      <c r="F97" s="216"/>
      <c r="G97" s="189" t="s">
        <v>148</v>
      </c>
      <c r="H97" s="95">
        <f>IF(H$48-($C$12+$C$15*$C$12+H$96)&lt;0,0,
IF(H$48-($C$12+$C$15*$C$12+H$96)&gt;0,H$48-($C$12+$C$15*$C$12+H$96)))</f>
        <v>0</v>
      </c>
      <c r="I97" s="95">
        <f>IF(I$48-($C$12+$C$15*$C$12+I$96)&lt;0,0,
IF(I$48-($C$12+$C$15*$C$12+I$96)&gt;0,I$48-($C$12+$C$15*$C$12+I$96)))</f>
        <v>0</v>
      </c>
      <c r="J97" s="95">
        <f>IF(J$48-($C$12+$C$15*$C$12+J$96)&lt;0,0,
IF(J$48-($C$12+$C$15*$C$12+J$96)&gt;0,J$48-($C$12+$C$15*$C$12+J$96)))</f>
        <v>0</v>
      </c>
      <c r="K97" s="95">
        <f>IF(K$48-($C$12+$C$15*$C$12+K$96)&lt;0,0,
IF(K$48-($C$12+$C$15*$C$12+K$96)&gt;0,K$48-($C$12+$C$15*$C$12+K$96)))</f>
        <v>0</v>
      </c>
      <c r="L97" s="95">
        <f>IF(L$48-($C$12+$C$15*$C$12+L$96)&lt;0,0,
IF(L$48-($C$12+$C$15*$C$12+L$96)&gt;0,L$48-($C$12+$C$15*$C$12+L$96)))</f>
        <v>0</v>
      </c>
      <c r="M97" s="95">
        <f>IF(M$48-($C$12+$C$15*$C$12+M$96)&lt;0,0,
IF(M$48-($C$12+$C$15*$C$12+M$96)&gt;0,M$48-($C$12+$C$15*$C$12+M$96)))</f>
        <v>0</v>
      </c>
      <c r="N97" s="95">
        <f>IF(N$48-($C$12+$C$15*$C$12+N$96)&lt;0,0,
IF(N$48-($C$12+$C$15*$C$12+N$96)&gt;0,N$48-($C$12+$C$15*$C$12+N$96)))</f>
        <v>0</v>
      </c>
      <c r="O97" s="95">
        <f>IF(O$48-($C$12+$C$15*$C$12+O$96)&lt;0,0,
IF(O$48-($C$12+$C$15*$C$12+O$96)&gt;0,O$48-($C$12+$C$15*$C$12+O$96)))</f>
        <v>0</v>
      </c>
      <c r="P97" s="95">
        <f>IF(P$48-($C$12+$C$15*$C$12+P$96)&lt;0,0,
IF(P$48-($C$12+$C$15*$C$12+P$96)&gt;0,P$48-($C$12+$C$15*$C$12+P$96)))</f>
        <v>0</v>
      </c>
      <c r="Q97" s="95">
        <f>IF(Q$48-($C$12+$C$15*$C$12+Q$96)&lt;0,0,
IF(Q$48-($C$12+$C$15*$C$12+Q$96)&gt;0,Q$48-($C$12+$C$15*$C$12+Q$96)))</f>
        <v>0</v>
      </c>
      <c r="R97" s="95">
        <f>IF(R$48-($C$12+$C$15*$C$12+R$96)&lt;0,0,
IF(R$48-($C$12+$C$15*$C$12+R$96)&gt;0,R$48-($C$12+$C$15*$C$12+R$96)))</f>
        <v>0</v>
      </c>
      <c r="S97" s="95">
        <f>IF(S$48-($C$12+$C$15*$C$12+S$96)&lt;0,0,
IF(S$48-($C$12+$C$15*$C$12+S$96)&gt;0,S$48-($C$12+$C$15*$C$12+S$96)))</f>
        <v>0</v>
      </c>
      <c r="T97" s="95">
        <f>IF(T$48-($C$12+$C$15*$C$12+T$96)&lt;0,0,
IF(T$48-($C$12+$C$15*$C$12+T$96)&gt;0,T$48-($C$12+$C$15*$C$12+T$96)))</f>
        <v>0</v>
      </c>
      <c r="U97" s="95">
        <f>IF(U$48-($C$12+$C$15*$C$12+U$96)&lt;0,0,
IF(U$48-($C$12+$C$15*$C$12+U$96)&gt;0,U$48-($C$12+$C$15*$C$12+U$96)))</f>
        <v>0</v>
      </c>
      <c r="V97" s="95">
        <f>IF(V$48-($C$12+$C$15*$C$12+V$96)&lt;0,0,
IF(V$48-($C$12+$C$15*$C$12+V$96)&gt;0,V$48-($C$12+$C$15*$C$12+V$96)))</f>
        <v>0</v>
      </c>
      <c r="W97" s="95">
        <f>IF(W$48-($C$12+$C$15*$C$12+W$96)&lt;0,0,
IF(W$48-($C$12+$C$15*$C$12+W$96)&gt;0,W$48-($C$12+$C$15*$C$12+W$96)))</f>
        <v>0</v>
      </c>
      <c r="X97" s="95">
        <f>IF(X$48-($C$12+$C$15*$C$12+X$96)&lt;0,0,
IF(X$48-($C$12+$C$15*$C$12+X$96)&gt;0,X$48-($C$12+$C$15*$C$12+X$96)))</f>
        <v>1790.0192157752463</v>
      </c>
      <c r="Y97" s="95">
        <f>IF(Y$48-($C$12+$C$15*$C$12+Y$96)&lt;0,0,
IF(Y$48-($C$12+$C$15*$C$12+Y$96)&gt;0,Y$48-($C$12+$C$15*$C$12+Y$96)))</f>
        <v>4513.9194079330191</v>
      </c>
      <c r="Z97" s="95">
        <f>IF(Z$48-($C$12+$C$15*$C$12+Z$96)&lt;0,0,
IF(Z$48-($C$12+$C$15*$C$12+Z$96)&gt;0,Z$48-($C$12+$C$15*$C$12+Z$96)))</f>
        <v>7265.0586020122864</v>
      </c>
      <c r="AA97" s="95">
        <f>IF(AA$48-($C$12+$C$15*$C$12+AA$96)&lt;0,0,
IF(AA$48-($C$12+$C$15*$C$12+AA$96)&gt;0,AA$48-($C$12+$C$15*$C$12+AA$96)))</f>
        <v>10043.70918803243</v>
      </c>
      <c r="AB97" s="95">
        <f>IF(AB$48-($C$12+$C$15*$C$12+AB$96)&lt;0,0,
IF(AB$48-($C$12+$C$15*$C$12+AB$96)&gt;0,AB$48-($C$12+$C$15*$C$12+AB$96)))</f>
        <v>12850.146279912733</v>
      </c>
      <c r="AC97" s="95">
        <f>IF(AC$48-($C$12+$C$15*$C$12+AC$96)&lt;0,0,
IF(AC$48-($C$12+$C$15*$C$12+AC$96)&gt;0,AC$48-($C$12+$C$15*$C$12+AC$96)))</f>
        <v>15684.647742711939</v>
      </c>
      <c r="AD97" s="95">
        <f>IF(AD$48-($C$12+$C$15*$C$12+AD$96)&lt;0,0,
IF(AD$48-($C$12+$C$15*$C$12+AD$96)&gt;0,AD$48-($C$12+$C$15*$C$12+AD$96)))</f>
        <v>18547.494220138993</v>
      </c>
      <c r="AE97" s="95">
        <f>IF(AE$48-($C$12+$C$15*$C$12+AE$96)&lt;0,0,
IF(AE$48-($C$12+$C$15*$C$12+AE$96)&gt;0,AE$48-($C$12+$C$15*$C$12+AE$96)))</f>
        <v>21438.969162340451</v>
      </c>
      <c r="AF97" s="95">
        <f>IF(AF$48-($C$12+$C$15*$C$12+AF$96)&lt;0,0,
IF(AF$48-($C$12+$C$15*$C$12+AF$96)&gt;0,AF$48-($C$12+$C$15*$C$12+AF$96)))</f>
        <v>24359.358853963902</v>
      </c>
      <c r="AG97" s="95">
        <f>IF(AG$48-($C$12+$C$15*$C$12+AG$96)&lt;0,0,
IF(AG$48-($C$12+$C$15*$C$12+AG$96)&gt;0,AG$48-($C$12+$C$15*$C$12+AG$96)))</f>
        <v>27308.952442503534</v>
      </c>
      <c r="AH97" s="95">
        <f>IF(AH$48-($C$12+$C$15*$C$12+AH$96)&lt;0,0,
IF(AH$48-($C$12+$C$15*$C$12+AH$96)&gt;0,AH$48-($C$12+$C$15*$C$12+AH$96)))</f>
        <v>30288.04196692846</v>
      </c>
      <c r="AI97" s="95">
        <f>IF(AI$48-($C$12+$C$15*$C$12+AI$96)&lt;0,0,
IF(AI$48-($C$12+$C$15*$C$12+AI$96)&gt;0,AI$48-($C$12+$C$15*$C$12+AI$96)))</f>
        <v>33296.922386597726</v>
      </c>
      <c r="AJ97" s="95">
        <f>IF(AJ$48-($C$12+$C$15*$C$12+AJ$96)&lt;0,0,
IF(AJ$48-($C$12+$C$15*$C$12+AJ$96)&gt;0,AJ$48-($C$12+$C$15*$C$12+AJ$96)))</f>
        <v>36335.891610463732</v>
      </c>
      <c r="AK97" s="96">
        <f>IF(AK$48-($C$12+$C$15*$C$12+AK$96)&lt;0,0,
IF(AK$48-($C$12+$C$15*$C$12+AK$96)&gt;0,AK$48-($C$12+$C$15*$C$12+AK$96)))</f>
        <v>39405.250526568445</v>
      </c>
    </row>
    <row r="98" spans="1:37" s="17" customFormat="1" ht="38.25" customHeight="1" x14ac:dyDescent="0.25">
      <c r="A98" s="5"/>
      <c r="B98" s="28"/>
      <c r="E98" s="36"/>
      <c r="F98" s="216"/>
      <c r="G98" s="189" t="s">
        <v>105</v>
      </c>
      <c r="H98" s="32">
        <f>IF(H$10&lt;=5,0,IF(AND(H$10&gt;5,H$10&lt;=21),(((H$10-5)*0.06)),IF(H$10&gt;21,1)))</f>
        <v>0</v>
      </c>
      <c r="I98" s="32">
        <f t="shared" ref="I98:AK98" si="85">IF(I$10&lt;=5,0,IF(AND(I$10&gt;5,I$10&lt;=21),(((I$10-5)*0.06)),IF(I$10&gt;21,1)))</f>
        <v>0</v>
      </c>
      <c r="J98" s="32">
        <f t="shared" si="85"/>
        <v>0</v>
      </c>
      <c r="K98" s="32">
        <f t="shared" si="85"/>
        <v>0</v>
      </c>
      <c r="L98" s="32">
        <f t="shared" si="85"/>
        <v>0</v>
      </c>
      <c r="M98" s="32">
        <f t="shared" si="85"/>
        <v>0.06</v>
      </c>
      <c r="N98" s="32">
        <f t="shared" si="85"/>
        <v>0.12</v>
      </c>
      <c r="O98" s="32">
        <f t="shared" si="85"/>
        <v>0.18</v>
      </c>
      <c r="P98" s="32">
        <f t="shared" si="85"/>
        <v>0.24</v>
      </c>
      <c r="Q98" s="32">
        <f t="shared" si="85"/>
        <v>0.3</v>
      </c>
      <c r="R98" s="32">
        <f t="shared" si="85"/>
        <v>0.36</v>
      </c>
      <c r="S98" s="32">
        <f t="shared" si="85"/>
        <v>0.42</v>
      </c>
      <c r="T98" s="32">
        <f t="shared" si="85"/>
        <v>0.48</v>
      </c>
      <c r="U98" s="32">
        <f t="shared" si="85"/>
        <v>0.54</v>
      </c>
      <c r="V98" s="32">
        <f t="shared" si="85"/>
        <v>0.6</v>
      </c>
      <c r="W98" s="32">
        <f t="shared" si="85"/>
        <v>0.65999999999999992</v>
      </c>
      <c r="X98" s="32">
        <f t="shared" si="85"/>
        <v>0.72</v>
      </c>
      <c r="Y98" s="32">
        <f t="shared" si="85"/>
        <v>0.78</v>
      </c>
      <c r="Z98" s="32">
        <f t="shared" si="85"/>
        <v>0.84</v>
      </c>
      <c r="AA98" s="32">
        <f t="shared" si="85"/>
        <v>0.89999999999999991</v>
      </c>
      <c r="AB98" s="32">
        <f t="shared" si="85"/>
        <v>0.96</v>
      </c>
      <c r="AC98" s="32">
        <f t="shared" si="85"/>
        <v>1</v>
      </c>
      <c r="AD98" s="32">
        <f t="shared" si="85"/>
        <v>1</v>
      </c>
      <c r="AE98" s="32">
        <f t="shared" si="85"/>
        <v>1</v>
      </c>
      <c r="AF98" s="32">
        <f t="shared" si="85"/>
        <v>1</v>
      </c>
      <c r="AG98" s="32">
        <f t="shared" si="85"/>
        <v>1</v>
      </c>
      <c r="AH98" s="32">
        <f t="shared" si="85"/>
        <v>1</v>
      </c>
      <c r="AI98" s="32">
        <f t="shared" si="85"/>
        <v>1</v>
      </c>
      <c r="AJ98" s="32">
        <f t="shared" si="85"/>
        <v>1</v>
      </c>
      <c r="AK98" s="33">
        <f t="shared" si="85"/>
        <v>1</v>
      </c>
    </row>
    <row r="99" spans="1:37" s="17" customFormat="1" ht="38.25" customHeight="1" x14ac:dyDescent="0.25">
      <c r="A99" s="5"/>
      <c r="B99" s="5"/>
      <c r="C99" s="5"/>
      <c r="E99" s="36"/>
      <c r="F99" s="216"/>
      <c r="G99" s="189" t="s">
        <v>106</v>
      </c>
      <c r="H99" s="52">
        <f>H97*(1-H98)</f>
        <v>0</v>
      </c>
      <c r="I99" s="52">
        <f t="shared" ref="I99:AK99" si="86">I97*(1-I98)</f>
        <v>0</v>
      </c>
      <c r="J99" s="52">
        <f t="shared" si="86"/>
        <v>0</v>
      </c>
      <c r="K99" s="52">
        <f t="shared" si="86"/>
        <v>0</v>
      </c>
      <c r="L99" s="52">
        <f t="shared" si="86"/>
        <v>0</v>
      </c>
      <c r="M99" s="52">
        <f t="shared" si="86"/>
        <v>0</v>
      </c>
      <c r="N99" s="52">
        <f t="shared" si="86"/>
        <v>0</v>
      </c>
      <c r="O99" s="52">
        <f t="shared" si="86"/>
        <v>0</v>
      </c>
      <c r="P99" s="52">
        <f t="shared" si="86"/>
        <v>0</v>
      </c>
      <c r="Q99" s="52">
        <f t="shared" si="86"/>
        <v>0</v>
      </c>
      <c r="R99" s="52">
        <f t="shared" si="86"/>
        <v>0</v>
      </c>
      <c r="S99" s="52">
        <f t="shared" si="86"/>
        <v>0</v>
      </c>
      <c r="T99" s="52">
        <f t="shared" si="86"/>
        <v>0</v>
      </c>
      <c r="U99" s="52">
        <f t="shared" si="86"/>
        <v>0</v>
      </c>
      <c r="V99" s="52">
        <f t="shared" si="86"/>
        <v>0</v>
      </c>
      <c r="W99" s="52">
        <f t="shared" si="86"/>
        <v>0</v>
      </c>
      <c r="X99" s="52">
        <f t="shared" si="86"/>
        <v>501.20538041706902</v>
      </c>
      <c r="Y99" s="52">
        <f t="shared" si="86"/>
        <v>993.06226974526408</v>
      </c>
      <c r="Z99" s="52">
        <f t="shared" si="86"/>
        <v>1162.409376321966</v>
      </c>
      <c r="AA99" s="52">
        <f t="shared" si="86"/>
        <v>1004.3709188032439</v>
      </c>
      <c r="AB99" s="52">
        <f t="shared" si="86"/>
        <v>514.00585119650975</v>
      </c>
      <c r="AC99" s="52">
        <f t="shared" si="86"/>
        <v>0</v>
      </c>
      <c r="AD99" s="52">
        <f t="shared" si="86"/>
        <v>0</v>
      </c>
      <c r="AE99" s="52">
        <f t="shared" si="86"/>
        <v>0</v>
      </c>
      <c r="AF99" s="52">
        <f t="shared" si="86"/>
        <v>0</v>
      </c>
      <c r="AG99" s="52">
        <f t="shared" si="86"/>
        <v>0</v>
      </c>
      <c r="AH99" s="52">
        <f t="shared" si="86"/>
        <v>0</v>
      </c>
      <c r="AI99" s="52">
        <f t="shared" si="86"/>
        <v>0</v>
      </c>
      <c r="AJ99" s="52">
        <f t="shared" si="86"/>
        <v>0</v>
      </c>
      <c r="AK99" s="53">
        <f t="shared" si="86"/>
        <v>0</v>
      </c>
    </row>
    <row r="100" spans="1:37" s="17" customFormat="1" ht="38.25" customHeight="1" x14ac:dyDescent="0.25">
      <c r="A100" s="5"/>
      <c r="B100" s="5"/>
      <c r="C100" s="5"/>
      <c r="E100" s="36"/>
      <c r="F100" s="216"/>
      <c r="G100" s="189" t="s">
        <v>107</v>
      </c>
      <c r="H100" s="20">
        <f t="shared" ref="H100:AK100" si="87">IF(AND($C$32=0,H99&lt;=50000),H99*0.19,
IF(AND($C$32=0,H99&gt;50000,H99&lt;=100000),H99*0.21,
IF(AND($C$32=0,H99&gt;100000,H99&lt;=150000),H99*0.22,
IF(AND($C$32=0,H99&gt;150000,H99&lt;=200000),H99*0.23,
IF(AND($C$32=0,H99&gt;200000,H99&lt;=250000),H99*0.24,
IF(AND($C$32=0,H99&gt;250000),H99*0.25,
IF(AND($C$32&lt;&gt;0,H99&lt;=100000),H99*0.19,
IF(AND($C$32&lt;&gt;0,H99&gt;100000,H99&lt;=200000),H99*0.21,
IF(AND($C$32&lt;&gt;0,H99&gt;200000,H99&lt;=300000),H99*0.22,
IF(AND($C$32&lt;&gt;0,H99&gt;300000,H99&lt;=400000),H99*0.23,
IF(AND($C$32&lt;&gt;0,H99&gt;400000,H99&lt;=500000),H99*0.24,
IF(AND($C$32&lt;&gt;0,H99&gt;500000),H99*0.25))))))))))))</f>
        <v>0</v>
      </c>
      <c r="I100" s="20">
        <f t="shared" si="87"/>
        <v>0</v>
      </c>
      <c r="J100" s="20">
        <f t="shared" si="87"/>
        <v>0</v>
      </c>
      <c r="K100" s="20">
        <f t="shared" si="87"/>
        <v>0</v>
      </c>
      <c r="L100" s="20">
        <f t="shared" si="87"/>
        <v>0</v>
      </c>
      <c r="M100" s="20">
        <f t="shared" si="87"/>
        <v>0</v>
      </c>
      <c r="N100" s="20">
        <f t="shared" si="87"/>
        <v>0</v>
      </c>
      <c r="O100" s="20">
        <f t="shared" si="87"/>
        <v>0</v>
      </c>
      <c r="P100" s="20">
        <f t="shared" si="87"/>
        <v>0</v>
      </c>
      <c r="Q100" s="20">
        <f t="shared" si="87"/>
        <v>0</v>
      </c>
      <c r="R100" s="20">
        <f t="shared" si="87"/>
        <v>0</v>
      </c>
      <c r="S100" s="20">
        <f t="shared" si="87"/>
        <v>0</v>
      </c>
      <c r="T100" s="20">
        <f t="shared" si="87"/>
        <v>0</v>
      </c>
      <c r="U100" s="20">
        <f t="shared" si="87"/>
        <v>0</v>
      </c>
      <c r="V100" s="20">
        <f t="shared" si="87"/>
        <v>0</v>
      </c>
      <c r="W100" s="20">
        <f t="shared" si="87"/>
        <v>0</v>
      </c>
      <c r="X100" s="20">
        <f t="shared" si="87"/>
        <v>95.229022279243111</v>
      </c>
      <c r="Y100" s="20">
        <f t="shared" si="87"/>
        <v>188.68183125160019</v>
      </c>
      <c r="Z100" s="20">
        <f t="shared" si="87"/>
        <v>220.85778150117355</v>
      </c>
      <c r="AA100" s="20">
        <f t="shared" si="87"/>
        <v>190.83047457261634</v>
      </c>
      <c r="AB100" s="20">
        <f t="shared" si="87"/>
        <v>97.661111727336859</v>
      </c>
      <c r="AC100" s="20">
        <f t="shared" si="87"/>
        <v>0</v>
      </c>
      <c r="AD100" s="20">
        <f t="shared" si="87"/>
        <v>0</v>
      </c>
      <c r="AE100" s="20">
        <f t="shared" si="87"/>
        <v>0</v>
      </c>
      <c r="AF100" s="20">
        <f t="shared" si="87"/>
        <v>0</v>
      </c>
      <c r="AG100" s="20">
        <f t="shared" si="87"/>
        <v>0</v>
      </c>
      <c r="AH100" s="20">
        <f t="shared" si="87"/>
        <v>0</v>
      </c>
      <c r="AI100" s="20">
        <f t="shared" si="87"/>
        <v>0</v>
      </c>
      <c r="AJ100" s="20">
        <f t="shared" si="87"/>
        <v>0</v>
      </c>
      <c r="AK100" s="21">
        <f t="shared" si="87"/>
        <v>0</v>
      </c>
    </row>
    <row r="101" spans="1:37" s="17" customFormat="1" ht="38.25" customHeight="1" x14ac:dyDescent="0.25">
      <c r="A101" s="5"/>
      <c r="B101" s="5"/>
      <c r="C101" s="5"/>
      <c r="E101" s="36"/>
      <c r="F101" s="216"/>
      <c r="G101" s="189" t="s">
        <v>108</v>
      </c>
      <c r="H101" s="97">
        <f>IF(H$10&lt;=5,0%,IF(AND(H$10&gt;5,H$10&lt;=21),(((H$10-5)*0.0165)),IF(H$10=22,(0.28),IF(H$10&gt;22,(((H$10-22)*0.09+0.28))))))</f>
        <v>0</v>
      </c>
      <c r="I101" s="97">
        <f t="shared" ref="I101:AK101" si="88">IF(I$10&lt;=5,0%,IF(AND(I$10&gt;5,I$10&lt;=21),(((I$10-5)*0.0165)),IF(I$10=22,(0.28),IF(I$10&gt;22,(((I$10-22)*0.09+0.28))))))</f>
        <v>0</v>
      </c>
      <c r="J101" s="97">
        <f t="shared" si="88"/>
        <v>0</v>
      </c>
      <c r="K101" s="97">
        <f t="shared" si="88"/>
        <v>0</v>
      </c>
      <c r="L101" s="97">
        <f t="shared" si="88"/>
        <v>0</v>
      </c>
      <c r="M101" s="97">
        <f t="shared" si="88"/>
        <v>1.6500000000000001E-2</v>
      </c>
      <c r="N101" s="97">
        <f t="shared" si="88"/>
        <v>3.3000000000000002E-2</v>
      </c>
      <c r="O101" s="98">
        <f t="shared" si="88"/>
        <v>4.9500000000000002E-2</v>
      </c>
      <c r="P101" s="98">
        <f t="shared" si="88"/>
        <v>6.6000000000000003E-2</v>
      </c>
      <c r="Q101" s="98">
        <f t="shared" si="88"/>
        <v>8.2500000000000004E-2</v>
      </c>
      <c r="R101" s="98">
        <f t="shared" si="88"/>
        <v>9.9000000000000005E-2</v>
      </c>
      <c r="S101" s="98">
        <f t="shared" si="88"/>
        <v>0.11550000000000001</v>
      </c>
      <c r="T101" s="98">
        <f t="shared" si="88"/>
        <v>0.13200000000000001</v>
      </c>
      <c r="U101" s="98">
        <f t="shared" si="88"/>
        <v>0.14850000000000002</v>
      </c>
      <c r="V101" s="98">
        <f t="shared" si="88"/>
        <v>0.16500000000000001</v>
      </c>
      <c r="W101" s="98">
        <f t="shared" si="88"/>
        <v>0.18149999999999999</v>
      </c>
      <c r="X101" s="98">
        <f t="shared" si="88"/>
        <v>0.19800000000000001</v>
      </c>
      <c r="Y101" s="98">
        <f t="shared" si="88"/>
        <v>0.21450000000000002</v>
      </c>
      <c r="Z101" s="98">
        <f t="shared" si="88"/>
        <v>0.23100000000000001</v>
      </c>
      <c r="AA101" s="98">
        <f t="shared" si="88"/>
        <v>0.2475</v>
      </c>
      <c r="AB101" s="99">
        <f t="shared" si="88"/>
        <v>0.26400000000000001</v>
      </c>
      <c r="AC101" s="97">
        <f t="shared" si="88"/>
        <v>0.28000000000000003</v>
      </c>
      <c r="AD101" s="97">
        <f t="shared" si="88"/>
        <v>0.37</v>
      </c>
      <c r="AE101" s="97">
        <f t="shared" si="88"/>
        <v>0.46</v>
      </c>
      <c r="AF101" s="97">
        <f t="shared" si="88"/>
        <v>0.55000000000000004</v>
      </c>
      <c r="AG101" s="97">
        <f t="shared" si="88"/>
        <v>0.64</v>
      </c>
      <c r="AH101" s="97">
        <f t="shared" si="88"/>
        <v>0.73</v>
      </c>
      <c r="AI101" s="97">
        <f t="shared" si="88"/>
        <v>0.82000000000000006</v>
      </c>
      <c r="AJ101" s="97">
        <f t="shared" si="88"/>
        <v>0.91</v>
      </c>
      <c r="AK101" s="100">
        <f t="shared" si="88"/>
        <v>1</v>
      </c>
    </row>
    <row r="102" spans="1:37" s="17" customFormat="1" ht="38.25" customHeight="1" x14ac:dyDescent="0.25">
      <c r="A102" s="5"/>
      <c r="B102" s="5"/>
      <c r="C102" s="5"/>
      <c r="E102" s="36"/>
      <c r="F102" s="216"/>
      <c r="G102" s="189" t="s">
        <v>109</v>
      </c>
      <c r="H102" s="14">
        <f>H97*(1-H101)</f>
        <v>0</v>
      </c>
      <c r="I102" s="14">
        <f t="shared" ref="I102:AK102" si="89">I97*(1-I101)</f>
        <v>0</v>
      </c>
      <c r="J102" s="14">
        <f t="shared" si="89"/>
        <v>0</v>
      </c>
      <c r="K102" s="14">
        <f t="shared" si="89"/>
        <v>0</v>
      </c>
      <c r="L102" s="14">
        <f t="shared" si="89"/>
        <v>0</v>
      </c>
      <c r="M102" s="14">
        <f t="shared" si="89"/>
        <v>0</v>
      </c>
      <c r="N102" s="14">
        <f t="shared" si="89"/>
        <v>0</v>
      </c>
      <c r="O102" s="14">
        <f t="shared" si="89"/>
        <v>0</v>
      </c>
      <c r="P102" s="14">
        <f t="shared" si="89"/>
        <v>0</v>
      </c>
      <c r="Q102" s="14">
        <f t="shared" si="89"/>
        <v>0</v>
      </c>
      <c r="R102" s="14">
        <f t="shared" si="89"/>
        <v>0</v>
      </c>
      <c r="S102" s="14">
        <f t="shared" si="89"/>
        <v>0</v>
      </c>
      <c r="T102" s="14">
        <f t="shared" si="89"/>
        <v>0</v>
      </c>
      <c r="U102" s="14">
        <f t="shared" si="89"/>
        <v>0</v>
      </c>
      <c r="V102" s="14">
        <f t="shared" si="89"/>
        <v>0</v>
      </c>
      <c r="W102" s="14">
        <f t="shared" si="89"/>
        <v>0</v>
      </c>
      <c r="X102" s="14">
        <f t="shared" si="89"/>
        <v>1435.5954110517475</v>
      </c>
      <c r="Y102" s="14">
        <f t="shared" si="89"/>
        <v>3545.6836949313865</v>
      </c>
      <c r="Z102" s="14">
        <f t="shared" si="89"/>
        <v>5586.8300649474486</v>
      </c>
      <c r="AA102" s="14">
        <f t="shared" si="89"/>
        <v>7557.8911639944026</v>
      </c>
      <c r="AB102" s="14">
        <f t="shared" si="89"/>
        <v>9457.7076620157713</v>
      </c>
      <c r="AC102" s="14">
        <f t="shared" si="89"/>
        <v>11292.946374752595</v>
      </c>
      <c r="AD102" s="14">
        <f t="shared" si="89"/>
        <v>11684.921358687565</v>
      </c>
      <c r="AE102" s="14">
        <f t="shared" si="89"/>
        <v>11577.043347663845</v>
      </c>
      <c r="AF102" s="14">
        <f t="shared" si="89"/>
        <v>10961.711484283755</v>
      </c>
      <c r="AG102" s="14">
        <f t="shared" si="89"/>
        <v>9831.2228793012728</v>
      </c>
      <c r="AH102" s="14">
        <f t="shared" si="89"/>
        <v>8177.7713310706849</v>
      </c>
      <c r="AI102" s="14">
        <f t="shared" si="89"/>
        <v>5993.4460295875888</v>
      </c>
      <c r="AJ102" s="14">
        <f t="shared" si="89"/>
        <v>3270.2302449417348</v>
      </c>
      <c r="AK102" s="19">
        <f t="shared" si="89"/>
        <v>0</v>
      </c>
    </row>
    <row r="103" spans="1:37" s="17" customFormat="1" ht="38.25" customHeight="1" x14ac:dyDescent="0.25">
      <c r="A103" s="5"/>
      <c r="B103" s="5"/>
      <c r="C103" s="5"/>
      <c r="E103" s="36"/>
      <c r="F103" s="216"/>
      <c r="G103" s="189" t="s">
        <v>110</v>
      </c>
      <c r="H103" s="52">
        <f>H102*0.172</f>
        <v>0</v>
      </c>
      <c r="I103" s="52">
        <f t="shared" ref="I103:AK103" si="90">I102*0.172</f>
        <v>0</v>
      </c>
      <c r="J103" s="52">
        <f t="shared" si="90"/>
        <v>0</v>
      </c>
      <c r="K103" s="52">
        <f t="shared" si="90"/>
        <v>0</v>
      </c>
      <c r="L103" s="52">
        <f t="shared" si="90"/>
        <v>0</v>
      </c>
      <c r="M103" s="52">
        <f t="shared" si="90"/>
        <v>0</v>
      </c>
      <c r="N103" s="52">
        <f t="shared" si="90"/>
        <v>0</v>
      </c>
      <c r="O103" s="52">
        <f t="shared" si="90"/>
        <v>0</v>
      </c>
      <c r="P103" s="52">
        <f t="shared" si="90"/>
        <v>0</v>
      </c>
      <c r="Q103" s="52">
        <f t="shared" si="90"/>
        <v>0</v>
      </c>
      <c r="R103" s="52">
        <f t="shared" si="90"/>
        <v>0</v>
      </c>
      <c r="S103" s="52">
        <f t="shared" si="90"/>
        <v>0</v>
      </c>
      <c r="T103" s="52">
        <f t="shared" si="90"/>
        <v>0</v>
      </c>
      <c r="U103" s="52">
        <f t="shared" si="90"/>
        <v>0</v>
      </c>
      <c r="V103" s="52">
        <f t="shared" si="90"/>
        <v>0</v>
      </c>
      <c r="W103" s="52">
        <f t="shared" si="90"/>
        <v>0</v>
      </c>
      <c r="X103" s="52">
        <f t="shared" si="90"/>
        <v>246.92241070090054</v>
      </c>
      <c r="Y103" s="52">
        <f t="shared" si="90"/>
        <v>609.85759552819843</v>
      </c>
      <c r="Z103" s="52">
        <f t="shared" si="90"/>
        <v>960.93477117096108</v>
      </c>
      <c r="AA103" s="52">
        <f t="shared" si="90"/>
        <v>1299.9572802070372</v>
      </c>
      <c r="AB103" s="52">
        <f t="shared" si="90"/>
        <v>1626.7257178667126</v>
      </c>
      <c r="AC103" s="52">
        <f t="shared" si="90"/>
        <v>1942.3867764574461</v>
      </c>
      <c r="AD103" s="52">
        <f t="shared" si="90"/>
        <v>2009.8064736942611</v>
      </c>
      <c r="AE103" s="52">
        <f t="shared" si="90"/>
        <v>1991.251455798181</v>
      </c>
      <c r="AF103" s="52">
        <f t="shared" si="90"/>
        <v>1885.4143752968057</v>
      </c>
      <c r="AG103" s="52">
        <f t="shared" si="90"/>
        <v>1690.9703352398187</v>
      </c>
      <c r="AH103" s="52">
        <f t="shared" si="90"/>
        <v>1406.5766689441577</v>
      </c>
      <c r="AI103" s="52">
        <f t="shared" si="90"/>
        <v>1030.8727170890652</v>
      </c>
      <c r="AJ103" s="52">
        <f t="shared" si="90"/>
        <v>562.47960212997839</v>
      </c>
      <c r="AK103" s="53">
        <f t="shared" si="90"/>
        <v>0</v>
      </c>
    </row>
    <row r="104" spans="1:37" s="17" customFormat="1" ht="38.25" customHeight="1" x14ac:dyDescent="0.25">
      <c r="A104" s="5"/>
      <c r="B104" s="5"/>
      <c r="C104" s="5"/>
      <c r="E104" s="36"/>
      <c r="F104" s="216"/>
      <c r="G104" s="189" t="s">
        <v>111</v>
      </c>
      <c r="H104" s="14">
        <f>H103+H100</f>
        <v>0</v>
      </c>
      <c r="I104" s="14">
        <f t="shared" ref="I104:AK104" si="91">I103+I100</f>
        <v>0</v>
      </c>
      <c r="J104" s="14">
        <f t="shared" si="91"/>
        <v>0</v>
      </c>
      <c r="K104" s="14">
        <f t="shared" si="91"/>
        <v>0</v>
      </c>
      <c r="L104" s="14">
        <f t="shared" si="91"/>
        <v>0</v>
      </c>
      <c r="M104" s="14">
        <f t="shared" si="91"/>
        <v>0</v>
      </c>
      <c r="N104" s="14">
        <f t="shared" si="91"/>
        <v>0</v>
      </c>
      <c r="O104" s="14">
        <f t="shared" si="91"/>
        <v>0</v>
      </c>
      <c r="P104" s="14">
        <f t="shared" si="91"/>
        <v>0</v>
      </c>
      <c r="Q104" s="14">
        <f t="shared" si="91"/>
        <v>0</v>
      </c>
      <c r="R104" s="14">
        <f t="shared" si="91"/>
        <v>0</v>
      </c>
      <c r="S104" s="14">
        <f t="shared" si="91"/>
        <v>0</v>
      </c>
      <c r="T104" s="14">
        <f t="shared" si="91"/>
        <v>0</v>
      </c>
      <c r="U104" s="14">
        <f t="shared" si="91"/>
        <v>0</v>
      </c>
      <c r="V104" s="14">
        <f t="shared" si="91"/>
        <v>0</v>
      </c>
      <c r="W104" s="14">
        <f t="shared" si="91"/>
        <v>0</v>
      </c>
      <c r="X104" s="14">
        <f t="shared" si="91"/>
        <v>342.15143298014368</v>
      </c>
      <c r="Y104" s="14">
        <f t="shared" si="91"/>
        <v>798.53942677979865</v>
      </c>
      <c r="Z104" s="14">
        <f t="shared" si="91"/>
        <v>1181.7925526721347</v>
      </c>
      <c r="AA104" s="14">
        <f t="shared" si="91"/>
        <v>1490.7877547796536</v>
      </c>
      <c r="AB104" s="14">
        <f t="shared" si="91"/>
        <v>1724.3868295940495</v>
      </c>
      <c r="AC104" s="14">
        <f t="shared" si="91"/>
        <v>1942.3867764574461</v>
      </c>
      <c r="AD104" s="14">
        <f t="shared" si="91"/>
        <v>2009.8064736942611</v>
      </c>
      <c r="AE104" s="14">
        <f t="shared" si="91"/>
        <v>1991.251455798181</v>
      </c>
      <c r="AF104" s="14">
        <f t="shared" si="91"/>
        <v>1885.4143752968057</v>
      </c>
      <c r="AG104" s="14">
        <f t="shared" si="91"/>
        <v>1690.9703352398187</v>
      </c>
      <c r="AH104" s="14">
        <f t="shared" si="91"/>
        <v>1406.5766689441577</v>
      </c>
      <c r="AI104" s="14">
        <f t="shared" si="91"/>
        <v>1030.8727170890652</v>
      </c>
      <c r="AJ104" s="14">
        <f t="shared" si="91"/>
        <v>562.47960212997839</v>
      </c>
      <c r="AK104" s="19">
        <f t="shared" si="91"/>
        <v>0</v>
      </c>
    </row>
    <row r="105" spans="1:37" s="17" customFormat="1" ht="38.25" customHeight="1" x14ac:dyDescent="0.25">
      <c r="A105" s="5"/>
      <c r="B105" s="5"/>
      <c r="C105" s="5"/>
      <c r="E105" s="36"/>
      <c r="F105" s="216"/>
      <c r="G105" s="189" t="s">
        <v>112</v>
      </c>
      <c r="H105" s="52">
        <f t="shared" ref="H105" si="92">H$48-H104</f>
        <v>232300</v>
      </c>
      <c r="I105" s="52">
        <f t="shared" ref="I105:AK105" si="93">I$48-I104</f>
        <v>234623</v>
      </c>
      <c r="J105" s="52">
        <f t="shared" si="93"/>
        <v>236969.22999999998</v>
      </c>
      <c r="K105" s="52">
        <f t="shared" si="93"/>
        <v>239338.92230000001</v>
      </c>
      <c r="L105" s="52">
        <f t="shared" si="93"/>
        <v>241732.31152299998</v>
      </c>
      <c r="M105" s="52">
        <f t="shared" si="93"/>
        <v>244149.63463823003</v>
      </c>
      <c r="N105" s="52">
        <f t="shared" si="93"/>
        <v>246591.13098461227</v>
      </c>
      <c r="O105" s="52">
        <f t="shared" si="93"/>
        <v>249057.04229445846</v>
      </c>
      <c r="P105" s="52">
        <f t="shared" si="93"/>
        <v>251547.61271740304</v>
      </c>
      <c r="Q105" s="52">
        <f t="shared" si="93"/>
        <v>254063.08884457708</v>
      </c>
      <c r="R105" s="52">
        <f t="shared" si="93"/>
        <v>256603.71973302279</v>
      </c>
      <c r="S105" s="52">
        <f t="shared" si="93"/>
        <v>259169.75693035306</v>
      </c>
      <c r="T105" s="52">
        <f t="shared" si="93"/>
        <v>261761.4544996566</v>
      </c>
      <c r="U105" s="52">
        <f t="shared" si="93"/>
        <v>264379.06904465321</v>
      </c>
      <c r="V105" s="52">
        <f t="shared" si="93"/>
        <v>267022.85973509966</v>
      </c>
      <c r="W105" s="52">
        <f t="shared" si="93"/>
        <v>269693.08833245072</v>
      </c>
      <c r="X105" s="52">
        <f t="shared" si="93"/>
        <v>272047.8677827951</v>
      </c>
      <c r="Y105" s="52">
        <f t="shared" si="93"/>
        <v>274315.37998115324</v>
      </c>
      <c r="Z105" s="52">
        <f t="shared" si="93"/>
        <v>276683.26604934013</v>
      </c>
      <c r="AA105" s="52">
        <f t="shared" si="93"/>
        <v>279152.92143325275</v>
      </c>
      <c r="AB105" s="52">
        <f t="shared" si="93"/>
        <v>281725.7594503187</v>
      </c>
      <c r="AC105" s="52">
        <f t="shared" si="93"/>
        <v>284342.26096625451</v>
      </c>
      <c r="AD105" s="52">
        <f t="shared" si="93"/>
        <v>287137.68774644472</v>
      </c>
      <c r="AE105" s="52">
        <f t="shared" si="93"/>
        <v>290047.71770654229</v>
      </c>
      <c r="AF105" s="52">
        <f t="shared" si="93"/>
        <v>293073.94447866711</v>
      </c>
      <c r="AG105" s="52">
        <f t="shared" si="93"/>
        <v>296217.9821072637</v>
      </c>
      <c r="AH105" s="52">
        <f t="shared" si="93"/>
        <v>299481.46529798431</v>
      </c>
      <c r="AI105" s="52">
        <f t="shared" si="93"/>
        <v>302866.04966950865</v>
      </c>
      <c r="AJ105" s="52">
        <f t="shared" si="93"/>
        <v>306373.41200833378</v>
      </c>
      <c r="AK105" s="53">
        <f t="shared" si="93"/>
        <v>310005.25052656844</v>
      </c>
    </row>
    <row r="106" spans="1:37" s="17" customFormat="1" ht="38.25" customHeight="1" x14ac:dyDescent="0.25">
      <c r="A106" s="5"/>
      <c r="B106" s="5"/>
      <c r="C106" s="5"/>
      <c r="E106" s="36"/>
      <c r="F106" s="216"/>
      <c r="G106" s="197" t="s">
        <v>307</v>
      </c>
      <c r="H106" s="201">
        <f t="shared" ref="H106" si="94">H105-H$16</f>
        <v>172772.59013239335</v>
      </c>
      <c r="I106" s="201">
        <f t="shared" ref="I106:AK106" si="95">I105-I$16</f>
        <v>177197.38344028787</v>
      </c>
      <c r="J106" s="201">
        <f t="shared" si="95"/>
        <v>181675.02140178814</v>
      </c>
      <c r="K106" s="201">
        <f t="shared" si="95"/>
        <v>186206.1535928009</v>
      </c>
      <c r="L106" s="201">
        <f t="shared" si="95"/>
        <v>190791.4377917269</v>
      </c>
      <c r="M106" s="201">
        <f t="shared" si="95"/>
        <v>195431.54008553433</v>
      </c>
      <c r="N106" s="201">
        <f t="shared" si="95"/>
        <v>200127.13497723115</v>
      </c>
      <c r="O106" s="201">
        <f t="shared" si="95"/>
        <v>204878.90549475676</v>
      </c>
      <c r="P106" s="201">
        <f t="shared" si="95"/>
        <v>209687.54330130978</v>
      </c>
      <c r="Q106" s="201">
        <f t="shared" si="95"/>
        <v>214553.74880713361</v>
      </c>
      <c r="R106" s="201">
        <f t="shared" si="95"/>
        <v>219478.2312827775</v>
      </c>
      <c r="S106" s="201">
        <f t="shared" si="95"/>
        <v>224461.70897385408</v>
      </c>
      <c r="T106" s="201">
        <f t="shared" si="95"/>
        <v>229504.9092173125</v>
      </c>
      <c r="U106" s="201">
        <f t="shared" si="95"/>
        <v>234608.56855924835</v>
      </c>
      <c r="V106" s="201">
        <f t="shared" si="95"/>
        <v>239773.43287427057</v>
      </c>
      <c r="W106" s="201">
        <f t="shared" si="95"/>
        <v>245000.25748644676</v>
      </c>
      <c r="X106" s="201">
        <f t="shared" si="95"/>
        <v>249947.65585886626</v>
      </c>
      <c r="Y106" s="201">
        <f t="shared" si="95"/>
        <v>254844.31745592662</v>
      </c>
      <c r="Z106" s="201">
        <f t="shared" si="95"/>
        <v>259878.39812056569</v>
      </c>
      <c r="AA106" s="201">
        <f t="shared" si="95"/>
        <v>265051.81527231832</v>
      </c>
      <c r="AB106" s="201">
        <f t="shared" si="95"/>
        <v>270366.51155695447</v>
      </c>
      <c r="AC106" s="201">
        <f t="shared" si="95"/>
        <v>275763.5046268666</v>
      </c>
      <c r="AD106" s="201">
        <f t="shared" si="95"/>
        <v>281378.60059753782</v>
      </c>
      <c r="AE106" s="201">
        <f t="shared" si="95"/>
        <v>287148.02940471272</v>
      </c>
      <c r="AF106" s="201">
        <f t="shared" si="95"/>
        <v>293073.94447866711</v>
      </c>
      <c r="AG106" s="201">
        <f t="shared" si="95"/>
        <v>296217.9821072637</v>
      </c>
      <c r="AH106" s="201">
        <f t="shared" si="95"/>
        <v>299481.46529798431</v>
      </c>
      <c r="AI106" s="201">
        <f t="shared" si="95"/>
        <v>302866.04966950865</v>
      </c>
      <c r="AJ106" s="201">
        <f t="shared" si="95"/>
        <v>306373.41200833378</v>
      </c>
      <c r="AK106" s="202">
        <f t="shared" si="95"/>
        <v>310005.25052656844</v>
      </c>
    </row>
    <row r="107" spans="1:37" s="17" customFormat="1" ht="38.25" customHeight="1" x14ac:dyDescent="0.25">
      <c r="A107" s="5"/>
      <c r="B107" s="5"/>
      <c r="C107" s="5"/>
      <c r="E107" s="36"/>
      <c r="F107" s="216"/>
      <c r="G107" s="197" t="s">
        <v>271</v>
      </c>
      <c r="H107" s="199">
        <f>H$106+H$95-$C$18</f>
        <v>-17410.734477498656</v>
      </c>
      <c r="I107" s="199">
        <f>I$106+I$95-$C$18</f>
        <v>-3039.2657794961706</v>
      </c>
      <c r="J107" s="199">
        <f>J$106+J$95-$C$18</f>
        <v>11516.347572112107</v>
      </c>
      <c r="K107" s="199">
        <f>K$106+K$95-$C$18</f>
        <v>26258.068153232831</v>
      </c>
      <c r="L107" s="199">
        <f>L$106+L$95-$C$18</f>
        <v>41187.879872266843</v>
      </c>
      <c r="M107" s="199">
        <f>M$106+M$95-$C$18</f>
        <v>56307.788207482256</v>
      </c>
      <c r="N107" s="199">
        <f>N$106+N$95-$C$18</f>
        <v>71619.820447100035</v>
      </c>
      <c r="O107" s="199">
        <f>O$106+O$95-$C$18</f>
        <v>85640.1725463029</v>
      </c>
      <c r="P107" s="199">
        <f>P$106+P$95-$C$18</f>
        <v>99478.07277110836</v>
      </c>
      <c r="Q107" s="199">
        <f>Q$106+Q$95-$C$18</f>
        <v>113465.40385748632</v>
      </c>
      <c r="R107" s="199">
        <f>R$106+R$95-$C$18</f>
        <v>127321.75603422604</v>
      </c>
      <c r="S107" s="199">
        <f>S$106+S$95-$C$18</f>
        <v>141330.73678393773</v>
      </c>
      <c r="T107" s="199">
        <f>T$106+T$95-$C$18</f>
        <v>155493.97103463381</v>
      </c>
      <c r="U107" s="199">
        <f>U$106+U$95-$C$18</f>
        <v>169541.6408376547</v>
      </c>
      <c r="V107" s="199">
        <f>V$106+V$95-$C$18</f>
        <v>183343.10845545633</v>
      </c>
      <c r="W107" s="199">
        <f>W$106+W$95-$C$18</f>
        <v>196886.38679450366</v>
      </c>
      <c r="X107" s="199">
        <f>X$106+X$95-$C$18</f>
        <v>209816.86387538479</v>
      </c>
      <c r="Y107" s="199">
        <f>Y$106+Y$95-$C$18</f>
        <v>222564.03717917856</v>
      </c>
      <c r="Z107" s="199">
        <f>Z$106+Z$95-$C$18</f>
        <v>235512.43487338244</v>
      </c>
      <c r="AA107" s="199">
        <f>AA$106+AA$95-$C$18</f>
        <v>248664.54091253603</v>
      </c>
      <c r="AB107" s="199">
        <f>AB$106+AB$95-$C$18</f>
        <v>262022.86913505889</v>
      </c>
      <c r="AC107" s="199">
        <f>AC$106+AC$95-$C$18</f>
        <v>275529.0130760161</v>
      </c>
      <c r="AD107" s="199">
        <f>AD$106+AD$95-$C$18</f>
        <v>289319.35945608758</v>
      </c>
      <c r="AE107" s="199">
        <f>AE$106+AE$95-$C$18</f>
        <v>303330.72357136267</v>
      </c>
      <c r="AF107" s="199">
        <f>AF$106+AF$95-$C$18</f>
        <v>317565.8490003536</v>
      </c>
      <c r="AG107" s="199">
        <f>AG$106+AG$95-$C$18</f>
        <v>332050.09984274849</v>
      </c>
      <c r="AH107" s="199">
        <f>AH$106+AH$95-$C$18</f>
        <v>346741.82237940538</v>
      </c>
      <c r="AI107" s="199">
        <f>AI$106+AI$95-$C$18</f>
        <v>361643.55249032541</v>
      </c>
      <c r="AJ107" s="199">
        <f>AJ$106+AJ$95-$C$18</f>
        <v>376757.85602594004</v>
      </c>
      <c r="AK107" s="200">
        <f>AK$106+AK$95-$C$18</f>
        <v>392087.32915293227</v>
      </c>
    </row>
    <row r="108" spans="1:37" s="17" customFormat="1" ht="38.25" customHeight="1" x14ac:dyDescent="0.25">
      <c r="A108" s="5"/>
      <c r="B108" s="5"/>
      <c r="C108" s="5"/>
      <c r="E108" s="36"/>
      <c r="F108" s="216"/>
      <c r="G108" s="188" t="s">
        <v>354</v>
      </c>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c r="AE108" s="20"/>
      <c r="AF108" s="20"/>
      <c r="AG108" s="20"/>
      <c r="AH108" s="20"/>
      <c r="AI108" s="20"/>
      <c r="AJ108" s="20"/>
      <c r="AK108" s="20"/>
    </row>
    <row r="109" spans="1:37" s="17" customFormat="1" ht="38.25" customHeight="1" x14ac:dyDescent="0.25">
      <c r="A109" s="5"/>
      <c r="B109" s="5"/>
      <c r="C109" s="5"/>
      <c r="E109" s="36"/>
      <c r="F109" s="216"/>
      <c r="G109" s="189" t="s">
        <v>267</v>
      </c>
      <c r="H109" s="52">
        <f>IF(H$10=1,($C$18*-1)+H94,H94)</f>
        <v>-190183.32460989201</v>
      </c>
      <c r="I109" s="52">
        <f>IF(I$10=1,($C$18*-1)+I94,I94)</f>
        <v>9946.6753901079865</v>
      </c>
      <c r="J109" s="52">
        <f>IF(J$10=1,($C$18*-1)+J94,J94)</f>
        <v>10077.975390107989</v>
      </c>
      <c r="K109" s="52">
        <f>IF(K$10=1,($C$18*-1)+K94,K94)</f>
        <v>10210.588390107983</v>
      </c>
      <c r="L109" s="52">
        <f>IF(L$10=1,($C$18*-1)+L94,L94)</f>
        <v>10344.527520107989</v>
      </c>
      <c r="M109" s="52">
        <f>IF(M$10=1,($C$18*-1)+M94,M94)</f>
        <v>10479.806041407981</v>
      </c>
      <c r="N109" s="52">
        <f>IF(N$10=1,($C$18*-1)+N94,N94)</f>
        <v>10616.437347920984</v>
      </c>
      <c r="O109" s="52">
        <f>IF(O$10=1,($C$18*-1)+O94,O94)</f>
        <v>9268.5815816772119</v>
      </c>
      <c r="P109" s="52">
        <f>IF(P$10=1,($C$18*-1)+P94,P94)</f>
        <v>9029.2624182524596</v>
      </c>
      <c r="Q109" s="52">
        <f>IF(Q$10=1,($C$18*-1)+Q94,Q94)</f>
        <v>9121.125580554115</v>
      </c>
      <c r="R109" s="52">
        <f>IF(R$10=1,($C$18*-1)+R94,R94)</f>
        <v>8931.8697010958349</v>
      </c>
      <c r="S109" s="52">
        <f>IF(S$10=1,($C$18*-1)+S94,S94)</f>
        <v>9025.5030586351295</v>
      </c>
      <c r="T109" s="52">
        <f>IF(T$10=1,($C$18*-1)+T94,T94)</f>
        <v>9120.0340072376675</v>
      </c>
      <c r="U109" s="52">
        <f>IF(U$10=1,($C$18*-1)+U94,U94)</f>
        <v>8944.0104610850503</v>
      </c>
      <c r="V109" s="52">
        <f>IF(V$10=1,($C$18*-1)+V94,V94)</f>
        <v>8636.6033027793674</v>
      </c>
      <c r="W109" s="52">
        <f>IF(W$10=1,($C$18*-1)+W94,W94)</f>
        <v>8316.4537268711647</v>
      </c>
      <c r="X109" s="52">
        <f>IF(X$10=1,($C$18*-1)+X94,X94)</f>
        <v>7983.0787084615913</v>
      </c>
      <c r="Y109" s="52">
        <f>IF(Y$10=1,($C$18*-1)+Y94,Y94)</f>
        <v>7850.5117067333949</v>
      </c>
      <c r="Z109" s="52">
        <f>IF(Z$10=1,($C$18*-1)+Z94,Z94)</f>
        <v>7914.3170295648661</v>
      </c>
      <c r="AA109" s="52">
        <f>IF(AA$10=1,($C$18*-1)+AA94,AA94)</f>
        <v>7978.6888874009319</v>
      </c>
      <c r="AB109" s="52">
        <f>IF(AB$10=1,($C$18*-1)+AB94,AB94)</f>
        <v>8043.631937886712</v>
      </c>
      <c r="AC109" s="52">
        <f>IF(AC$10=1,($C$18*-1)+AC94,AC94)</f>
        <v>8109.1508710450798</v>
      </c>
      <c r="AD109" s="52">
        <f>IF(AD$10=1,($C$18*-1)+AD94,AD94)</f>
        <v>8175.2504094002879</v>
      </c>
      <c r="AE109" s="52">
        <f>IF(AE$10=1,($C$18*-1)+AE94,AE94)</f>
        <v>8241.9353081001482</v>
      </c>
      <c r="AF109" s="52">
        <f>IF(AF$10=1,($C$18*-1)+AF94,AF94)</f>
        <v>8309.2103550365282</v>
      </c>
      <c r="AG109" s="52">
        <f>IF(AG$10=1,($C$18*-1)+AG94,AG94)</f>
        <v>11340.213213798294</v>
      </c>
      <c r="AH109" s="52">
        <f>IF(AH$10=1,($C$18*-1)+AH94,AH94)</f>
        <v>11428.239345936277</v>
      </c>
      <c r="AI109" s="52">
        <f>IF(AI$10=1,($C$18*-1)+AI94,AI94)</f>
        <v>11517.145739395635</v>
      </c>
      <c r="AJ109" s="52">
        <f>IF(AJ$10=1,($C$18*-1)+AJ94,AJ94)</f>
        <v>11606.941196789598</v>
      </c>
      <c r="AK109" s="53">
        <f>IF(AK$10=1,($C$18*-1)+AK94,AK94)</f>
        <v>11697.634608757493</v>
      </c>
    </row>
    <row r="110" spans="1:37" s="17" customFormat="1" ht="38.25" customHeight="1" x14ac:dyDescent="0.25">
      <c r="A110" s="5"/>
      <c r="B110" s="5"/>
      <c r="C110" s="5"/>
      <c r="E110" s="36"/>
      <c r="F110" s="217"/>
      <c r="G110" s="194" t="s">
        <v>266</v>
      </c>
      <c r="H110" s="218" t="str">
        <f>TRI!C91</f>
        <v>N/A</v>
      </c>
      <c r="I110" s="218">
        <f>TRI!D91</f>
        <v>-1.5980716425745056E-2</v>
      </c>
      <c r="J110" s="218">
        <f>TRI!E91</f>
        <v>3.0608941807829693E-2</v>
      </c>
      <c r="K110" s="218">
        <f>TRI!F91</f>
        <v>4.6314553685621762E-2</v>
      </c>
      <c r="L110" s="218">
        <f>TRI!G91</f>
        <v>5.4034557327566013E-2</v>
      </c>
      <c r="M110" s="218">
        <f>TRI!H91</f>
        <v>5.8525306928284282E-2</v>
      </c>
      <c r="N110" s="218">
        <f>TRI!I91</f>
        <v>6.1396957958422593E-2</v>
      </c>
      <c r="O110" s="218">
        <f>TRI!J91</f>
        <v>6.2448852516766573E-2</v>
      </c>
      <c r="P110" s="218">
        <f>TRI!K91</f>
        <v>6.2979956557986938E-2</v>
      </c>
      <c r="Q110" s="218">
        <f>TRI!L91</f>
        <v>6.3318849275320277E-2</v>
      </c>
      <c r="R110" s="218">
        <f>TRI!M91</f>
        <v>6.3420354599065032E-2</v>
      </c>
      <c r="S110" s="218">
        <f>TRI!N91</f>
        <v>6.3449624118852022E-2</v>
      </c>
      <c r="T110" s="218">
        <f>TRI!O91</f>
        <v>6.3426985181477269E-2</v>
      </c>
      <c r="U110" s="218">
        <f>TRI!P91</f>
        <v>6.3297310828446918E-2</v>
      </c>
      <c r="V110" s="218">
        <f>TRI!Q91</f>
        <v>6.3058925288364875E-2</v>
      </c>
      <c r="W110" s="218">
        <f>TRI!R91</f>
        <v>6.2736964117469096E-2</v>
      </c>
      <c r="X110" s="218">
        <f>TRI!S91</f>
        <v>6.2286532427954233E-2</v>
      </c>
      <c r="Y110" s="218">
        <f>TRI!T91</f>
        <v>6.1813172541840489E-2</v>
      </c>
      <c r="Z110" s="218">
        <f>TRI!U91</f>
        <v>6.1383857246916529E-2</v>
      </c>
      <c r="AA110" s="218">
        <f>TRI!V91</f>
        <v>6.0991597212281867E-2</v>
      </c>
      <c r="AB110" s="218">
        <f>TRI!W91</f>
        <v>6.063079210520117E-2</v>
      </c>
      <c r="AC110" s="218">
        <f>TRI!X91</f>
        <v>6.0289677557041399E-2</v>
      </c>
      <c r="AD110" s="218">
        <f>TRI!Y91</f>
        <v>5.9980874869914214E-2</v>
      </c>
      <c r="AE110" s="218">
        <f>TRI!Z91</f>
        <v>5.9692685489249886E-2</v>
      </c>
      <c r="AF110" s="218">
        <f>TRI!AA91</f>
        <v>5.94224553628937E-2</v>
      </c>
      <c r="AG110" s="218">
        <f>TRI!AB91</f>
        <v>5.9169919475063892E-2</v>
      </c>
      <c r="AH110" s="218">
        <f>TRI!AC91</f>
        <v>5.8943230282272774E-2</v>
      </c>
      <c r="AI110" s="218">
        <f>TRI!AD91</f>
        <v>5.873891948104637E-2</v>
      </c>
      <c r="AJ110" s="218">
        <f>TRI!AE91</f>
        <v>5.8554054890213258E-2</v>
      </c>
      <c r="AK110" s="219">
        <f>TRI!AF91</f>
        <v>5.838614471295589E-2</v>
      </c>
    </row>
    <row r="111" spans="1:37" s="17" customFormat="1" ht="38.25" customHeight="1" x14ac:dyDescent="0.25">
      <c r="A111" s="5"/>
      <c r="B111" s="5"/>
      <c r="C111" s="5"/>
      <c r="E111" s="36"/>
      <c r="F111" s="48"/>
      <c r="G111" s="27"/>
      <c r="H111" s="20"/>
      <c r="I111" s="37"/>
      <c r="J111" s="37"/>
      <c r="K111" s="37"/>
      <c r="L111" s="37"/>
      <c r="M111" s="37"/>
      <c r="N111" s="37"/>
      <c r="O111" s="37"/>
      <c r="P111" s="37"/>
      <c r="Q111" s="37"/>
      <c r="R111" s="37"/>
      <c r="S111" s="37"/>
      <c r="T111" s="37"/>
      <c r="U111" s="37"/>
      <c r="V111" s="37"/>
      <c r="W111" s="37"/>
      <c r="X111" s="37"/>
      <c r="Y111" s="37"/>
      <c r="Z111" s="37"/>
      <c r="AA111" s="37"/>
      <c r="AB111" s="37"/>
      <c r="AC111" s="37"/>
      <c r="AD111" s="37"/>
      <c r="AE111" s="37"/>
      <c r="AF111" s="37"/>
      <c r="AG111" s="37"/>
      <c r="AH111" s="37"/>
      <c r="AI111" s="37"/>
      <c r="AJ111" s="37"/>
      <c r="AK111" s="37"/>
    </row>
    <row r="112" spans="1:37" s="17" customFormat="1" ht="38.25" customHeight="1" x14ac:dyDescent="0.25">
      <c r="A112" s="5"/>
      <c r="B112" s="5"/>
      <c r="C112" s="5"/>
      <c r="E112" s="36"/>
      <c r="F112" s="157" t="s">
        <v>155</v>
      </c>
      <c r="G112" s="9" t="s">
        <v>90</v>
      </c>
      <c r="H112" s="52">
        <f>H12*0.5</f>
        <v>9750</v>
      </c>
      <c r="I112" s="52">
        <f>I12*0.5</f>
        <v>9847.5</v>
      </c>
      <c r="J112" s="52">
        <f>J12*0.5</f>
        <v>9945.9750000000004</v>
      </c>
      <c r="K112" s="52">
        <f>K12*0.5</f>
        <v>10045.434749999999</v>
      </c>
      <c r="L112" s="52">
        <f>L12*0.5</f>
        <v>10145.889097500001</v>
      </c>
      <c r="M112" s="52">
        <f>M12*0.5</f>
        <v>10247.347988475</v>
      </c>
      <c r="N112" s="52">
        <f>N12*0.5</f>
        <v>10349.821468359751</v>
      </c>
      <c r="O112" s="52">
        <f>O12*0.5</f>
        <v>10453.319683043346</v>
      </c>
      <c r="P112" s="52">
        <f>P12*0.5</f>
        <v>10557.852879873783</v>
      </c>
      <c r="Q112" s="52">
        <f>Q12*0.5</f>
        <v>10663.431408672521</v>
      </c>
      <c r="R112" s="52">
        <f>R12*0.5</f>
        <v>10770.065722759246</v>
      </c>
      <c r="S112" s="52">
        <f>S12*0.5</f>
        <v>10877.766379986837</v>
      </c>
      <c r="T112" s="52">
        <f>T12*0.5</f>
        <v>10986.544043786706</v>
      </c>
      <c r="U112" s="52">
        <f>U12*0.5</f>
        <v>11096.409484224572</v>
      </c>
      <c r="V112" s="52">
        <f>V12*0.5</f>
        <v>11207.37357906682</v>
      </c>
      <c r="W112" s="52">
        <f>W12*0.5</f>
        <v>11319.447314857485</v>
      </c>
      <c r="X112" s="52">
        <f>X12*0.5</f>
        <v>11432.641788006064</v>
      </c>
      <c r="Y112" s="52">
        <f>Y12*0.5</f>
        <v>11546.968205886124</v>
      </c>
      <c r="Z112" s="52">
        <f>Z12*0.5</f>
        <v>11662.437887944987</v>
      </c>
      <c r="AA112" s="52">
        <f>AA12*0.5</f>
        <v>11779.062266824434</v>
      </c>
      <c r="AB112" s="52">
        <f>AB12*0.5</f>
        <v>11896.852889492679</v>
      </c>
      <c r="AC112" s="52">
        <f>AC12*0.5</f>
        <v>12015.821418387604</v>
      </c>
      <c r="AD112" s="52">
        <f>AD12*0.5</f>
        <v>12135.979632571483</v>
      </c>
      <c r="AE112" s="52">
        <f>AE12*0.5</f>
        <v>12257.339428897196</v>
      </c>
      <c r="AF112" s="52">
        <f>AF12*0.5</f>
        <v>12379.91282318617</v>
      </c>
      <c r="AG112" s="52">
        <f>AG12*0.5</f>
        <v>12503.711951418034</v>
      </c>
      <c r="AH112" s="52">
        <f>AH12*0.5</f>
        <v>12628.749070932214</v>
      </c>
      <c r="AI112" s="52">
        <f>AI12*0.5</f>
        <v>12755.036561641531</v>
      </c>
      <c r="AJ112" s="52">
        <f>AJ12*0.5</f>
        <v>12882.586927257948</v>
      </c>
      <c r="AK112" s="53">
        <f>AK12*0.5</f>
        <v>13011.412796530529</v>
      </c>
    </row>
    <row r="113" spans="1:37" s="17" customFormat="1" ht="38.25" customHeight="1" x14ac:dyDescent="0.25">
      <c r="A113" s="5"/>
      <c r="B113" s="5"/>
      <c r="C113" s="5"/>
      <c r="E113" s="36"/>
      <c r="F113" s="158"/>
      <c r="G113" s="9" t="s">
        <v>94</v>
      </c>
      <c r="H113" s="14">
        <f>H112+H38</f>
        <v>44850</v>
      </c>
      <c r="I113" s="14">
        <f>I112+I38</f>
        <v>46176</v>
      </c>
      <c r="J113" s="14">
        <f>J112+J38</f>
        <v>47546.85</v>
      </c>
      <c r="K113" s="14">
        <f>K112+K38</f>
        <v>48964.156800000004</v>
      </c>
      <c r="L113" s="14">
        <f>L112+L38</f>
        <v>50429.586441000007</v>
      </c>
      <c r="M113" s="14">
        <f>M112+M38</f>
        <v>51944.866429559996</v>
      </c>
      <c r="N113" s="14">
        <f>N112+N38</f>
        <v>53511.788047048511</v>
      </c>
      <c r="O113" s="14">
        <f>O112+O38</f>
        <v>55132.208746838813</v>
      </c>
      <c r="P113" s="14">
        <f>P112+P38</f>
        <v>56808.054642839008</v>
      </c>
      <c r="Q113" s="14">
        <f>Q112+Q38</f>
        <v>58541.32309287283</v>
      </c>
      <c r="R113" s="14">
        <f>R112+R38</f>
        <v>60334.085380565535</v>
      </c>
      <c r="S113" s="14">
        <f>S112+S38</f>
        <v>62188.489499530478</v>
      </c>
      <c r="T113" s="14">
        <f>T112+T38</f>
        <v>64106.763043799961</v>
      </c>
      <c r="U113" s="14">
        <f>U112+U38</f>
        <v>66091.216208596859</v>
      </c>
      <c r="V113" s="14">
        <f>V112+V38</f>
        <v>68144.244905703235</v>
      </c>
      <c r="W113" s="14">
        <f>W112+W38</f>
        <v>70268.333997847294</v>
      </c>
      <c r="X113" s="14">
        <f>X112+X38</f>
        <v>72466.06065670203</v>
      </c>
      <c r="Y113" s="14">
        <f>Y112+Y38</f>
        <v>74740.097849268102</v>
      </c>
      <c r="Z113" s="14">
        <f>Z112+Z38</f>
        <v>77093.21795759855</v>
      </c>
      <c r="AA113" s="14">
        <f>AA112+AA38</f>
        <v>79528.296537016518</v>
      </c>
      <c r="AB113" s="14">
        <f>AB112+AB38</f>
        <v>82048.316218177439</v>
      </c>
      <c r="AC113" s="14">
        <f>AC112+AC38</f>
        <v>84656.370758535282</v>
      </c>
      <c r="AD113" s="14">
        <f>AD112+AD38</f>
        <v>87355.669248990031</v>
      </c>
      <c r="AE113" s="14">
        <f>AE112+AE38</f>
        <v>90149.540481717413</v>
      </c>
      <c r="AF113" s="14">
        <f>AF112+AF38</f>
        <v>93041.437485416478</v>
      </c>
      <c r="AG113" s="14">
        <f>AG112+AG38</f>
        <v>96034.942234453774</v>
      </c>
      <c r="AH113" s="14">
        <f>AH112+AH38</f>
        <v>99133.770538635057</v>
      </c>
      <c r="AI113" s="14">
        <f>AI112+AI38</f>
        <v>102341.77712059855</v>
      </c>
      <c r="AJ113" s="14">
        <f>AJ112+AJ38</f>
        <v>105662.96088809569</v>
      </c>
      <c r="AK113" s="19">
        <f>AK112+AK38</f>
        <v>109101.47040870989</v>
      </c>
    </row>
    <row r="114" spans="1:37" s="17" customFormat="1" ht="38.25" customHeight="1" x14ac:dyDescent="0.25">
      <c r="A114" s="5"/>
      <c r="B114" s="5"/>
      <c r="C114" s="5"/>
      <c r="E114" s="36"/>
      <c r="F114" s="158"/>
      <c r="G114" s="9" t="s">
        <v>95</v>
      </c>
      <c r="H114" s="52">
        <f t="shared" ref="H114:AK114" si="96">IF($C$32=0,H113,H113/2)</f>
        <v>22425</v>
      </c>
      <c r="I114" s="52">
        <f t="shared" si="96"/>
        <v>23088</v>
      </c>
      <c r="J114" s="52">
        <f t="shared" si="96"/>
        <v>23773.424999999999</v>
      </c>
      <c r="K114" s="52">
        <f t="shared" si="96"/>
        <v>24482.078400000002</v>
      </c>
      <c r="L114" s="52">
        <f t="shared" si="96"/>
        <v>25214.793220500003</v>
      </c>
      <c r="M114" s="52">
        <f t="shared" si="96"/>
        <v>25972.433214779998</v>
      </c>
      <c r="N114" s="52">
        <f t="shared" si="96"/>
        <v>26755.894023524255</v>
      </c>
      <c r="O114" s="52">
        <f t="shared" si="96"/>
        <v>27566.104373419406</v>
      </c>
      <c r="P114" s="52">
        <f t="shared" si="96"/>
        <v>28404.027321419504</v>
      </c>
      <c r="Q114" s="52">
        <f t="shared" si="96"/>
        <v>29270.661546436415</v>
      </c>
      <c r="R114" s="52">
        <f t="shared" si="96"/>
        <v>30167.042690282768</v>
      </c>
      <c r="S114" s="52">
        <f t="shared" si="96"/>
        <v>31094.244749765239</v>
      </c>
      <c r="T114" s="52">
        <f t="shared" si="96"/>
        <v>32053.381521899981</v>
      </c>
      <c r="U114" s="52">
        <f t="shared" si="96"/>
        <v>33045.60810429843</v>
      </c>
      <c r="V114" s="52">
        <f t="shared" si="96"/>
        <v>34072.122452851618</v>
      </c>
      <c r="W114" s="52">
        <f t="shared" si="96"/>
        <v>35134.166998923647</v>
      </c>
      <c r="X114" s="52">
        <f t="shared" si="96"/>
        <v>36233.030328351015</v>
      </c>
      <c r="Y114" s="52">
        <f t="shared" si="96"/>
        <v>37370.048924634051</v>
      </c>
      <c r="Z114" s="52">
        <f t="shared" si="96"/>
        <v>38546.608978799275</v>
      </c>
      <c r="AA114" s="52">
        <f t="shared" si="96"/>
        <v>39764.148268508259</v>
      </c>
      <c r="AB114" s="52">
        <f t="shared" si="96"/>
        <v>41024.158109088719</v>
      </c>
      <c r="AC114" s="52">
        <f t="shared" si="96"/>
        <v>42328.185379267641</v>
      </c>
      <c r="AD114" s="52">
        <f t="shared" si="96"/>
        <v>43677.834624495015</v>
      </c>
      <c r="AE114" s="52">
        <f t="shared" si="96"/>
        <v>45074.770240858707</v>
      </c>
      <c r="AF114" s="52">
        <f t="shared" si="96"/>
        <v>46520.718742708239</v>
      </c>
      <c r="AG114" s="52">
        <f t="shared" si="96"/>
        <v>48017.471117226887</v>
      </c>
      <c r="AH114" s="52">
        <f t="shared" si="96"/>
        <v>49566.885269317529</v>
      </c>
      <c r="AI114" s="52">
        <f t="shared" si="96"/>
        <v>51170.888560299274</v>
      </c>
      <c r="AJ114" s="52">
        <f t="shared" si="96"/>
        <v>52831.480444047847</v>
      </c>
      <c r="AK114" s="53">
        <f t="shared" si="96"/>
        <v>54550.735204354947</v>
      </c>
    </row>
    <row r="115" spans="1:37" s="17" customFormat="1" ht="38.25" customHeight="1" x14ac:dyDescent="0.25">
      <c r="A115" s="5"/>
      <c r="B115" s="28"/>
      <c r="E115" s="36"/>
      <c r="F115" s="158"/>
      <c r="G115" s="9" t="s">
        <v>96</v>
      </c>
      <c r="H115" s="14">
        <f>IF(H114&lt;10084,0,
IF(AND(H114&gt;10084,H114&lt;=25710),(H114-10084)*0.11,
IF(AND(H114&gt;25710,H114&lt;=73516),(H114-25710)*0.3+1721.06,
IF(AND(H114&gt;73516,H114&lt;=158122),(H114-73516)*0.41+16062.86,
IF(H114&gt;158122,(H114-158122)*0.45+50751.32,
0)))))</f>
        <v>1357.51</v>
      </c>
      <c r="I115" s="14">
        <f t="shared" ref="I115:AK115" si="97">IF(I114&lt;10084,0,
IF(AND(I114&gt;10084,I114&lt;=25710),(I114-10084)*0.11,
IF(AND(I114&gt;25710,I114&lt;=73516),(I114-25710)*0.3+1721.06,
IF(AND(I114&gt;73516,I114&lt;=158122),(I114-73516)*0.41+16062.86,
IF(I114&gt;158122,(I114-158122)*0.45+50751.32,
0)))))</f>
        <v>1430.44</v>
      </c>
      <c r="J115" s="14">
        <f t="shared" si="97"/>
        <v>1505.8367499999999</v>
      </c>
      <c r="K115" s="14">
        <f t="shared" si="97"/>
        <v>1583.7886240000003</v>
      </c>
      <c r="L115" s="14">
        <f t="shared" si="97"/>
        <v>1664.3872542550005</v>
      </c>
      <c r="M115" s="14">
        <f t="shared" si="97"/>
        <v>1799.7899644339993</v>
      </c>
      <c r="N115" s="14">
        <f t="shared" si="97"/>
        <v>2034.8282070572766</v>
      </c>
      <c r="O115" s="14">
        <f t="shared" si="97"/>
        <v>2277.8913120258217</v>
      </c>
      <c r="P115" s="14">
        <f t="shared" si="97"/>
        <v>2529.2681964258509</v>
      </c>
      <c r="Q115" s="14">
        <f t="shared" si="97"/>
        <v>2789.2584639309243</v>
      </c>
      <c r="R115" s="14">
        <f t="shared" si="97"/>
        <v>3058.1728070848303</v>
      </c>
      <c r="S115" s="14">
        <f t="shared" si="97"/>
        <v>3336.3334249295717</v>
      </c>
      <c r="T115" s="14">
        <f t="shared" si="97"/>
        <v>3624.0744565699943</v>
      </c>
      <c r="U115" s="14">
        <f t="shared" si="97"/>
        <v>3921.7424312895287</v>
      </c>
      <c r="V115" s="14">
        <f t="shared" si="97"/>
        <v>4229.6967358554848</v>
      </c>
      <c r="W115" s="14">
        <f t="shared" si="97"/>
        <v>4548.3100996770936</v>
      </c>
      <c r="X115" s="14">
        <f t="shared" si="97"/>
        <v>4877.9690985053039</v>
      </c>
      <c r="Y115" s="14">
        <f t="shared" si="97"/>
        <v>5219.0746773902156</v>
      </c>
      <c r="Z115" s="14">
        <f t="shared" si="97"/>
        <v>5572.0426936397816</v>
      </c>
      <c r="AA115" s="14">
        <f t="shared" si="97"/>
        <v>5937.3044805524769</v>
      </c>
      <c r="AB115" s="14">
        <f t="shared" si="97"/>
        <v>6315.3074327266149</v>
      </c>
      <c r="AC115" s="14">
        <f t="shared" si="97"/>
        <v>6706.5156137802915</v>
      </c>
      <c r="AD115" s="14">
        <f t="shared" si="97"/>
        <v>7111.4103873485037</v>
      </c>
      <c r="AE115" s="14">
        <f t="shared" si="97"/>
        <v>7530.4910722576114</v>
      </c>
      <c r="AF115" s="14">
        <f t="shared" si="97"/>
        <v>7964.2756228124708</v>
      </c>
      <c r="AG115" s="14">
        <f t="shared" si="97"/>
        <v>8413.3013351680656</v>
      </c>
      <c r="AH115" s="14">
        <f t="shared" si="97"/>
        <v>8878.1255807952584</v>
      </c>
      <c r="AI115" s="14">
        <f t="shared" si="97"/>
        <v>9359.3265680897821</v>
      </c>
      <c r="AJ115" s="14">
        <f t="shared" si="97"/>
        <v>9857.5041332143537</v>
      </c>
      <c r="AK115" s="19">
        <f t="shared" si="97"/>
        <v>10373.280561306483</v>
      </c>
    </row>
    <row r="116" spans="1:37" s="17" customFormat="1" ht="38.25" customHeight="1" x14ac:dyDescent="0.25">
      <c r="A116" s="5"/>
      <c r="B116" s="28"/>
      <c r="E116" s="36"/>
      <c r="F116" s="158"/>
      <c r="G116" s="9" t="s">
        <v>97</v>
      </c>
      <c r="H116" s="52">
        <f t="shared" ref="H116:AK116" si="98">IF($C$32=0,H115,H115*2)</f>
        <v>2715.02</v>
      </c>
      <c r="I116" s="52">
        <f t="shared" si="98"/>
        <v>2860.88</v>
      </c>
      <c r="J116" s="52">
        <f t="shared" si="98"/>
        <v>3011.6734999999999</v>
      </c>
      <c r="K116" s="52">
        <f t="shared" si="98"/>
        <v>3167.5772480000005</v>
      </c>
      <c r="L116" s="52">
        <f t="shared" si="98"/>
        <v>3328.7745085100009</v>
      </c>
      <c r="M116" s="52">
        <f t="shared" si="98"/>
        <v>3599.5799288679987</v>
      </c>
      <c r="N116" s="52">
        <f t="shared" si="98"/>
        <v>4069.6564141145532</v>
      </c>
      <c r="O116" s="52">
        <f t="shared" si="98"/>
        <v>4555.7826240516433</v>
      </c>
      <c r="P116" s="52">
        <f t="shared" si="98"/>
        <v>5058.5363928517017</v>
      </c>
      <c r="Q116" s="52">
        <f t="shared" si="98"/>
        <v>5578.5169278618487</v>
      </c>
      <c r="R116" s="52">
        <f t="shared" si="98"/>
        <v>6116.3456141696606</v>
      </c>
      <c r="S116" s="52">
        <f t="shared" si="98"/>
        <v>6672.6668498591434</v>
      </c>
      <c r="T116" s="52">
        <f t="shared" si="98"/>
        <v>7248.1489131399885</v>
      </c>
      <c r="U116" s="52">
        <f t="shared" si="98"/>
        <v>7843.4848625790573</v>
      </c>
      <c r="V116" s="52">
        <f t="shared" si="98"/>
        <v>8459.3934717109696</v>
      </c>
      <c r="W116" s="52">
        <f t="shared" si="98"/>
        <v>9096.6201993541872</v>
      </c>
      <c r="X116" s="52">
        <f t="shared" si="98"/>
        <v>9755.9381970106078</v>
      </c>
      <c r="Y116" s="52">
        <f t="shared" si="98"/>
        <v>10438.149354780431</v>
      </c>
      <c r="Z116" s="52">
        <f t="shared" si="98"/>
        <v>11144.085387279563</v>
      </c>
      <c r="AA116" s="52">
        <f t="shared" si="98"/>
        <v>11874.608961104954</v>
      </c>
      <c r="AB116" s="52">
        <f t="shared" si="98"/>
        <v>12630.61486545323</v>
      </c>
      <c r="AC116" s="52">
        <f t="shared" si="98"/>
        <v>13413.031227560583</v>
      </c>
      <c r="AD116" s="52">
        <f t="shared" si="98"/>
        <v>14222.820774697007</v>
      </c>
      <c r="AE116" s="52">
        <f t="shared" si="98"/>
        <v>15060.982144515223</v>
      </c>
      <c r="AF116" s="52">
        <f t="shared" si="98"/>
        <v>15928.551245624942</v>
      </c>
      <c r="AG116" s="52">
        <f t="shared" si="98"/>
        <v>16826.602670336131</v>
      </c>
      <c r="AH116" s="52">
        <f t="shared" si="98"/>
        <v>17756.251161590517</v>
      </c>
      <c r="AI116" s="52">
        <f t="shared" si="98"/>
        <v>18718.653136179564</v>
      </c>
      <c r="AJ116" s="52">
        <f t="shared" si="98"/>
        <v>19715.008266428707</v>
      </c>
      <c r="AK116" s="53">
        <f t="shared" si="98"/>
        <v>20746.561122612966</v>
      </c>
    </row>
    <row r="117" spans="1:37" s="36" customFormat="1" ht="38.25" customHeight="1" x14ac:dyDescent="0.25">
      <c r="A117" s="38"/>
      <c r="B117" s="22"/>
      <c r="F117" s="158"/>
      <c r="G117" s="9" t="s">
        <v>98</v>
      </c>
      <c r="H117" s="14">
        <f t="shared" ref="H117:AK117" si="99">H113/$C$34</f>
        <v>14950</v>
      </c>
      <c r="I117" s="14">
        <f t="shared" si="99"/>
        <v>15392</v>
      </c>
      <c r="J117" s="14">
        <f t="shared" si="99"/>
        <v>15848.949999999999</v>
      </c>
      <c r="K117" s="14">
        <f t="shared" si="99"/>
        <v>16321.385600000001</v>
      </c>
      <c r="L117" s="14">
        <f t="shared" si="99"/>
        <v>16809.862147000003</v>
      </c>
      <c r="M117" s="14">
        <f t="shared" si="99"/>
        <v>17314.955476519997</v>
      </c>
      <c r="N117" s="14">
        <f t="shared" si="99"/>
        <v>17837.262682349505</v>
      </c>
      <c r="O117" s="14">
        <f t="shared" si="99"/>
        <v>18377.402915612936</v>
      </c>
      <c r="P117" s="14">
        <f t="shared" si="99"/>
        <v>18936.018214279669</v>
      </c>
      <c r="Q117" s="14">
        <f t="shared" si="99"/>
        <v>19513.774364290945</v>
      </c>
      <c r="R117" s="14">
        <f t="shared" si="99"/>
        <v>20111.361793521846</v>
      </c>
      <c r="S117" s="14">
        <f t="shared" si="99"/>
        <v>20729.496499843492</v>
      </c>
      <c r="T117" s="14">
        <f t="shared" si="99"/>
        <v>21368.921014599986</v>
      </c>
      <c r="U117" s="14">
        <f t="shared" si="99"/>
        <v>22030.405402865621</v>
      </c>
      <c r="V117" s="14">
        <f t="shared" si="99"/>
        <v>22714.74830190108</v>
      </c>
      <c r="W117" s="14">
        <f t="shared" si="99"/>
        <v>23422.777999282433</v>
      </c>
      <c r="X117" s="14">
        <f t="shared" si="99"/>
        <v>24155.35355223401</v>
      </c>
      <c r="Y117" s="14">
        <f t="shared" si="99"/>
        <v>24913.365949756033</v>
      </c>
      <c r="Z117" s="14">
        <f t="shared" si="99"/>
        <v>25697.739319199518</v>
      </c>
      <c r="AA117" s="14">
        <f t="shared" si="99"/>
        <v>26509.432179005507</v>
      </c>
      <c r="AB117" s="14">
        <f t="shared" si="99"/>
        <v>27349.438739392481</v>
      </c>
      <c r="AC117" s="14">
        <f t="shared" si="99"/>
        <v>28218.790252845094</v>
      </c>
      <c r="AD117" s="14">
        <f t="shared" si="99"/>
        <v>29118.556416330011</v>
      </c>
      <c r="AE117" s="14">
        <f t="shared" si="99"/>
        <v>30049.846827239136</v>
      </c>
      <c r="AF117" s="14">
        <f t="shared" si="99"/>
        <v>31013.812495138827</v>
      </c>
      <c r="AG117" s="14">
        <f t="shared" si="99"/>
        <v>32011.647411484591</v>
      </c>
      <c r="AH117" s="14">
        <f t="shared" si="99"/>
        <v>33044.590179545019</v>
      </c>
      <c r="AI117" s="14">
        <f t="shared" si="99"/>
        <v>34113.925706866183</v>
      </c>
      <c r="AJ117" s="14">
        <f t="shared" si="99"/>
        <v>35220.986962698567</v>
      </c>
      <c r="AK117" s="19">
        <f t="shared" si="99"/>
        <v>36367.156802903301</v>
      </c>
    </row>
    <row r="118" spans="1:37" s="17" customFormat="1" ht="38.25" customHeight="1" x14ac:dyDescent="0.25">
      <c r="A118" s="5"/>
      <c r="B118" s="28"/>
      <c r="E118" s="36"/>
      <c r="F118" s="158"/>
      <c r="G118" s="9" t="s">
        <v>99</v>
      </c>
      <c r="H118" s="52">
        <f>IF(H117&lt;10084,0,
IF(AND(H117&gt;10084,H117&lt;=25710),(H117-10084)*0.11,
IF(AND(H117&gt;25710,H117&lt;=73516),(H117-25710)*0.3+1721.06,
IF(AND(H117&gt;73516,H117&lt;=158122),(H117-73516)*0.41+16062.86,
IF(H117&gt;158122,(H117-158122)*0.45+50751.32,
0)))))</f>
        <v>535.26</v>
      </c>
      <c r="I118" s="52">
        <f t="shared" ref="I118:AK118" si="100">IF(I117&lt;10084,0,
IF(AND(I117&gt;10084,I117&lt;=25710),(I117-10084)*0.11,
IF(AND(I117&gt;25710,I117&lt;=73516),(I117-25710)*0.3+1721.06,
IF(AND(I117&gt;73516,I117&lt;=158122),(I117-73516)*0.41+16062.86,
IF(I117&gt;158122,(I117-158122)*0.45+50751.32,
0)))))</f>
        <v>583.88</v>
      </c>
      <c r="J118" s="52">
        <f t="shared" si="100"/>
        <v>634.14449999999988</v>
      </c>
      <c r="K118" s="52">
        <f t="shared" si="100"/>
        <v>686.11241600000017</v>
      </c>
      <c r="L118" s="52">
        <f t="shared" si="100"/>
        <v>739.84483617000035</v>
      </c>
      <c r="M118" s="52">
        <f t="shared" si="100"/>
        <v>795.40510241719971</v>
      </c>
      <c r="N118" s="52">
        <f t="shared" si="100"/>
        <v>852.85889505844557</v>
      </c>
      <c r="O118" s="52">
        <f t="shared" si="100"/>
        <v>912.27432071742305</v>
      </c>
      <c r="P118" s="52">
        <f t="shared" si="100"/>
        <v>973.7220035707636</v>
      </c>
      <c r="Q118" s="52">
        <f t="shared" si="100"/>
        <v>1037.2751800720039</v>
      </c>
      <c r="R118" s="52">
        <f t="shared" si="100"/>
        <v>1103.009797287403</v>
      </c>
      <c r="S118" s="52">
        <f t="shared" si="100"/>
        <v>1171.004614982784</v>
      </c>
      <c r="T118" s="52">
        <f t="shared" si="100"/>
        <v>1241.3413116059985</v>
      </c>
      <c r="U118" s="52">
        <f t="shared" si="100"/>
        <v>1314.1045943152183</v>
      </c>
      <c r="V118" s="52">
        <f t="shared" si="100"/>
        <v>1389.3823132091188</v>
      </c>
      <c r="W118" s="52">
        <f t="shared" si="100"/>
        <v>1467.2655799210677</v>
      </c>
      <c r="X118" s="52">
        <f t="shared" si="100"/>
        <v>1547.8488907457411</v>
      </c>
      <c r="Y118" s="52">
        <f t="shared" si="100"/>
        <v>1631.2302544731635</v>
      </c>
      <c r="Z118" s="52">
        <f t="shared" si="100"/>
        <v>1717.5113251119469</v>
      </c>
      <c r="AA118" s="52">
        <f t="shared" si="100"/>
        <v>1960.8896537016522</v>
      </c>
      <c r="AB118" s="52">
        <f t="shared" si="100"/>
        <v>2212.8916218177442</v>
      </c>
      <c r="AC118" s="52">
        <f t="shared" si="100"/>
        <v>2473.6970758535281</v>
      </c>
      <c r="AD118" s="52">
        <f t="shared" si="100"/>
        <v>2743.6269248990034</v>
      </c>
      <c r="AE118" s="52">
        <f t="shared" si="100"/>
        <v>3023.0140481717408</v>
      </c>
      <c r="AF118" s="52">
        <f t="shared" si="100"/>
        <v>3312.2037485416481</v>
      </c>
      <c r="AG118" s="52">
        <f t="shared" si="100"/>
        <v>3611.5542234453774</v>
      </c>
      <c r="AH118" s="52">
        <f t="shared" si="100"/>
        <v>3921.4370538635058</v>
      </c>
      <c r="AI118" s="52">
        <f t="shared" si="100"/>
        <v>4242.2377120598549</v>
      </c>
      <c r="AJ118" s="52">
        <f t="shared" si="100"/>
        <v>4574.3560888095699</v>
      </c>
      <c r="AK118" s="53">
        <f t="shared" si="100"/>
        <v>4918.2070408709897</v>
      </c>
    </row>
    <row r="119" spans="1:37" s="17" customFormat="1" ht="38.25" customHeight="1" x14ac:dyDescent="0.25">
      <c r="A119" s="5"/>
      <c r="B119" s="28"/>
      <c r="E119" s="36"/>
      <c r="F119" s="158"/>
      <c r="G119" s="9" t="s">
        <v>100</v>
      </c>
      <c r="H119" s="14">
        <f t="shared" ref="H119:AK119" si="101">H118*$C$34</f>
        <v>1605.78</v>
      </c>
      <c r="I119" s="14">
        <f t="shared" si="101"/>
        <v>1751.6399999999999</v>
      </c>
      <c r="J119" s="14">
        <f t="shared" si="101"/>
        <v>1902.4334999999996</v>
      </c>
      <c r="K119" s="14">
        <f t="shared" si="101"/>
        <v>2058.3372480000007</v>
      </c>
      <c r="L119" s="14">
        <f t="shared" si="101"/>
        <v>2219.5345085100012</v>
      </c>
      <c r="M119" s="14">
        <f t="shared" si="101"/>
        <v>2386.2153072515994</v>
      </c>
      <c r="N119" s="14">
        <f t="shared" si="101"/>
        <v>2558.5766851753369</v>
      </c>
      <c r="O119" s="14">
        <f t="shared" si="101"/>
        <v>2736.8229621522692</v>
      </c>
      <c r="P119" s="14">
        <f t="shared" si="101"/>
        <v>2921.1660107122907</v>
      </c>
      <c r="Q119" s="14">
        <f t="shared" si="101"/>
        <v>3111.8255402160116</v>
      </c>
      <c r="R119" s="14">
        <f t="shared" si="101"/>
        <v>3309.0293918622092</v>
      </c>
      <c r="S119" s="14">
        <f t="shared" si="101"/>
        <v>3513.013844948352</v>
      </c>
      <c r="T119" s="14">
        <f t="shared" si="101"/>
        <v>3724.0239348179957</v>
      </c>
      <c r="U119" s="14">
        <f t="shared" si="101"/>
        <v>3942.3137829456546</v>
      </c>
      <c r="V119" s="14">
        <f t="shared" si="101"/>
        <v>4168.1469396273569</v>
      </c>
      <c r="W119" s="14">
        <f t="shared" si="101"/>
        <v>4401.7967397632028</v>
      </c>
      <c r="X119" s="14">
        <f t="shared" si="101"/>
        <v>4643.546672237223</v>
      </c>
      <c r="Y119" s="14">
        <f t="shared" si="101"/>
        <v>4893.6907634194904</v>
      </c>
      <c r="Z119" s="14">
        <f t="shared" si="101"/>
        <v>5152.5339753358403</v>
      </c>
      <c r="AA119" s="14">
        <f t="shared" si="101"/>
        <v>5882.6689611049569</v>
      </c>
      <c r="AB119" s="14">
        <f t="shared" si="101"/>
        <v>6638.674865453233</v>
      </c>
      <c r="AC119" s="14">
        <f t="shared" si="101"/>
        <v>7421.0912275605842</v>
      </c>
      <c r="AD119" s="14">
        <f t="shared" si="101"/>
        <v>8230.8807746970106</v>
      </c>
      <c r="AE119" s="14">
        <f t="shared" si="101"/>
        <v>9069.0421445152224</v>
      </c>
      <c r="AF119" s="14">
        <f t="shared" si="101"/>
        <v>9936.6112456249448</v>
      </c>
      <c r="AG119" s="14">
        <f t="shared" si="101"/>
        <v>10834.662670336133</v>
      </c>
      <c r="AH119" s="14">
        <f t="shared" si="101"/>
        <v>11764.311161590518</v>
      </c>
      <c r="AI119" s="14">
        <f t="shared" si="101"/>
        <v>12726.713136179565</v>
      </c>
      <c r="AJ119" s="14">
        <f t="shared" si="101"/>
        <v>13723.068266428709</v>
      </c>
      <c r="AK119" s="19">
        <f t="shared" si="101"/>
        <v>14754.621122612969</v>
      </c>
    </row>
    <row r="120" spans="1:37" s="17" customFormat="1" ht="38.25" customHeight="1" x14ac:dyDescent="0.25">
      <c r="A120" s="5"/>
      <c r="B120" s="28"/>
      <c r="E120" s="36"/>
      <c r="F120" s="158"/>
      <c r="G120" s="9" t="s">
        <v>101</v>
      </c>
      <c r="H120" s="52">
        <f>IF(H116-H42&gt;H119,H116-H42,H119)</f>
        <v>1605.78</v>
      </c>
      <c r="I120" s="52">
        <f>IF(I116-I42&gt;I119,I116-I42,I119)</f>
        <v>1751.6399999999999</v>
      </c>
      <c r="J120" s="52">
        <f>IF(J116-J42&gt;J119,J116-J42,J119)</f>
        <v>1902.4334999999996</v>
      </c>
      <c r="K120" s="52">
        <f>IF(K116-K42&gt;K119,K116-K42,K119)</f>
        <v>2058.3372480000007</v>
      </c>
      <c r="L120" s="52">
        <f>IF(L116-L42&gt;L119,L116-L42,L119)</f>
        <v>2219.5345085100012</v>
      </c>
      <c r="M120" s="52">
        <f>IF(M116-M42&gt;M119,M116-M42,M119)</f>
        <v>2386.2153072515994</v>
      </c>
      <c r="N120" s="52">
        <f>IF(N116-N42&gt;N119,N116-N42,N119)</f>
        <v>2558.5766851753369</v>
      </c>
      <c r="O120" s="52">
        <f>IF(O116-O42&gt;O119,O116-O42,O119)</f>
        <v>2736.8229621522692</v>
      </c>
      <c r="P120" s="52">
        <f>IF(P116-P42&gt;P119,P116-P42,P119)</f>
        <v>2921.1660107122907</v>
      </c>
      <c r="Q120" s="52">
        <f>IF(Q116-Q42&gt;Q119,Q116-Q42,Q119)</f>
        <v>3111.8255402160116</v>
      </c>
      <c r="R120" s="52">
        <f>IF(R116-R42&gt;R119,R116-R42,R119)</f>
        <v>3309.0293918622092</v>
      </c>
      <c r="S120" s="52">
        <f>IF(S116-S42&gt;S119,S116-S42,S119)</f>
        <v>3536.6668498591434</v>
      </c>
      <c r="T120" s="52">
        <f>IF(T116-T42&gt;T119,T116-T42,T119)</f>
        <v>4112.1489131399885</v>
      </c>
      <c r="U120" s="52">
        <f>IF(U116-U42&gt;U119,U116-U42,U119)</f>
        <v>4707.4848625790573</v>
      </c>
      <c r="V120" s="52">
        <f>IF(V116-V42&gt;V119,V116-V42,V119)</f>
        <v>5323.3934717109696</v>
      </c>
      <c r="W120" s="52">
        <f>IF(W116-W42&gt;W119,W116-W42,W119)</f>
        <v>5960.6201993541872</v>
      </c>
      <c r="X120" s="52">
        <f>IF(X116-X42&gt;X119,X116-X42,X119)</f>
        <v>6619.9381970106078</v>
      </c>
      <c r="Y120" s="52">
        <f>IF(Y116-Y42&gt;Y119,Y116-Y42,Y119)</f>
        <v>7302.1493547804312</v>
      </c>
      <c r="Z120" s="52">
        <f>IF(Z116-Z42&gt;Z119,Z116-Z42,Z119)</f>
        <v>8008.0853872795633</v>
      </c>
      <c r="AA120" s="52">
        <f>IF(AA116-AA42&gt;AA119,AA116-AA42,AA119)</f>
        <v>8738.6089611049538</v>
      </c>
      <c r="AB120" s="52">
        <f>IF(AB116-AB42&gt;AB119,AB116-AB42,AB119)</f>
        <v>9494.6148654532299</v>
      </c>
      <c r="AC120" s="52">
        <f>IF(AC116-AC42&gt;AC119,AC116-AC42,AC119)</f>
        <v>10277.031227560583</v>
      </c>
      <c r="AD120" s="52">
        <f>IF(AD116-AD42&gt;AD119,AD116-AD42,AD119)</f>
        <v>11086.820774697007</v>
      </c>
      <c r="AE120" s="52">
        <f>IF(AE116-AE42&gt;AE119,AE116-AE42,AE119)</f>
        <v>11924.982144515223</v>
      </c>
      <c r="AF120" s="52">
        <f>IF(AF116-AF42&gt;AF119,AF116-AF42,AF119)</f>
        <v>12792.551245624942</v>
      </c>
      <c r="AG120" s="52">
        <f>IF(AG116-AG42&gt;AG119,AG116-AG42,AG119)</f>
        <v>13690.602670336131</v>
      </c>
      <c r="AH120" s="52">
        <f>IF(AH116-AH42&gt;AH119,AH116-AH42,AH119)</f>
        <v>14620.251161590517</v>
      </c>
      <c r="AI120" s="52">
        <f>IF(AI116-AI42&gt;AI119,AI116-AI42,AI119)</f>
        <v>15582.653136179564</v>
      </c>
      <c r="AJ120" s="52">
        <f>IF(AJ116-AJ42&gt;AJ119,AJ116-AJ42,AJ119)</f>
        <v>16579.008266428707</v>
      </c>
      <c r="AK120" s="53">
        <f>IF(AK116-AK42&gt;AK119,AK116-AK42,AK119)</f>
        <v>17610.561122612966</v>
      </c>
    </row>
    <row r="121" spans="1:37" s="17" customFormat="1" ht="38.25" customHeight="1" x14ac:dyDescent="0.25">
      <c r="A121" s="5"/>
      <c r="B121" s="28"/>
      <c r="E121" s="36"/>
      <c r="F121" s="158"/>
      <c r="G121" s="9" t="s">
        <v>102</v>
      </c>
      <c r="H121" s="14">
        <f>H112*0.172</f>
        <v>1676.9999999999998</v>
      </c>
      <c r="I121" s="14">
        <f t="shared" ref="I121:AK121" si="102">I112*0.172</f>
        <v>1693.7699999999998</v>
      </c>
      <c r="J121" s="14">
        <f t="shared" si="102"/>
        <v>1710.7076999999999</v>
      </c>
      <c r="K121" s="14">
        <f t="shared" si="102"/>
        <v>1727.8147769999996</v>
      </c>
      <c r="L121" s="14">
        <f t="shared" si="102"/>
        <v>1745.0929247700001</v>
      </c>
      <c r="M121" s="14">
        <f t="shared" si="102"/>
        <v>1762.5438540176997</v>
      </c>
      <c r="N121" s="14">
        <f t="shared" si="102"/>
        <v>1780.169292557877</v>
      </c>
      <c r="O121" s="14">
        <f t="shared" si="102"/>
        <v>1797.9709854834555</v>
      </c>
      <c r="P121" s="14">
        <f t="shared" si="102"/>
        <v>1815.9506953382904</v>
      </c>
      <c r="Q121" s="14">
        <f t="shared" si="102"/>
        <v>1834.1102022916734</v>
      </c>
      <c r="R121" s="14">
        <f t="shared" si="102"/>
        <v>1852.4513043145901</v>
      </c>
      <c r="S121" s="14">
        <f t="shared" si="102"/>
        <v>1870.9758173577359</v>
      </c>
      <c r="T121" s="14">
        <f t="shared" si="102"/>
        <v>1889.6855755313131</v>
      </c>
      <c r="U121" s="14">
        <f t="shared" si="102"/>
        <v>1908.5824312866262</v>
      </c>
      <c r="V121" s="14">
        <f t="shared" si="102"/>
        <v>1927.6682555994928</v>
      </c>
      <c r="W121" s="14">
        <f t="shared" si="102"/>
        <v>1946.9449381554873</v>
      </c>
      <c r="X121" s="14">
        <f t="shared" si="102"/>
        <v>1966.4143875370428</v>
      </c>
      <c r="Y121" s="14">
        <f t="shared" si="102"/>
        <v>1986.078531412413</v>
      </c>
      <c r="Z121" s="14">
        <f t="shared" si="102"/>
        <v>2005.9393167265375</v>
      </c>
      <c r="AA121" s="14">
        <f t="shared" si="102"/>
        <v>2025.9987098938025</v>
      </c>
      <c r="AB121" s="14">
        <f t="shared" si="102"/>
        <v>2046.2586969927406</v>
      </c>
      <c r="AC121" s="14">
        <f t="shared" si="102"/>
        <v>2066.7212839626677</v>
      </c>
      <c r="AD121" s="14">
        <f t="shared" si="102"/>
        <v>2087.3884968022949</v>
      </c>
      <c r="AE121" s="14">
        <f t="shared" si="102"/>
        <v>2108.2623817703175</v>
      </c>
      <c r="AF121" s="14">
        <f t="shared" si="102"/>
        <v>2129.3450055880212</v>
      </c>
      <c r="AG121" s="14">
        <f t="shared" si="102"/>
        <v>2150.6384556439016</v>
      </c>
      <c r="AH121" s="14">
        <f t="shared" si="102"/>
        <v>2172.1448402003407</v>
      </c>
      <c r="AI121" s="14">
        <f t="shared" si="102"/>
        <v>2193.866288602343</v>
      </c>
      <c r="AJ121" s="14">
        <f t="shared" si="102"/>
        <v>2215.8049514883669</v>
      </c>
      <c r="AK121" s="19">
        <f t="shared" si="102"/>
        <v>2237.9630010032506</v>
      </c>
    </row>
    <row r="122" spans="1:37" s="17" customFormat="1" ht="38.25" customHeight="1" x14ac:dyDescent="0.25">
      <c r="A122" s="5"/>
      <c r="B122" s="28"/>
      <c r="E122" s="36"/>
      <c r="F122" s="158"/>
      <c r="G122" s="12" t="s">
        <v>91</v>
      </c>
      <c r="H122" s="52">
        <f>H120-H46</f>
        <v>1072.5</v>
      </c>
      <c r="I122" s="52">
        <f>I120-I46</f>
        <v>1083.2249999999999</v>
      </c>
      <c r="J122" s="52">
        <f>J120-J46</f>
        <v>1094.0572499999996</v>
      </c>
      <c r="K122" s="52">
        <f>K120-K46</f>
        <v>1104.9978225000002</v>
      </c>
      <c r="L122" s="52">
        <f>L120-L46</f>
        <v>1116.0478007250006</v>
      </c>
      <c r="M122" s="52">
        <f>M120-M46</f>
        <v>1127.2082787322497</v>
      </c>
      <c r="N122" s="52">
        <f>N120-N46</f>
        <v>1138.4803615195731</v>
      </c>
      <c r="O122" s="52">
        <f>O120-O46</f>
        <v>1149.8651651347677</v>
      </c>
      <c r="P122" s="52">
        <f>P120-P46</f>
        <v>1161.3638167861159</v>
      </c>
      <c r="Q122" s="52">
        <f>Q120-Q46</f>
        <v>1172.9774549539779</v>
      </c>
      <c r="R122" s="52">
        <f>R120-R46</f>
        <v>1184.7072295035168</v>
      </c>
      <c r="S122" s="52">
        <f>S120-S46</f>
        <v>1220.2073067093429</v>
      </c>
      <c r="T122" s="52">
        <f>T120-T46</f>
        <v>1596.6448231385307</v>
      </c>
      <c r="U122" s="52">
        <f>U120-U46</f>
        <v>1985.7761228981058</v>
      </c>
      <c r="V122" s="52">
        <f>V120-V46</f>
        <v>2388.0576257809635</v>
      </c>
      <c r="W122" s="52">
        <f>W120-W46</f>
        <v>2803.9626642253079</v>
      </c>
      <c r="X122" s="52">
        <f>X120-X46</f>
        <v>3233.982121454052</v>
      </c>
      <c r="Y122" s="52">
        <f>Y120-Y46</f>
        <v>3464.0904617658398</v>
      </c>
      <c r="Z122" s="52">
        <f>Z120-Z46</f>
        <v>3498.7313663834948</v>
      </c>
      <c r="AA122" s="52">
        <f>AA120-AA46</f>
        <v>3533.7186800473282</v>
      </c>
      <c r="AB122" s="52">
        <f>AB120-AB46</f>
        <v>3569.0558668478043</v>
      </c>
      <c r="AC122" s="52">
        <f>AC120-AC46</f>
        <v>3604.7464255162813</v>
      </c>
      <c r="AD122" s="52">
        <f>AD120-AD46</f>
        <v>3640.7938897714448</v>
      </c>
      <c r="AE122" s="52">
        <f>AE120-AE46</f>
        <v>3677.2018286691564</v>
      </c>
      <c r="AF122" s="52">
        <f>AF120-AF46</f>
        <v>3713.9738469558506</v>
      </c>
      <c r="AG122" s="52">
        <f>AG120-AG46</f>
        <v>3751.1135854254098</v>
      </c>
      <c r="AH122" s="52">
        <f>AH120-AH46</f>
        <v>3788.6247212796661</v>
      </c>
      <c r="AI122" s="52">
        <f>AI120-AI46</f>
        <v>3826.510968492461</v>
      </c>
      <c r="AJ122" s="52">
        <f>AJ120-AJ46</f>
        <v>3864.7760781773832</v>
      </c>
      <c r="AK122" s="53">
        <f>AK120-AK46</f>
        <v>3903.4238389591555</v>
      </c>
    </row>
    <row r="123" spans="1:37" s="17" customFormat="1" ht="38.25" customHeight="1" x14ac:dyDescent="0.25">
      <c r="A123" s="5"/>
      <c r="B123" s="28"/>
      <c r="E123" s="36"/>
      <c r="F123" s="158"/>
      <c r="G123" s="12" t="s">
        <v>343</v>
      </c>
      <c r="H123" s="135">
        <f>H24*0.25</f>
        <v>500</v>
      </c>
      <c r="I123" s="52">
        <f>I24*0.25</f>
        <v>505</v>
      </c>
      <c r="J123" s="52">
        <f>J24*0.25</f>
        <v>510.05</v>
      </c>
      <c r="K123" s="52">
        <f>K24*0.25</f>
        <v>515.15049999999997</v>
      </c>
      <c r="L123" s="52">
        <f>L24*0.25</f>
        <v>520.30200500000001</v>
      </c>
      <c r="M123" s="52">
        <f>M24*0.25</f>
        <v>525.50502504999997</v>
      </c>
      <c r="N123" s="52">
        <f>N24*0.25</f>
        <v>530.76007530050003</v>
      </c>
      <c r="O123" s="52">
        <f>O24*0.25</f>
        <v>536.0676760535049</v>
      </c>
      <c r="P123" s="52">
        <f>P24*0.25</f>
        <v>541.42835281404007</v>
      </c>
      <c r="Q123" s="52">
        <f>Q24*0.25</f>
        <v>546.84263634218053</v>
      </c>
      <c r="R123" s="52">
        <f>R24*0.25</f>
        <v>552.31106270560235</v>
      </c>
      <c r="S123" s="52">
        <f>S24*0.25</f>
        <v>557.83417333265822</v>
      </c>
      <c r="T123" s="52">
        <f>T24*0.25</f>
        <v>563.41251506598485</v>
      </c>
      <c r="U123" s="52">
        <f>U24*0.25</f>
        <v>569.04664021664473</v>
      </c>
      <c r="V123" s="52">
        <f>V24*0.25</f>
        <v>574.73710661881125</v>
      </c>
      <c r="W123" s="52">
        <f>W24*0.25</f>
        <v>580.48447768499921</v>
      </c>
      <c r="X123" s="52">
        <f>X24*0.25</f>
        <v>586.28932246184934</v>
      </c>
      <c r="Y123" s="52">
        <f>Y24*0.25</f>
        <v>592.15221568646791</v>
      </c>
      <c r="Z123" s="52">
        <f>Z24*0.25</f>
        <v>598.07373784333265</v>
      </c>
      <c r="AA123" s="52">
        <f>AA24*0.25</f>
        <v>604.05447522176576</v>
      </c>
      <c r="AB123" s="52">
        <f>AB24*0.25</f>
        <v>610.09501997398354</v>
      </c>
      <c r="AC123" s="52">
        <f>AC24*0.25</f>
        <v>616.19597017372325</v>
      </c>
      <c r="AD123" s="52">
        <f>AD24*0.25</f>
        <v>622.35792987546063</v>
      </c>
      <c r="AE123" s="52">
        <f>AE24*0.25</f>
        <v>628.58150917421517</v>
      </c>
      <c r="AF123" s="52">
        <f>AF24*0.25</f>
        <v>634.86732426595745</v>
      </c>
      <c r="AG123" s="52">
        <f>AG24*0.25</f>
        <v>641.21599750861708</v>
      </c>
      <c r="AH123" s="52">
        <f>AH24*0.25</f>
        <v>647.62815748370326</v>
      </c>
      <c r="AI123" s="52">
        <f>AI24*0.25</f>
        <v>654.10443905854015</v>
      </c>
      <c r="AJ123" s="52">
        <f>AJ24*0.25</f>
        <v>660.64548344912555</v>
      </c>
      <c r="AK123" s="53">
        <f>AK24*0.25</f>
        <v>667.25193828361682</v>
      </c>
    </row>
    <row r="124" spans="1:37" s="17" customFormat="1" ht="38.25" customHeight="1" x14ac:dyDescent="0.25">
      <c r="A124" s="5"/>
      <c r="B124" s="28"/>
      <c r="E124" s="36"/>
      <c r="F124" s="158"/>
      <c r="G124" s="194" t="s">
        <v>103</v>
      </c>
      <c r="H124" s="201">
        <f>H12-H19-H26-H14-H122-H121-H123</f>
        <v>7567.1753901079828</v>
      </c>
      <c r="I124" s="201">
        <f>I12-I19-I26-I14-I122-I121-I123</f>
        <v>7674.6803901079866</v>
      </c>
      <c r="J124" s="201">
        <f>J12-J19-J26-J14-J122-J121-J123</f>
        <v>7783.2604401079871</v>
      </c>
      <c r="K124" s="201">
        <f>K12-K19-K26-K14-K122-K121-K123</f>
        <v>7892.9262906079839</v>
      </c>
      <c r="L124" s="201">
        <f>L12-L19-L26-L14-L122-L121-L123</f>
        <v>8003.6887996129881</v>
      </c>
      <c r="M124" s="201">
        <f>M12-M19-M26-M14-M122-M121-M123</f>
        <v>8115.5589337080319</v>
      </c>
      <c r="N124" s="201">
        <f>N12-N19-N26-N14-N122-N121-N123</f>
        <v>8228.5477691440356</v>
      </c>
      <c r="O124" s="201">
        <f>O12-O19-O26-O14-O122-O121-O123</f>
        <v>8342.6664929343988</v>
      </c>
      <c r="P124" s="201">
        <f>P12-P19-P26-P14-P122-P121-P123</f>
        <v>8457.9264039626651</v>
      </c>
      <c r="Q124" s="201">
        <f>Q12-Q19-Q26-Q14-Q122-Q121-Q123</f>
        <v>8574.3389141012067</v>
      </c>
      <c r="R124" s="201">
        <f>R12-R19-R26-R14-R122-R121-R123</f>
        <v>8691.9155493411381</v>
      </c>
      <c r="S124" s="201">
        <f>S12-S19-S26-S14-S122-S121-S123</f>
        <v>8787.0149460226821</v>
      </c>
      <c r="T124" s="201">
        <f>T12-T19-T26-T14-T122-T121-T123</f>
        <v>8542.4828982197305</v>
      </c>
      <c r="U124" s="201">
        <f>U12-U19-U26-U14-U122-U121-U123</f>
        <v>8286.5761217726613</v>
      </c>
      <c r="V124" s="201">
        <f>V12-V19-V26-V14-V122-V121-V123</f>
        <v>8018.8513874354339</v>
      </c>
      <c r="W124" s="201">
        <f>W12-W19-W26-W14-W122-W121-W123</f>
        <v>7738.8486852221677</v>
      </c>
      <c r="X124" s="201">
        <f>X12-X19-X26-X14-X122-X121-X123</f>
        <v>7446.0905875868229</v>
      </c>
      <c r="Y124" s="201">
        <f>Y12-Y19-Y26-Y14-Y122-Y121-Y123</f>
        <v>7354.6162204643651</v>
      </c>
      <c r="Z124" s="201">
        <f>Z12-Z19-Z26-Z14-Z122-Z121-Z123</f>
        <v>7459.9956287679352</v>
      </c>
      <c r="AA124" s="201">
        <f>AA12-AA19-AA26-AA14-AA122-AA121-AA123</f>
        <v>7566.4288311545333</v>
      </c>
      <c r="AB124" s="201">
        <f>AB12-AB19-AB26-AB14-AB122-AB121-AB123</f>
        <v>7673.9263655649938</v>
      </c>
      <c r="AC124" s="201">
        <f>AC12-AC19-AC26-AC14-AC122-AC121-AC123</f>
        <v>7782.498875319563</v>
      </c>
      <c r="AD124" s="201">
        <f>AD12-AD19-AD26-AD14-AD122-AD121-AD123</f>
        <v>7892.1571101716827</v>
      </c>
      <c r="AE124" s="201">
        <f>AE12-AE19-AE26-AE14-AE122-AE121-AE123</f>
        <v>8002.9119273723227</v>
      </c>
      <c r="AF124" s="201">
        <f>AF12-AF19-AF26-AF14-AF122-AF121-AF123</f>
        <v>8114.7742927449654</v>
      </c>
      <c r="AG124" s="201">
        <f>AG12-AG19-AG26-AG14-AG122-AG121-AG123</f>
        <v>11211.07989166335</v>
      </c>
      <c r="AH124" s="201">
        <f>AH12-AH19-AH26-AH14-AH122-AH121-AH123</f>
        <v>11325.190690579982</v>
      </c>
      <c r="AI124" s="201">
        <f>AI12-AI19-AI26-AI14-AI122-AI121-AI123</f>
        <v>11440.442597485777</v>
      </c>
      <c r="AJ124" s="201">
        <f>AJ12-AJ19-AJ26-AJ14-AJ122-AJ121-AJ123</f>
        <v>11556.847023460638</v>
      </c>
      <c r="AK124" s="202">
        <f>AK12-AK19-AK26-AK14-AK122-AK121-AK123</f>
        <v>11674.415493695251</v>
      </c>
    </row>
    <row r="125" spans="1:37" s="17" customFormat="1" ht="38.25" customHeight="1" x14ac:dyDescent="0.25">
      <c r="A125" s="5"/>
      <c r="B125" s="28"/>
      <c r="E125" s="36"/>
      <c r="F125" s="158"/>
      <c r="G125" s="194" t="s">
        <v>104</v>
      </c>
      <c r="H125" s="199">
        <f>IF(H10=1,H124,H124+G125)</f>
        <v>7567.1753901079828</v>
      </c>
      <c r="I125" s="199">
        <f>IF(I10=1,I124,I124+H125)</f>
        <v>15241.85578021597</v>
      </c>
      <c r="J125" s="199">
        <f>IF(J10=1,J124,J124+I125)</f>
        <v>23025.116220323958</v>
      </c>
      <c r="K125" s="199">
        <f>IF(K10=1,K124,K124+J125)</f>
        <v>30918.04251093194</v>
      </c>
      <c r="L125" s="199">
        <f>IF(L10=1,L124,L124+K125)</f>
        <v>38921.731310544928</v>
      </c>
      <c r="M125" s="199">
        <f>IF(M10=1,M124,M124+L125)</f>
        <v>47037.290244252959</v>
      </c>
      <c r="N125" s="199">
        <f>IF(N10=1,N124,N124+M125)</f>
        <v>55265.838013396991</v>
      </c>
      <c r="O125" s="199">
        <f>IF(O10=1,O124,O124+N125)</f>
        <v>63608.504506331388</v>
      </c>
      <c r="P125" s="199">
        <f>IF(P10=1,P124,P124+O125)</f>
        <v>72066.430910294061</v>
      </c>
      <c r="Q125" s="199">
        <f>IF(Q10=1,Q124,Q124+P125)</f>
        <v>80640.769824395262</v>
      </c>
      <c r="R125" s="199">
        <f>IF(R10=1,R124,R124+Q125)</f>
        <v>89332.6853737364</v>
      </c>
      <c r="S125" s="199">
        <f>IF(S10=1,S124,S124+R125)</f>
        <v>98119.700319759082</v>
      </c>
      <c r="T125" s="199">
        <f>IF(T10=1,T124,T124+S125)</f>
        <v>106662.18321797882</v>
      </c>
      <c r="U125" s="199">
        <f>IF(U10=1,U124,U124+T125)</f>
        <v>114948.75933975147</v>
      </c>
      <c r="V125" s="199">
        <f>IF(V10=1,V124,V124+U125)</f>
        <v>122967.61072718691</v>
      </c>
      <c r="W125" s="199">
        <f>IF(W10=1,W124,W124+V125)</f>
        <v>130706.45941240908</v>
      </c>
      <c r="X125" s="199">
        <f>IF(X10=1,X124,X124+W125)</f>
        <v>138152.54999999591</v>
      </c>
      <c r="Y125" s="199">
        <f>IF(Y10=1,Y124,Y124+X125)</f>
        <v>145507.16622046029</v>
      </c>
      <c r="Z125" s="199">
        <f>IF(Z10=1,Z124,Z124+Y125)</f>
        <v>152967.16184922823</v>
      </c>
      <c r="AA125" s="199">
        <f>IF(AA10=1,AA124,AA124+Z125)</f>
        <v>160533.59068038277</v>
      </c>
      <c r="AB125" s="199">
        <f>IF(AB10=1,AB124,AB124+AA125)</f>
        <v>168207.51704594775</v>
      </c>
      <c r="AC125" s="199">
        <f>IF(AC10=1,AC124,AC124+AB125)</f>
        <v>175990.0159212673</v>
      </c>
      <c r="AD125" s="199">
        <f>IF(AD10=1,AD124,AD124+AC125)</f>
        <v>183882.17303143899</v>
      </c>
      <c r="AE125" s="199">
        <f>IF(AE10=1,AE124,AE124+AD125)</f>
        <v>191885.08495881132</v>
      </c>
      <c r="AF125" s="199">
        <f>IF(AF10=1,AF124,AF124+AE125)</f>
        <v>199999.85925155628</v>
      </c>
      <c r="AG125" s="199">
        <f>IF(AG10=1,AG124,AG124+AF125)</f>
        <v>211210.93914321961</v>
      </c>
      <c r="AH125" s="199">
        <f>IF(AH10=1,AH124,AH124+AG125)</f>
        <v>222536.12983379958</v>
      </c>
      <c r="AI125" s="199">
        <f>IF(AI10=1,AI124,AI124+AH125)</f>
        <v>233976.57243128537</v>
      </c>
      <c r="AJ125" s="199">
        <f>IF(AJ10=1,AJ124,AJ124+AI125)</f>
        <v>245533.41945474601</v>
      </c>
      <c r="AK125" s="200">
        <f>IF(AK10=1,AK124,AK124+AJ125)</f>
        <v>257207.83494844125</v>
      </c>
    </row>
    <row r="126" spans="1:37" s="17" customFormat="1" ht="38.25" customHeight="1" x14ac:dyDescent="0.25">
      <c r="A126" s="5"/>
      <c r="B126" s="28"/>
      <c r="E126" s="36"/>
      <c r="F126" s="158"/>
      <c r="G126" s="9" t="s">
        <v>332</v>
      </c>
      <c r="H126" s="14">
        <f t="shared" ref="H126:AK126" si="103">IF(H$10&lt;5,$C$13,
IF(AND(H$10&gt;=5,$C$13&gt;$C$12*0.15),$C$13,
IF(AND(H$10&gt;=5,$C$13&lt;=$C$12*0.15),$C$12*0.15)))</f>
        <v>10000</v>
      </c>
      <c r="I126" s="14">
        <f t="shared" si="103"/>
        <v>10000</v>
      </c>
      <c r="J126" s="14">
        <f t="shared" si="103"/>
        <v>10000</v>
      </c>
      <c r="K126" s="14">
        <f t="shared" si="103"/>
        <v>10000</v>
      </c>
      <c r="L126" s="14">
        <f t="shared" si="103"/>
        <v>33000</v>
      </c>
      <c r="M126" s="14">
        <f t="shared" si="103"/>
        <v>33000</v>
      </c>
      <c r="N126" s="14">
        <f t="shared" si="103"/>
        <v>33000</v>
      </c>
      <c r="O126" s="14">
        <f t="shared" si="103"/>
        <v>33000</v>
      </c>
      <c r="P126" s="14">
        <f t="shared" si="103"/>
        <v>33000</v>
      </c>
      <c r="Q126" s="14">
        <f t="shared" si="103"/>
        <v>33000</v>
      </c>
      <c r="R126" s="14">
        <f t="shared" si="103"/>
        <v>33000</v>
      </c>
      <c r="S126" s="14">
        <f t="shared" si="103"/>
        <v>33000</v>
      </c>
      <c r="T126" s="14">
        <f t="shared" si="103"/>
        <v>33000</v>
      </c>
      <c r="U126" s="14">
        <f t="shared" si="103"/>
        <v>33000</v>
      </c>
      <c r="V126" s="14">
        <f t="shared" si="103"/>
        <v>33000</v>
      </c>
      <c r="W126" s="14">
        <f t="shared" si="103"/>
        <v>33000</v>
      </c>
      <c r="X126" s="14">
        <f t="shared" si="103"/>
        <v>33000</v>
      </c>
      <c r="Y126" s="14">
        <f t="shared" si="103"/>
        <v>33000</v>
      </c>
      <c r="Z126" s="14">
        <f t="shared" si="103"/>
        <v>33000</v>
      </c>
      <c r="AA126" s="14">
        <f t="shared" si="103"/>
        <v>33000</v>
      </c>
      <c r="AB126" s="14">
        <f t="shared" si="103"/>
        <v>33000</v>
      </c>
      <c r="AC126" s="14">
        <f t="shared" si="103"/>
        <v>33000</v>
      </c>
      <c r="AD126" s="14">
        <f t="shared" si="103"/>
        <v>33000</v>
      </c>
      <c r="AE126" s="14">
        <f t="shared" si="103"/>
        <v>33000</v>
      </c>
      <c r="AF126" s="14">
        <f t="shared" si="103"/>
        <v>33000</v>
      </c>
      <c r="AG126" s="14">
        <f t="shared" si="103"/>
        <v>33000</v>
      </c>
      <c r="AH126" s="14">
        <f t="shared" si="103"/>
        <v>33000</v>
      </c>
      <c r="AI126" s="14">
        <f t="shared" si="103"/>
        <v>33000</v>
      </c>
      <c r="AJ126" s="14">
        <f t="shared" si="103"/>
        <v>33000</v>
      </c>
      <c r="AK126" s="19">
        <f t="shared" si="103"/>
        <v>33000</v>
      </c>
    </row>
    <row r="127" spans="1:37" s="17" customFormat="1" ht="38.25" customHeight="1" x14ac:dyDescent="0.25">
      <c r="A127" s="5"/>
      <c r="B127" s="28"/>
      <c r="E127" s="36"/>
      <c r="F127" s="158"/>
      <c r="G127" s="9" t="s">
        <v>185</v>
      </c>
      <c r="H127" s="52">
        <f>IF(H$48-($C$12+$C$15*$C$12+H$126)&lt;0,0,
IF(H$48-($C$12+$C$15*$C$12+H$126)&gt;0,H$48-($C$12+$C$15*$C$12+H$126)))</f>
        <v>0</v>
      </c>
      <c r="I127" s="52">
        <f>IF(I$48-($C$12+$C$15*$C$12+I$126)&lt;0,0,
IF(I$48-($C$12+$C$15*$C$12+I$126)&gt;0,I$48-($C$12+$C$15*$C$12+I$126)))</f>
        <v>0</v>
      </c>
      <c r="J127" s="52">
        <f>IF(J$48-($C$12+$C$15*$C$12+J$126)&lt;0,0,
IF(J$48-($C$12+$C$15*$C$12+J$126)&gt;0,J$48-($C$12+$C$15*$C$12+J$126)))</f>
        <v>0</v>
      </c>
      <c r="K127" s="52">
        <f>IF(K$48-($C$12+$C$15*$C$12+K$126)&lt;0,0,
IF(K$48-($C$12+$C$15*$C$12+K$126)&gt;0,K$48-($C$12+$C$15*$C$12+K$126)))</f>
        <v>0</v>
      </c>
      <c r="L127" s="52">
        <f>IF(L$48-($C$12+$C$15*$C$12+L$126)&lt;0,0,
IF(L$48-($C$12+$C$15*$C$12+L$126)&gt;0,L$48-($C$12+$C$15*$C$12+L$126)))</f>
        <v>0</v>
      </c>
      <c r="M127" s="52">
        <f>IF(M$48-($C$12+$C$15*$C$12+M$126)&lt;0,0,
IF(M$48-($C$12+$C$15*$C$12+M$126)&gt;0,M$48-($C$12+$C$15*$C$12+M$126)))</f>
        <v>0</v>
      </c>
      <c r="N127" s="52">
        <f>IF(N$48-($C$12+$C$15*$C$12+N$126)&lt;0,0,
IF(N$48-($C$12+$C$15*$C$12+N$126)&gt;0,N$48-($C$12+$C$15*$C$12+N$126)))</f>
        <v>0</v>
      </c>
      <c r="O127" s="52">
        <f>IF(O$48-($C$12+$C$15*$C$12+O$126)&lt;0,0,
IF(O$48-($C$12+$C$15*$C$12+O$126)&gt;0,O$48-($C$12+$C$15*$C$12+O$126)))</f>
        <v>0</v>
      </c>
      <c r="P127" s="52">
        <f>IF(P$48-($C$12+$C$15*$C$12+P$126)&lt;0,0,
IF(P$48-($C$12+$C$15*$C$12+P$126)&gt;0,P$48-($C$12+$C$15*$C$12+P$126)))</f>
        <v>0</v>
      </c>
      <c r="Q127" s="52">
        <f>IF(Q$48-($C$12+$C$15*$C$12+Q$126)&lt;0,0,
IF(Q$48-($C$12+$C$15*$C$12+Q$126)&gt;0,Q$48-($C$12+$C$15*$C$12+Q$126)))</f>
        <v>0</v>
      </c>
      <c r="R127" s="52">
        <f>IF(R$48-($C$12+$C$15*$C$12+R$126)&lt;0,0,
IF(R$48-($C$12+$C$15*$C$12+R$126)&gt;0,R$48-($C$12+$C$15*$C$12+R$126)))</f>
        <v>0</v>
      </c>
      <c r="S127" s="52">
        <f>IF(S$48-($C$12+$C$15*$C$12+S$126)&lt;0,0,
IF(S$48-($C$12+$C$15*$C$12+S$126)&gt;0,S$48-($C$12+$C$15*$C$12+S$126)))</f>
        <v>0</v>
      </c>
      <c r="T127" s="52">
        <f>IF(T$48-($C$12+$C$15*$C$12+T$126)&lt;0,0,
IF(T$48-($C$12+$C$15*$C$12+T$126)&gt;0,T$48-($C$12+$C$15*$C$12+T$126)))</f>
        <v>0</v>
      </c>
      <c r="U127" s="52">
        <f>IF(U$48-($C$12+$C$15*$C$12+U$126)&lt;0,0,
IF(U$48-($C$12+$C$15*$C$12+U$126)&gt;0,U$48-($C$12+$C$15*$C$12+U$126)))</f>
        <v>0</v>
      </c>
      <c r="V127" s="52">
        <f>IF(V$48-($C$12+$C$15*$C$12+V$126)&lt;0,0,
IF(V$48-($C$12+$C$15*$C$12+V$126)&gt;0,V$48-($C$12+$C$15*$C$12+V$126)))</f>
        <v>0</v>
      </c>
      <c r="W127" s="52">
        <f>IF(W$48-($C$12+$C$15*$C$12+W$126)&lt;0,0,
IF(W$48-($C$12+$C$15*$C$12+W$126)&gt;0,W$48-($C$12+$C$15*$C$12+W$126)))</f>
        <v>0</v>
      </c>
      <c r="X127" s="52">
        <f>IF(X$48-($C$12+$C$15*$C$12+X$126)&lt;0,0,
IF(X$48-($C$12+$C$15*$C$12+X$126)&gt;0,X$48-($C$12+$C$15*$C$12+X$126)))</f>
        <v>1790.0192157752463</v>
      </c>
      <c r="Y127" s="52">
        <f>IF(Y$48-($C$12+$C$15*$C$12+Y$126)&lt;0,0,
IF(Y$48-($C$12+$C$15*$C$12+Y$126)&gt;0,Y$48-($C$12+$C$15*$C$12+Y$126)))</f>
        <v>4513.9194079330191</v>
      </c>
      <c r="Z127" s="52">
        <f>IF(Z$48-($C$12+$C$15*$C$12+Z$126)&lt;0,0,
IF(Z$48-($C$12+$C$15*$C$12+Z$126)&gt;0,Z$48-($C$12+$C$15*$C$12+Z$126)))</f>
        <v>7265.0586020122864</v>
      </c>
      <c r="AA127" s="52">
        <f>IF(AA$48-($C$12+$C$15*$C$12+AA$126)&lt;0,0,
IF(AA$48-($C$12+$C$15*$C$12+AA$126)&gt;0,AA$48-($C$12+$C$15*$C$12+AA$126)))</f>
        <v>10043.70918803243</v>
      </c>
      <c r="AB127" s="52">
        <f>IF(AB$48-($C$12+$C$15*$C$12+AB$126)&lt;0,0,
IF(AB$48-($C$12+$C$15*$C$12+AB$126)&gt;0,AB$48-($C$12+$C$15*$C$12+AB$126)))</f>
        <v>12850.146279912733</v>
      </c>
      <c r="AC127" s="52">
        <f>IF(AC$48-($C$12+$C$15*$C$12+AC$126)&lt;0,0,
IF(AC$48-($C$12+$C$15*$C$12+AC$126)&gt;0,AC$48-($C$12+$C$15*$C$12+AC$126)))</f>
        <v>15684.647742711939</v>
      </c>
      <c r="AD127" s="52">
        <f>IF(AD$48-($C$12+$C$15*$C$12+AD$126)&lt;0,0,
IF(AD$48-($C$12+$C$15*$C$12+AD$126)&gt;0,AD$48-($C$12+$C$15*$C$12+AD$126)))</f>
        <v>18547.494220138993</v>
      </c>
      <c r="AE127" s="52">
        <f>IF(AE$48-($C$12+$C$15*$C$12+AE$126)&lt;0,0,
IF(AE$48-($C$12+$C$15*$C$12+AE$126)&gt;0,AE$48-($C$12+$C$15*$C$12+AE$126)))</f>
        <v>21438.969162340451</v>
      </c>
      <c r="AF127" s="52">
        <f>IF(AF$48-($C$12+$C$15*$C$12+AF$126)&lt;0,0,
IF(AF$48-($C$12+$C$15*$C$12+AF$126)&gt;0,AF$48-($C$12+$C$15*$C$12+AF$126)))</f>
        <v>24359.358853963902</v>
      </c>
      <c r="AG127" s="52">
        <f>IF(AG$48-($C$12+$C$15*$C$12+AG$126)&lt;0,0,
IF(AG$48-($C$12+$C$15*$C$12+AG$126)&gt;0,AG$48-($C$12+$C$15*$C$12+AG$126)))</f>
        <v>27308.952442503534</v>
      </c>
      <c r="AH127" s="52">
        <f>IF(AH$48-($C$12+$C$15*$C$12+AH$126)&lt;0,0,
IF(AH$48-($C$12+$C$15*$C$12+AH$126)&gt;0,AH$48-($C$12+$C$15*$C$12+AH$126)))</f>
        <v>30288.04196692846</v>
      </c>
      <c r="AI127" s="52">
        <f>IF(AI$48-($C$12+$C$15*$C$12+AI$126)&lt;0,0,
IF(AI$48-($C$12+$C$15*$C$12+AI$126)&gt;0,AI$48-($C$12+$C$15*$C$12+AI$126)))</f>
        <v>33296.922386597726</v>
      </c>
      <c r="AJ127" s="52">
        <f>IF(AJ$48-($C$12+$C$15*$C$12+AJ$126)&lt;0,0,
IF(AJ$48-($C$12+$C$15*$C$12+AJ$126)&gt;0,AJ$48-($C$12+$C$15*$C$12+AJ$126)))</f>
        <v>36335.891610463732</v>
      </c>
      <c r="AK127" s="53">
        <f>IF(AK$48-($C$12+$C$15*$C$12+AK$126)&lt;0,0,
IF(AK$48-($C$12+$C$15*$C$12+AK$126)&gt;0,AK$48-($C$12+$C$15*$C$12+AK$126)))</f>
        <v>39405.250526568445</v>
      </c>
    </row>
    <row r="128" spans="1:37" s="17" customFormat="1" ht="38.25" customHeight="1" x14ac:dyDescent="0.25">
      <c r="A128" s="5"/>
      <c r="B128" s="28"/>
      <c r="E128" s="36"/>
      <c r="F128" s="158"/>
      <c r="G128" s="9" t="s">
        <v>105</v>
      </c>
      <c r="H128" s="32">
        <f>IF(H$10&lt;=5,0,IF(AND(H$10&gt;5,H$10&lt;=21),(((H$10-5)*0.06)),IF(H$10&gt;21,1)))</f>
        <v>0</v>
      </c>
      <c r="I128" s="32">
        <f t="shared" ref="I128:AK128" si="104">IF(I$10&lt;=5,0,IF(AND(I$10&gt;5,I$10&lt;=21),(((I$10-5)*0.06)),IF(I$10&gt;21,1)))</f>
        <v>0</v>
      </c>
      <c r="J128" s="32">
        <f t="shared" si="104"/>
        <v>0</v>
      </c>
      <c r="K128" s="32">
        <f t="shared" si="104"/>
        <v>0</v>
      </c>
      <c r="L128" s="32">
        <f t="shared" si="104"/>
        <v>0</v>
      </c>
      <c r="M128" s="32">
        <f t="shared" si="104"/>
        <v>0.06</v>
      </c>
      <c r="N128" s="32">
        <f t="shared" si="104"/>
        <v>0.12</v>
      </c>
      <c r="O128" s="32">
        <f t="shared" si="104"/>
        <v>0.18</v>
      </c>
      <c r="P128" s="32">
        <f t="shared" si="104"/>
        <v>0.24</v>
      </c>
      <c r="Q128" s="32">
        <f t="shared" si="104"/>
        <v>0.3</v>
      </c>
      <c r="R128" s="32">
        <f t="shared" si="104"/>
        <v>0.36</v>
      </c>
      <c r="S128" s="32">
        <f t="shared" si="104"/>
        <v>0.42</v>
      </c>
      <c r="T128" s="32">
        <f t="shared" si="104"/>
        <v>0.48</v>
      </c>
      <c r="U128" s="32">
        <f t="shared" si="104"/>
        <v>0.54</v>
      </c>
      <c r="V128" s="32">
        <f t="shared" si="104"/>
        <v>0.6</v>
      </c>
      <c r="W128" s="32">
        <f t="shared" si="104"/>
        <v>0.65999999999999992</v>
      </c>
      <c r="X128" s="32">
        <f t="shared" si="104"/>
        <v>0.72</v>
      </c>
      <c r="Y128" s="32">
        <f t="shared" si="104"/>
        <v>0.78</v>
      </c>
      <c r="Z128" s="32">
        <f t="shared" si="104"/>
        <v>0.84</v>
      </c>
      <c r="AA128" s="32">
        <f t="shared" si="104"/>
        <v>0.89999999999999991</v>
      </c>
      <c r="AB128" s="32">
        <f t="shared" si="104"/>
        <v>0.96</v>
      </c>
      <c r="AC128" s="32">
        <f t="shared" si="104"/>
        <v>1</v>
      </c>
      <c r="AD128" s="32">
        <f t="shared" si="104"/>
        <v>1</v>
      </c>
      <c r="AE128" s="32">
        <f t="shared" si="104"/>
        <v>1</v>
      </c>
      <c r="AF128" s="32">
        <f t="shared" si="104"/>
        <v>1</v>
      </c>
      <c r="AG128" s="32">
        <f t="shared" si="104"/>
        <v>1</v>
      </c>
      <c r="AH128" s="32">
        <f t="shared" si="104"/>
        <v>1</v>
      </c>
      <c r="AI128" s="32">
        <f t="shared" si="104"/>
        <v>1</v>
      </c>
      <c r="AJ128" s="32">
        <f t="shared" si="104"/>
        <v>1</v>
      </c>
      <c r="AK128" s="33">
        <f t="shared" si="104"/>
        <v>1</v>
      </c>
    </row>
    <row r="129" spans="1:37" s="17" customFormat="1" ht="38.25" customHeight="1" x14ac:dyDescent="0.25">
      <c r="A129" s="5"/>
      <c r="B129" s="28"/>
      <c r="E129" s="36"/>
      <c r="F129" s="158"/>
      <c r="G129" s="9" t="s">
        <v>106</v>
      </c>
      <c r="H129" s="52">
        <f t="shared" ref="H129" si="105">H127*(1-H128)</f>
        <v>0</v>
      </c>
      <c r="I129" s="52">
        <f t="shared" ref="I129:AK129" si="106">I127*(1-I128)</f>
        <v>0</v>
      </c>
      <c r="J129" s="52">
        <f t="shared" si="106"/>
        <v>0</v>
      </c>
      <c r="K129" s="52">
        <f t="shared" si="106"/>
        <v>0</v>
      </c>
      <c r="L129" s="52">
        <f t="shared" si="106"/>
        <v>0</v>
      </c>
      <c r="M129" s="52">
        <f t="shared" si="106"/>
        <v>0</v>
      </c>
      <c r="N129" s="52">
        <f t="shared" si="106"/>
        <v>0</v>
      </c>
      <c r="O129" s="52">
        <f t="shared" si="106"/>
        <v>0</v>
      </c>
      <c r="P129" s="52">
        <f t="shared" si="106"/>
        <v>0</v>
      </c>
      <c r="Q129" s="52">
        <f t="shared" si="106"/>
        <v>0</v>
      </c>
      <c r="R129" s="52">
        <f t="shared" si="106"/>
        <v>0</v>
      </c>
      <c r="S129" s="52">
        <f t="shared" si="106"/>
        <v>0</v>
      </c>
      <c r="T129" s="52">
        <f t="shared" si="106"/>
        <v>0</v>
      </c>
      <c r="U129" s="52">
        <f t="shared" si="106"/>
        <v>0</v>
      </c>
      <c r="V129" s="52">
        <f t="shared" si="106"/>
        <v>0</v>
      </c>
      <c r="W129" s="52">
        <f t="shared" si="106"/>
        <v>0</v>
      </c>
      <c r="X129" s="52">
        <f t="shared" si="106"/>
        <v>501.20538041706902</v>
      </c>
      <c r="Y129" s="52">
        <f t="shared" si="106"/>
        <v>993.06226974526408</v>
      </c>
      <c r="Z129" s="52">
        <f t="shared" si="106"/>
        <v>1162.409376321966</v>
      </c>
      <c r="AA129" s="52">
        <f t="shared" si="106"/>
        <v>1004.3709188032439</v>
      </c>
      <c r="AB129" s="52">
        <f t="shared" si="106"/>
        <v>514.00585119650975</v>
      </c>
      <c r="AC129" s="52">
        <f t="shared" si="106"/>
        <v>0</v>
      </c>
      <c r="AD129" s="52">
        <f t="shared" si="106"/>
        <v>0</v>
      </c>
      <c r="AE129" s="52">
        <f t="shared" si="106"/>
        <v>0</v>
      </c>
      <c r="AF129" s="52">
        <f t="shared" si="106"/>
        <v>0</v>
      </c>
      <c r="AG129" s="52">
        <f t="shared" si="106"/>
        <v>0</v>
      </c>
      <c r="AH129" s="52">
        <f t="shared" si="106"/>
        <v>0</v>
      </c>
      <c r="AI129" s="52">
        <f t="shared" si="106"/>
        <v>0</v>
      </c>
      <c r="AJ129" s="52">
        <f t="shared" si="106"/>
        <v>0</v>
      </c>
      <c r="AK129" s="53">
        <f t="shared" si="106"/>
        <v>0</v>
      </c>
    </row>
    <row r="130" spans="1:37" s="17" customFormat="1" ht="38.25" customHeight="1" x14ac:dyDescent="0.25">
      <c r="A130" s="5"/>
      <c r="B130" s="28"/>
      <c r="E130" s="36"/>
      <c r="F130" s="158"/>
      <c r="G130" s="9" t="s">
        <v>107</v>
      </c>
      <c r="H130" s="14">
        <f t="shared" ref="H130:AK130" si="107">IF(AND($C$32=0,H129&lt;=50000),H129*0.19,
IF(AND($C$32&lt;&gt;0,H129&lt;=100000),H129*0.19,
IF(AND($C$32=0,H129&gt;50000,H129&lt;=100000),H129*0.21,
IF(AND($C$32=0,H129&gt;=100000,H129&lt;=150000),H129*0.22,
IF(AND($C$32=0,H129&gt;=150000,H129&lt;=200000),H129*0.23,
IF(AND($C$32=0,H129&gt;=200000,H129&lt;=250000),H129*0.24,
IF(AND($C$32=0,H129&gt;250000),H129*0.25,
IF(AND($C$32&lt;&gt;0,H129&gt;100000,H129&lt;=200000),H129*0.21,
IF(AND($C$32&lt;&gt;0,H129&gt;=200000,H129&lt;=300000),H129*0.22,
IF(AND($C$32&lt;&gt;0,H129&gt;=300000,H129&lt;=400000),H129*0.23,
IF(AND($C$32&lt;&gt;0,H129&gt;=400000,H129&lt;=500000),H129*0.24,
IF(AND($C$32&lt;&gt;0,H129&gt;500000),H129*0.25))))))))))))</f>
        <v>0</v>
      </c>
      <c r="I130" s="14">
        <f t="shared" si="107"/>
        <v>0</v>
      </c>
      <c r="J130" s="14">
        <f t="shared" si="107"/>
        <v>0</v>
      </c>
      <c r="K130" s="14">
        <f t="shared" si="107"/>
        <v>0</v>
      </c>
      <c r="L130" s="14">
        <f t="shared" si="107"/>
        <v>0</v>
      </c>
      <c r="M130" s="14">
        <f t="shared" si="107"/>
        <v>0</v>
      </c>
      <c r="N130" s="14">
        <f t="shared" si="107"/>
        <v>0</v>
      </c>
      <c r="O130" s="14">
        <f t="shared" si="107"/>
        <v>0</v>
      </c>
      <c r="P130" s="14">
        <f t="shared" si="107"/>
        <v>0</v>
      </c>
      <c r="Q130" s="14">
        <f t="shared" si="107"/>
        <v>0</v>
      </c>
      <c r="R130" s="14">
        <f t="shared" si="107"/>
        <v>0</v>
      </c>
      <c r="S130" s="14">
        <f t="shared" si="107"/>
        <v>0</v>
      </c>
      <c r="T130" s="14">
        <f t="shared" si="107"/>
        <v>0</v>
      </c>
      <c r="U130" s="14">
        <f t="shared" si="107"/>
        <v>0</v>
      </c>
      <c r="V130" s="14">
        <f t="shared" si="107"/>
        <v>0</v>
      </c>
      <c r="W130" s="14">
        <f t="shared" si="107"/>
        <v>0</v>
      </c>
      <c r="X130" s="14">
        <f t="shared" si="107"/>
        <v>95.229022279243111</v>
      </c>
      <c r="Y130" s="14">
        <f t="shared" si="107"/>
        <v>188.68183125160019</v>
      </c>
      <c r="Z130" s="14">
        <f t="shared" si="107"/>
        <v>220.85778150117355</v>
      </c>
      <c r="AA130" s="14">
        <f t="shared" si="107"/>
        <v>190.83047457261634</v>
      </c>
      <c r="AB130" s="14">
        <f t="shared" si="107"/>
        <v>97.661111727336859</v>
      </c>
      <c r="AC130" s="14">
        <f t="shared" si="107"/>
        <v>0</v>
      </c>
      <c r="AD130" s="14">
        <f t="shared" si="107"/>
        <v>0</v>
      </c>
      <c r="AE130" s="14">
        <f t="shared" si="107"/>
        <v>0</v>
      </c>
      <c r="AF130" s="14">
        <f t="shared" si="107"/>
        <v>0</v>
      </c>
      <c r="AG130" s="14">
        <f t="shared" si="107"/>
        <v>0</v>
      </c>
      <c r="AH130" s="14">
        <f t="shared" si="107"/>
        <v>0</v>
      </c>
      <c r="AI130" s="14">
        <f t="shared" si="107"/>
        <v>0</v>
      </c>
      <c r="AJ130" s="14">
        <f t="shared" si="107"/>
        <v>0</v>
      </c>
      <c r="AK130" s="19">
        <f t="shared" si="107"/>
        <v>0</v>
      </c>
    </row>
    <row r="131" spans="1:37" s="17" customFormat="1" ht="38.25" customHeight="1" x14ac:dyDescent="0.25">
      <c r="A131" s="5"/>
      <c r="B131" s="28"/>
      <c r="E131" s="36"/>
      <c r="F131" s="158"/>
      <c r="G131" s="9" t="s">
        <v>108</v>
      </c>
      <c r="H131" s="101">
        <f t="shared" ref="H131:AK131" si="108">IF(H$10&lt;=5,0%,IF(AND(H$10&gt;5,H$10&lt;=21),(((H$10-5)*0.0165)),IF(H$10=22,(0.28),IF(H$10&gt;22,(((H$10-22)*0.09+0.28))))))</f>
        <v>0</v>
      </c>
      <c r="I131" s="101">
        <f t="shared" si="108"/>
        <v>0</v>
      </c>
      <c r="J131" s="101">
        <f t="shared" si="108"/>
        <v>0</v>
      </c>
      <c r="K131" s="101">
        <f t="shared" si="108"/>
        <v>0</v>
      </c>
      <c r="L131" s="101">
        <f t="shared" si="108"/>
        <v>0</v>
      </c>
      <c r="M131" s="101">
        <f t="shared" si="108"/>
        <v>1.6500000000000001E-2</v>
      </c>
      <c r="N131" s="101">
        <f t="shared" si="108"/>
        <v>3.3000000000000002E-2</v>
      </c>
      <c r="O131" s="101">
        <f t="shared" si="108"/>
        <v>4.9500000000000002E-2</v>
      </c>
      <c r="P131" s="101">
        <f t="shared" si="108"/>
        <v>6.6000000000000003E-2</v>
      </c>
      <c r="Q131" s="101">
        <f t="shared" si="108"/>
        <v>8.2500000000000004E-2</v>
      </c>
      <c r="R131" s="101">
        <f t="shared" si="108"/>
        <v>9.9000000000000005E-2</v>
      </c>
      <c r="S131" s="101">
        <f t="shared" si="108"/>
        <v>0.11550000000000001</v>
      </c>
      <c r="T131" s="101">
        <f t="shared" si="108"/>
        <v>0.13200000000000001</v>
      </c>
      <c r="U131" s="101">
        <f t="shared" si="108"/>
        <v>0.14850000000000002</v>
      </c>
      <c r="V131" s="101">
        <f t="shared" si="108"/>
        <v>0.16500000000000001</v>
      </c>
      <c r="W131" s="101">
        <f t="shared" si="108"/>
        <v>0.18149999999999999</v>
      </c>
      <c r="X131" s="101">
        <f t="shared" si="108"/>
        <v>0.19800000000000001</v>
      </c>
      <c r="Y131" s="101">
        <f t="shared" si="108"/>
        <v>0.21450000000000002</v>
      </c>
      <c r="Z131" s="101">
        <f t="shared" si="108"/>
        <v>0.23100000000000001</v>
      </c>
      <c r="AA131" s="101">
        <f t="shared" si="108"/>
        <v>0.2475</v>
      </c>
      <c r="AB131" s="101">
        <f t="shared" si="108"/>
        <v>0.26400000000000001</v>
      </c>
      <c r="AC131" s="101">
        <f t="shared" si="108"/>
        <v>0.28000000000000003</v>
      </c>
      <c r="AD131" s="101">
        <f t="shared" si="108"/>
        <v>0.37</v>
      </c>
      <c r="AE131" s="101">
        <f t="shared" si="108"/>
        <v>0.46</v>
      </c>
      <c r="AF131" s="101">
        <f t="shared" si="108"/>
        <v>0.55000000000000004</v>
      </c>
      <c r="AG131" s="101">
        <f t="shared" si="108"/>
        <v>0.64</v>
      </c>
      <c r="AH131" s="101">
        <f t="shared" si="108"/>
        <v>0.73</v>
      </c>
      <c r="AI131" s="101">
        <f t="shared" si="108"/>
        <v>0.82000000000000006</v>
      </c>
      <c r="AJ131" s="101">
        <f t="shared" si="108"/>
        <v>0.91</v>
      </c>
      <c r="AK131" s="102">
        <f t="shared" si="108"/>
        <v>1</v>
      </c>
    </row>
    <row r="132" spans="1:37" s="17" customFormat="1" ht="38.25" customHeight="1" x14ac:dyDescent="0.25">
      <c r="A132" s="5"/>
      <c r="B132" s="28"/>
      <c r="E132" s="36"/>
      <c r="F132" s="158"/>
      <c r="G132" s="9" t="s">
        <v>109</v>
      </c>
      <c r="H132" s="14">
        <f t="shared" ref="H132" si="109">H127*(1-H131)</f>
        <v>0</v>
      </c>
      <c r="I132" s="14">
        <f t="shared" ref="I132:AK132" si="110">I127*(1-I131)</f>
        <v>0</v>
      </c>
      <c r="J132" s="14">
        <f t="shared" si="110"/>
        <v>0</v>
      </c>
      <c r="K132" s="14">
        <f t="shared" si="110"/>
        <v>0</v>
      </c>
      <c r="L132" s="14">
        <f t="shared" si="110"/>
        <v>0</v>
      </c>
      <c r="M132" s="14">
        <f t="shared" si="110"/>
        <v>0</v>
      </c>
      <c r="N132" s="14">
        <f t="shared" si="110"/>
        <v>0</v>
      </c>
      <c r="O132" s="14">
        <f t="shared" si="110"/>
        <v>0</v>
      </c>
      <c r="P132" s="14">
        <f t="shared" si="110"/>
        <v>0</v>
      </c>
      <c r="Q132" s="14">
        <f t="shared" si="110"/>
        <v>0</v>
      </c>
      <c r="R132" s="14">
        <f t="shared" si="110"/>
        <v>0</v>
      </c>
      <c r="S132" s="14">
        <f t="shared" si="110"/>
        <v>0</v>
      </c>
      <c r="T132" s="14">
        <f t="shared" si="110"/>
        <v>0</v>
      </c>
      <c r="U132" s="14">
        <f t="shared" si="110"/>
        <v>0</v>
      </c>
      <c r="V132" s="14">
        <f t="shared" si="110"/>
        <v>0</v>
      </c>
      <c r="W132" s="14">
        <f t="shared" si="110"/>
        <v>0</v>
      </c>
      <c r="X132" s="14">
        <f t="shared" si="110"/>
        <v>1435.5954110517475</v>
      </c>
      <c r="Y132" s="14">
        <f t="shared" si="110"/>
        <v>3545.6836949313865</v>
      </c>
      <c r="Z132" s="14">
        <f t="shared" si="110"/>
        <v>5586.8300649474486</v>
      </c>
      <c r="AA132" s="14">
        <f t="shared" si="110"/>
        <v>7557.8911639944026</v>
      </c>
      <c r="AB132" s="14">
        <f t="shared" si="110"/>
        <v>9457.7076620157713</v>
      </c>
      <c r="AC132" s="14">
        <f t="shared" si="110"/>
        <v>11292.946374752595</v>
      </c>
      <c r="AD132" s="14">
        <f t="shared" si="110"/>
        <v>11684.921358687565</v>
      </c>
      <c r="AE132" s="14">
        <f t="shared" si="110"/>
        <v>11577.043347663845</v>
      </c>
      <c r="AF132" s="14">
        <f t="shared" si="110"/>
        <v>10961.711484283755</v>
      </c>
      <c r="AG132" s="14">
        <f t="shared" si="110"/>
        <v>9831.2228793012728</v>
      </c>
      <c r="AH132" s="14">
        <f t="shared" si="110"/>
        <v>8177.7713310706849</v>
      </c>
      <c r="AI132" s="14">
        <f t="shared" si="110"/>
        <v>5993.4460295875888</v>
      </c>
      <c r="AJ132" s="14">
        <f t="shared" si="110"/>
        <v>3270.2302449417348</v>
      </c>
      <c r="AK132" s="19">
        <f t="shared" si="110"/>
        <v>0</v>
      </c>
    </row>
    <row r="133" spans="1:37" s="17" customFormat="1" ht="38.25" customHeight="1" x14ac:dyDescent="0.25">
      <c r="A133" s="5"/>
      <c r="B133" s="28"/>
      <c r="E133" s="36"/>
      <c r="F133" s="158"/>
      <c r="G133" s="9" t="s">
        <v>110</v>
      </c>
      <c r="H133" s="52">
        <f t="shared" ref="H133" si="111">H132*0.172</f>
        <v>0</v>
      </c>
      <c r="I133" s="52">
        <f t="shared" ref="I133:AK133" si="112">I132*0.172</f>
        <v>0</v>
      </c>
      <c r="J133" s="52">
        <f t="shared" si="112"/>
        <v>0</v>
      </c>
      <c r="K133" s="52">
        <f t="shared" si="112"/>
        <v>0</v>
      </c>
      <c r="L133" s="52">
        <f t="shared" si="112"/>
        <v>0</v>
      </c>
      <c r="M133" s="52">
        <f t="shared" si="112"/>
        <v>0</v>
      </c>
      <c r="N133" s="52">
        <f t="shared" si="112"/>
        <v>0</v>
      </c>
      <c r="O133" s="52">
        <f t="shared" si="112"/>
        <v>0</v>
      </c>
      <c r="P133" s="52">
        <f t="shared" si="112"/>
        <v>0</v>
      </c>
      <c r="Q133" s="52">
        <f t="shared" si="112"/>
        <v>0</v>
      </c>
      <c r="R133" s="52">
        <f t="shared" si="112"/>
        <v>0</v>
      </c>
      <c r="S133" s="52">
        <f t="shared" si="112"/>
        <v>0</v>
      </c>
      <c r="T133" s="52">
        <f t="shared" si="112"/>
        <v>0</v>
      </c>
      <c r="U133" s="52">
        <f t="shared" si="112"/>
        <v>0</v>
      </c>
      <c r="V133" s="52">
        <f t="shared" si="112"/>
        <v>0</v>
      </c>
      <c r="W133" s="52">
        <f t="shared" si="112"/>
        <v>0</v>
      </c>
      <c r="X133" s="52">
        <f t="shared" si="112"/>
        <v>246.92241070090054</v>
      </c>
      <c r="Y133" s="52">
        <f t="shared" si="112"/>
        <v>609.85759552819843</v>
      </c>
      <c r="Z133" s="52">
        <f t="shared" si="112"/>
        <v>960.93477117096108</v>
      </c>
      <c r="AA133" s="52">
        <f t="shared" si="112"/>
        <v>1299.9572802070372</v>
      </c>
      <c r="AB133" s="52">
        <f t="shared" si="112"/>
        <v>1626.7257178667126</v>
      </c>
      <c r="AC133" s="52">
        <f t="shared" si="112"/>
        <v>1942.3867764574461</v>
      </c>
      <c r="AD133" s="52">
        <f t="shared" si="112"/>
        <v>2009.8064736942611</v>
      </c>
      <c r="AE133" s="52">
        <f t="shared" si="112"/>
        <v>1991.251455798181</v>
      </c>
      <c r="AF133" s="52">
        <f t="shared" si="112"/>
        <v>1885.4143752968057</v>
      </c>
      <c r="AG133" s="52">
        <f t="shared" si="112"/>
        <v>1690.9703352398187</v>
      </c>
      <c r="AH133" s="52">
        <f t="shared" si="112"/>
        <v>1406.5766689441577</v>
      </c>
      <c r="AI133" s="52">
        <f t="shared" si="112"/>
        <v>1030.8727170890652</v>
      </c>
      <c r="AJ133" s="52">
        <f t="shared" si="112"/>
        <v>562.47960212997839</v>
      </c>
      <c r="AK133" s="53">
        <f t="shared" si="112"/>
        <v>0</v>
      </c>
    </row>
    <row r="134" spans="1:37" s="17" customFormat="1" ht="38.25" customHeight="1" x14ac:dyDescent="0.25">
      <c r="A134" s="5"/>
      <c r="B134" s="28"/>
      <c r="E134" s="36"/>
      <c r="F134" s="158"/>
      <c r="G134" s="9" t="s">
        <v>111</v>
      </c>
      <c r="H134" s="14">
        <f t="shared" ref="H134" si="113">H133+H130</f>
        <v>0</v>
      </c>
      <c r="I134" s="14">
        <f t="shared" ref="I134:AK134" si="114">I133+I130</f>
        <v>0</v>
      </c>
      <c r="J134" s="14">
        <f t="shared" si="114"/>
        <v>0</v>
      </c>
      <c r="K134" s="14">
        <f t="shared" si="114"/>
        <v>0</v>
      </c>
      <c r="L134" s="14">
        <f t="shared" si="114"/>
        <v>0</v>
      </c>
      <c r="M134" s="14">
        <f t="shared" si="114"/>
        <v>0</v>
      </c>
      <c r="N134" s="14">
        <f t="shared" si="114"/>
        <v>0</v>
      </c>
      <c r="O134" s="14">
        <f t="shared" si="114"/>
        <v>0</v>
      </c>
      <c r="P134" s="14">
        <f t="shared" si="114"/>
        <v>0</v>
      </c>
      <c r="Q134" s="14">
        <f t="shared" si="114"/>
        <v>0</v>
      </c>
      <c r="R134" s="14">
        <f t="shared" si="114"/>
        <v>0</v>
      </c>
      <c r="S134" s="14">
        <f t="shared" si="114"/>
        <v>0</v>
      </c>
      <c r="T134" s="14">
        <f t="shared" si="114"/>
        <v>0</v>
      </c>
      <c r="U134" s="14">
        <f t="shared" si="114"/>
        <v>0</v>
      </c>
      <c r="V134" s="14">
        <f t="shared" si="114"/>
        <v>0</v>
      </c>
      <c r="W134" s="14">
        <f t="shared" si="114"/>
        <v>0</v>
      </c>
      <c r="X134" s="14">
        <f t="shared" si="114"/>
        <v>342.15143298014368</v>
      </c>
      <c r="Y134" s="14">
        <f t="shared" si="114"/>
        <v>798.53942677979865</v>
      </c>
      <c r="Z134" s="14">
        <f t="shared" si="114"/>
        <v>1181.7925526721347</v>
      </c>
      <c r="AA134" s="14">
        <f t="shared" si="114"/>
        <v>1490.7877547796536</v>
      </c>
      <c r="AB134" s="14">
        <f t="shared" si="114"/>
        <v>1724.3868295940495</v>
      </c>
      <c r="AC134" s="14">
        <f t="shared" si="114"/>
        <v>1942.3867764574461</v>
      </c>
      <c r="AD134" s="14">
        <f t="shared" si="114"/>
        <v>2009.8064736942611</v>
      </c>
      <c r="AE134" s="14">
        <f t="shared" si="114"/>
        <v>1991.251455798181</v>
      </c>
      <c r="AF134" s="14">
        <f t="shared" si="114"/>
        <v>1885.4143752968057</v>
      </c>
      <c r="AG134" s="14">
        <f t="shared" si="114"/>
        <v>1690.9703352398187</v>
      </c>
      <c r="AH134" s="14">
        <f t="shared" si="114"/>
        <v>1406.5766689441577</v>
      </c>
      <c r="AI134" s="14">
        <f t="shared" si="114"/>
        <v>1030.8727170890652</v>
      </c>
      <c r="AJ134" s="14">
        <f t="shared" si="114"/>
        <v>562.47960212997839</v>
      </c>
      <c r="AK134" s="19">
        <f t="shared" si="114"/>
        <v>0</v>
      </c>
    </row>
    <row r="135" spans="1:37" s="17" customFormat="1" ht="38.25" customHeight="1" x14ac:dyDescent="0.25">
      <c r="A135" s="5"/>
      <c r="B135" s="28"/>
      <c r="E135" s="36"/>
      <c r="F135" s="158"/>
      <c r="G135" s="9" t="s">
        <v>112</v>
      </c>
      <c r="H135" s="52">
        <f t="shared" ref="H135" si="115">H$48-H134</f>
        <v>232300</v>
      </c>
      <c r="I135" s="52">
        <f t="shared" ref="I135:AK135" si="116">I$48-I134</f>
        <v>234623</v>
      </c>
      <c r="J135" s="52">
        <f t="shared" si="116"/>
        <v>236969.22999999998</v>
      </c>
      <c r="K135" s="52">
        <f t="shared" si="116"/>
        <v>239338.92230000001</v>
      </c>
      <c r="L135" s="52">
        <f t="shared" si="116"/>
        <v>241732.31152299998</v>
      </c>
      <c r="M135" s="52">
        <f t="shared" si="116"/>
        <v>244149.63463823003</v>
      </c>
      <c r="N135" s="52">
        <f t="shared" si="116"/>
        <v>246591.13098461227</v>
      </c>
      <c r="O135" s="52">
        <f t="shared" si="116"/>
        <v>249057.04229445846</v>
      </c>
      <c r="P135" s="52">
        <f t="shared" si="116"/>
        <v>251547.61271740304</v>
      </c>
      <c r="Q135" s="52">
        <f t="shared" si="116"/>
        <v>254063.08884457708</v>
      </c>
      <c r="R135" s="52">
        <f t="shared" si="116"/>
        <v>256603.71973302279</v>
      </c>
      <c r="S135" s="52">
        <f t="shared" si="116"/>
        <v>259169.75693035306</v>
      </c>
      <c r="T135" s="52">
        <f t="shared" si="116"/>
        <v>261761.4544996566</v>
      </c>
      <c r="U135" s="52">
        <f t="shared" si="116"/>
        <v>264379.06904465321</v>
      </c>
      <c r="V135" s="52">
        <f t="shared" si="116"/>
        <v>267022.85973509966</v>
      </c>
      <c r="W135" s="52">
        <f t="shared" si="116"/>
        <v>269693.08833245072</v>
      </c>
      <c r="X135" s="52">
        <f t="shared" si="116"/>
        <v>272047.8677827951</v>
      </c>
      <c r="Y135" s="52">
        <f t="shared" si="116"/>
        <v>274315.37998115324</v>
      </c>
      <c r="Z135" s="52">
        <f t="shared" si="116"/>
        <v>276683.26604934013</v>
      </c>
      <c r="AA135" s="52">
        <f t="shared" si="116"/>
        <v>279152.92143325275</v>
      </c>
      <c r="AB135" s="52">
        <f t="shared" si="116"/>
        <v>281725.7594503187</v>
      </c>
      <c r="AC135" s="52">
        <f t="shared" si="116"/>
        <v>284342.26096625451</v>
      </c>
      <c r="AD135" s="52">
        <f t="shared" si="116"/>
        <v>287137.68774644472</v>
      </c>
      <c r="AE135" s="52">
        <f t="shared" si="116"/>
        <v>290047.71770654229</v>
      </c>
      <c r="AF135" s="52">
        <f t="shared" si="116"/>
        <v>293073.94447866711</v>
      </c>
      <c r="AG135" s="52">
        <f t="shared" si="116"/>
        <v>296217.9821072637</v>
      </c>
      <c r="AH135" s="52">
        <f t="shared" si="116"/>
        <v>299481.46529798431</v>
      </c>
      <c r="AI135" s="52">
        <f t="shared" si="116"/>
        <v>302866.04966950865</v>
      </c>
      <c r="AJ135" s="52">
        <f t="shared" si="116"/>
        <v>306373.41200833378</v>
      </c>
      <c r="AK135" s="53">
        <f t="shared" si="116"/>
        <v>310005.25052656844</v>
      </c>
    </row>
    <row r="136" spans="1:37" s="17" customFormat="1" ht="38.25" customHeight="1" x14ac:dyDescent="0.25">
      <c r="A136" s="5"/>
      <c r="B136" s="28"/>
      <c r="E136" s="36"/>
      <c r="F136" s="158"/>
      <c r="G136" s="222" t="s">
        <v>307</v>
      </c>
      <c r="H136" s="201">
        <f t="shared" ref="H136" si="117">H135-H$16</f>
        <v>172772.59013239335</v>
      </c>
      <c r="I136" s="201">
        <f t="shared" ref="I136:AK136" si="118">I135-I$16</f>
        <v>177197.38344028787</v>
      </c>
      <c r="J136" s="201">
        <f t="shared" si="118"/>
        <v>181675.02140178814</v>
      </c>
      <c r="K136" s="201">
        <f t="shared" si="118"/>
        <v>186206.1535928009</v>
      </c>
      <c r="L136" s="201">
        <f t="shared" si="118"/>
        <v>190791.4377917269</v>
      </c>
      <c r="M136" s="201">
        <f t="shared" si="118"/>
        <v>195431.54008553433</v>
      </c>
      <c r="N136" s="201">
        <f t="shared" si="118"/>
        <v>200127.13497723115</v>
      </c>
      <c r="O136" s="201">
        <f t="shared" si="118"/>
        <v>204878.90549475676</v>
      </c>
      <c r="P136" s="201">
        <f t="shared" si="118"/>
        <v>209687.54330130978</v>
      </c>
      <c r="Q136" s="201">
        <f t="shared" si="118"/>
        <v>214553.74880713361</v>
      </c>
      <c r="R136" s="201">
        <f t="shared" si="118"/>
        <v>219478.2312827775</v>
      </c>
      <c r="S136" s="201">
        <f t="shared" si="118"/>
        <v>224461.70897385408</v>
      </c>
      <c r="T136" s="201">
        <f t="shared" si="118"/>
        <v>229504.9092173125</v>
      </c>
      <c r="U136" s="201">
        <f t="shared" si="118"/>
        <v>234608.56855924835</v>
      </c>
      <c r="V136" s="201">
        <f t="shared" si="118"/>
        <v>239773.43287427057</v>
      </c>
      <c r="W136" s="201">
        <f t="shared" si="118"/>
        <v>245000.25748644676</v>
      </c>
      <c r="X136" s="201">
        <f t="shared" si="118"/>
        <v>249947.65585886626</v>
      </c>
      <c r="Y136" s="201">
        <f t="shared" si="118"/>
        <v>254844.31745592662</v>
      </c>
      <c r="Z136" s="201">
        <f t="shared" si="118"/>
        <v>259878.39812056569</v>
      </c>
      <c r="AA136" s="201">
        <f t="shared" si="118"/>
        <v>265051.81527231832</v>
      </c>
      <c r="AB136" s="201">
        <f t="shared" si="118"/>
        <v>270366.51155695447</v>
      </c>
      <c r="AC136" s="201">
        <f t="shared" si="118"/>
        <v>275763.5046268666</v>
      </c>
      <c r="AD136" s="201">
        <f t="shared" si="118"/>
        <v>281378.60059753782</v>
      </c>
      <c r="AE136" s="201">
        <f t="shared" si="118"/>
        <v>287148.02940471272</v>
      </c>
      <c r="AF136" s="201">
        <f t="shared" si="118"/>
        <v>293073.94447866711</v>
      </c>
      <c r="AG136" s="201">
        <f t="shared" si="118"/>
        <v>296217.9821072637</v>
      </c>
      <c r="AH136" s="201">
        <f t="shared" si="118"/>
        <v>299481.46529798431</v>
      </c>
      <c r="AI136" s="201">
        <f t="shared" si="118"/>
        <v>302866.04966950865</v>
      </c>
      <c r="AJ136" s="201">
        <f t="shared" si="118"/>
        <v>306373.41200833378</v>
      </c>
      <c r="AK136" s="202">
        <f t="shared" si="118"/>
        <v>310005.25052656844</v>
      </c>
    </row>
    <row r="137" spans="1:37" s="17" customFormat="1" ht="38.25" customHeight="1" x14ac:dyDescent="0.25">
      <c r="A137" s="5"/>
      <c r="B137" s="28"/>
      <c r="E137" s="36"/>
      <c r="F137" s="158"/>
      <c r="G137" s="222" t="s">
        <v>271</v>
      </c>
      <c r="H137" s="199">
        <f>H$136+H$125-$C$18</f>
        <v>-19660.234477498656</v>
      </c>
      <c r="I137" s="199">
        <f>I$136+I$125-$C$18</f>
        <v>-7560.7607794961659</v>
      </c>
      <c r="J137" s="199">
        <f>J$136+J$125-$C$18</f>
        <v>4700.1376221120881</v>
      </c>
      <c r="K137" s="199">
        <f>K$136+K$125-$C$18</f>
        <v>17124.196103732829</v>
      </c>
      <c r="L137" s="199">
        <f>L$136+L$125-$C$18</f>
        <v>29713.169102271844</v>
      </c>
      <c r="M137" s="199">
        <f>M$136+M$125-$C$18</f>
        <v>42468.830329787277</v>
      </c>
      <c r="N137" s="199">
        <f>N$136+N$125-$C$18</f>
        <v>55392.972990628157</v>
      </c>
      <c r="O137" s="199">
        <f>O$136+O$125-$C$18</f>
        <v>68487.410001088167</v>
      </c>
      <c r="P137" s="199">
        <f>P$136+P$125-$C$18</f>
        <v>81753.974211603869</v>
      </c>
      <c r="Q137" s="199">
        <f>Q$136+Q$125-$C$18</f>
        <v>95194.518631528888</v>
      </c>
      <c r="R137" s="199">
        <f>R$136+R$125-$C$18</f>
        <v>108810.91665651393</v>
      </c>
      <c r="S137" s="199">
        <f>S$136+S$125-$C$18</f>
        <v>122581.40929361316</v>
      </c>
      <c r="T137" s="199">
        <f>T$136+T$125-$C$18</f>
        <v>136167.09243529133</v>
      </c>
      <c r="U137" s="199">
        <f>U$136+U$125-$C$18</f>
        <v>149557.32789899979</v>
      </c>
      <c r="V137" s="199">
        <f>V$136+V$125-$C$18</f>
        <v>162741.0436014575</v>
      </c>
      <c r="W137" s="199">
        <f>W$136+W$125-$C$18</f>
        <v>175706.71689885587</v>
      </c>
      <c r="X137" s="199">
        <f>X$136+X$125-$C$18</f>
        <v>188100.20585886214</v>
      </c>
      <c r="Y137" s="199">
        <f>Y$136+Y$125-$C$18</f>
        <v>200351.48367638688</v>
      </c>
      <c r="Z137" s="199">
        <f>Z$136+Z$125-$C$18</f>
        <v>212845.55996979389</v>
      </c>
      <c r="AA137" s="199">
        <f>AA$136+AA$125-$C$18</f>
        <v>225585.40595270111</v>
      </c>
      <c r="AB137" s="199">
        <f>AB$136+AB$125-$C$18</f>
        <v>238574.0286029022</v>
      </c>
      <c r="AC137" s="199">
        <f>AC$136+AC$125-$C$18</f>
        <v>251753.52054813388</v>
      </c>
      <c r="AD137" s="199">
        <f>AD$136+AD$125-$C$18</f>
        <v>265260.77362897678</v>
      </c>
      <c r="AE137" s="199">
        <f>AE$136+AE$125-$C$18</f>
        <v>279033.11436352402</v>
      </c>
      <c r="AF137" s="199">
        <f>AF$136+AF$125-$C$18</f>
        <v>293073.80373022339</v>
      </c>
      <c r="AG137" s="199">
        <f>AG$136+AG$125-$C$18</f>
        <v>307428.92125048331</v>
      </c>
      <c r="AH137" s="199">
        <f>AH$136+AH$125-$C$18</f>
        <v>322017.59513178386</v>
      </c>
      <c r="AI137" s="199">
        <f>AI$136+AI$125-$C$18</f>
        <v>336842.62210079399</v>
      </c>
      <c r="AJ137" s="199">
        <f>AJ$136+AJ$125-$C$18</f>
        <v>351906.83146307978</v>
      </c>
      <c r="AK137" s="200">
        <f>AK$136+AK$125-$C$18</f>
        <v>367213.08547500963</v>
      </c>
    </row>
    <row r="138" spans="1:37" s="36" customFormat="1" ht="38.25" customHeight="1" x14ac:dyDescent="0.25">
      <c r="A138" s="5"/>
      <c r="B138" s="28"/>
      <c r="C138" s="17"/>
      <c r="D138" s="17"/>
      <c r="F138" s="158"/>
      <c r="G138" s="188" t="s">
        <v>354</v>
      </c>
      <c r="H138" s="30"/>
      <c r="I138" s="30"/>
      <c r="J138" s="30"/>
      <c r="K138" s="30"/>
      <c r="L138" s="30"/>
      <c r="M138" s="30"/>
      <c r="N138" s="30"/>
      <c r="O138" s="30"/>
      <c r="P138" s="30"/>
      <c r="Q138" s="30"/>
      <c r="R138" s="30"/>
      <c r="S138" s="30"/>
      <c r="T138" s="30"/>
      <c r="U138" s="30"/>
      <c r="V138" s="30"/>
      <c r="W138" s="30"/>
      <c r="X138" s="30"/>
      <c r="Y138" s="30"/>
      <c r="Z138" s="30"/>
      <c r="AA138" s="30"/>
      <c r="AB138" s="30"/>
      <c r="AC138" s="30"/>
      <c r="AD138" s="30"/>
      <c r="AE138" s="30"/>
      <c r="AF138" s="30"/>
      <c r="AG138" s="30"/>
      <c r="AH138" s="30"/>
      <c r="AI138" s="30"/>
      <c r="AJ138" s="30"/>
      <c r="AK138" s="31"/>
    </row>
    <row r="139" spans="1:37" s="17" customFormat="1" ht="38.25" customHeight="1" x14ac:dyDescent="0.25">
      <c r="A139" s="5"/>
      <c r="B139" s="28"/>
      <c r="E139" s="36"/>
      <c r="F139" s="158"/>
      <c r="G139" s="9" t="s">
        <v>267</v>
      </c>
      <c r="H139" s="52">
        <f>IF(H$10=1,($C$18*-1)+H124,H124)</f>
        <v>-192432.82460989201</v>
      </c>
      <c r="I139" s="52">
        <f>IF(I$10=1,($C$18*-1)+I124,I124)</f>
        <v>7674.6803901079866</v>
      </c>
      <c r="J139" s="52">
        <f>IF(J$10=1,($C$18*-1)+J124,J124)</f>
        <v>7783.2604401079871</v>
      </c>
      <c r="K139" s="52">
        <f>IF(K$10=1,($C$18*-1)+K124,K124)</f>
        <v>7892.9262906079839</v>
      </c>
      <c r="L139" s="52">
        <f>IF(L$10=1,($C$18*-1)+L124,L124)</f>
        <v>8003.6887996129881</v>
      </c>
      <c r="M139" s="52">
        <f>IF(M$10=1,($C$18*-1)+M124,M124)</f>
        <v>8115.5589337080319</v>
      </c>
      <c r="N139" s="52">
        <f>IF(N$10=1,($C$18*-1)+N124,N124)</f>
        <v>8228.5477691440356</v>
      </c>
      <c r="O139" s="52">
        <f>IF(O$10=1,($C$18*-1)+O124,O124)</f>
        <v>8342.6664929343988</v>
      </c>
      <c r="P139" s="52">
        <f>IF(P$10=1,($C$18*-1)+P124,P124)</f>
        <v>8457.9264039626651</v>
      </c>
      <c r="Q139" s="52">
        <f>IF(Q$10=1,($C$18*-1)+Q124,Q124)</f>
        <v>8574.3389141012067</v>
      </c>
      <c r="R139" s="52">
        <f>IF(R$10=1,($C$18*-1)+R124,R124)</f>
        <v>8691.9155493411381</v>
      </c>
      <c r="S139" s="52">
        <f>IF(S$10=1,($C$18*-1)+S124,S124)</f>
        <v>8787.0149460226821</v>
      </c>
      <c r="T139" s="52">
        <f>IF(T$10=1,($C$18*-1)+T124,T124)</f>
        <v>8542.4828982197305</v>
      </c>
      <c r="U139" s="52">
        <f>IF(U$10=1,($C$18*-1)+U124,U124)</f>
        <v>8286.5761217726613</v>
      </c>
      <c r="V139" s="52">
        <f>IF(V$10=1,($C$18*-1)+V124,V124)</f>
        <v>8018.8513874354339</v>
      </c>
      <c r="W139" s="52">
        <f>IF(W$10=1,($C$18*-1)+W124,W124)</f>
        <v>7738.8486852221677</v>
      </c>
      <c r="X139" s="52">
        <f>IF(X$10=1,($C$18*-1)+X124,X124)</f>
        <v>7446.0905875868229</v>
      </c>
      <c r="Y139" s="52">
        <f>IF(Y$10=1,($C$18*-1)+Y124,Y124)</f>
        <v>7354.6162204643651</v>
      </c>
      <c r="Z139" s="52">
        <f>IF(Z$10=1,($C$18*-1)+Z124,Z124)</f>
        <v>7459.9956287679352</v>
      </c>
      <c r="AA139" s="52">
        <f>IF(AA$10=1,($C$18*-1)+AA124,AA124)</f>
        <v>7566.4288311545333</v>
      </c>
      <c r="AB139" s="52">
        <f>IF(AB$10=1,($C$18*-1)+AB124,AB124)</f>
        <v>7673.9263655649938</v>
      </c>
      <c r="AC139" s="52">
        <f>IF(AC$10=1,($C$18*-1)+AC124,AC124)</f>
        <v>7782.498875319563</v>
      </c>
      <c r="AD139" s="52">
        <f>IF(AD$10=1,($C$18*-1)+AD124,AD124)</f>
        <v>7892.1571101716827</v>
      </c>
      <c r="AE139" s="52">
        <f>IF(AE$10=1,($C$18*-1)+AE124,AE124)</f>
        <v>8002.9119273723227</v>
      </c>
      <c r="AF139" s="52">
        <f>IF(AF$10=1,($C$18*-1)+AF124,AF124)</f>
        <v>8114.7742927449654</v>
      </c>
      <c r="AG139" s="52">
        <f>IF(AG$10=1,($C$18*-1)+AG124,AG124)</f>
        <v>11211.07989166335</v>
      </c>
      <c r="AH139" s="52">
        <f>IF(AH$10=1,($C$18*-1)+AH124,AH124)</f>
        <v>11325.190690579982</v>
      </c>
      <c r="AI139" s="52">
        <f>IF(AI$10=1,($C$18*-1)+AI124,AI124)</f>
        <v>11440.442597485777</v>
      </c>
      <c r="AJ139" s="52">
        <f>IF(AJ$10=1,($C$18*-1)+AJ124,AJ124)</f>
        <v>11556.847023460638</v>
      </c>
      <c r="AK139" s="53">
        <f>IF(AK$10=1,($C$18*-1)+AK124,AK124)</f>
        <v>11674.415493695251</v>
      </c>
    </row>
    <row r="140" spans="1:37" s="17" customFormat="1" ht="38.25" customHeight="1" x14ac:dyDescent="0.25">
      <c r="A140" s="5"/>
      <c r="B140" s="28"/>
      <c r="E140" s="36"/>
      <c r="F140" s="159"/>
      <c r="G140" s="194" t="s">
        <v>266</v>
      </c>
      <c r="H140" s="223" t="str">
        <f>TRI!C130</f>
        <v>N/A</v>
      </c>
      <c r="I140" s="218">
        <f>TRI!D130</f>
        <v>-3.92903902690388E-2</v>
      </c>
      <c r="J140" s="218">
        <f>TRI!E130</f>
        <v>1.2382671318887706E-2</v>
      </c>
      <c r="K140" s="218">
        <f>TRI!F130</f>
        <v>2.9968350588137627E-2</v>
      </c>
      <c r="L140" s="218">
        <f>TRI!G130</f>
        <v>3.8694825352994178E-2</v>
      </c>
      <c r="M140" s="218">
        <f>TRI!H130</f>
        <v>4.3828287639220198E-2</v>
      </c>
      <c r="N140" s="218">
        <f>TRI!I130</f>
        <v>4.7155346045584245E-2</v>
      </c>
      <c r="O140" s="218">
        <f>TRI!J130</f>
        <v>4.9449201928486008E-2</v>
      </c>
      <c r="P140" s="218">
        <f>TRI!K130</f>
        <v>5.1098780165042212E-2</v>
      </c>
      <c r="Q140" s="218">
        <f>TRI!L130</f>
        <v>5.2320959060235372E-2</v>
      </c>
      <c r="R140" s="218">
        <f>TRI!M130</f>
        <v>5.324614724694321E-2</v>
      </c>
      <c r="S140" s="218">
        <f>TRI!N130</f>
        <v>5.3949456204504198E-2</v>
      </c>
      <c r="T140" s="218">
        <f>TRI!O130</f>
        <v>5.4387829144313615E-2</v>
      </c>
      <c r="U140" s="218">
        <f>TRI!P130</f>
        <v>5.4627126548065563E-2</v>
      </c>
      <c r="V140" s="218">
        <f>TRI!Q130</f>
        <v>5.471376029905084E-2</v>
      </c>
      <c r="W140" s="218">
        <f>TRI!R130</f>
        <v>5.4681282551349852E-2</v>
      </c>
      <c r="X140" s="218">
        <f>TRI!S130</f>
        <v>5.4488757713124558E-2</v>
      </c>
      <c r="Y140" s="218">
        <f>TRI!T130</f>
        <v>5.4249840218544509E-2</v>
      </c>
      <c r="Z140" s="218">
        <f>TRI!U130</f>
        <v>5.4037441694006372E-2</v>
      </c>
      <c r="AA140" s="218">
        <f>TRI!V130</f>
        <v>5.3846921325250374E-2</v>
      </c>
      <c r="AB140" s="218">
        <f>TRI!W130</f>
        <v>5.3674580480237877E-2</v>
      </c>
      <c r="AC140" s="218">
        <f>TRI!X130</f>
        <v>5.3509896086697983E-2</v>
      </c>
      <c r="AD140" s="218">
        <f>TRI!Y130</f>
        <v>5.3367491835155434E-2</v>
      </c>
      <c r="AE140" s="218">
        <f>TRI!Z130</f>
        <v>5.3236382131075288E-2</v>
      </c>
      <c r="AF140" s="218">
        <f>TRI!AA130</f>
        <v>5.3114821966137038E-2</v>
      </c>
      <c r="AG140" s="218">
        <f>TRI!AB130</f>
        <v>5.3005243362500343E-2</v>
      </c>
      <c r="AH140" s="218">
        <f>TRI!AC130</f>
        <v>5.291180724015665E-2</v>
      </c>
      <c r="AI140" s="218">
        <f>TRI!AD130</f>
        <v>5.2832063882005897E-2</v>
      </c>
      <c r="AJ140" s="218">
        <f>TRI!AE130</f>
        <v>5.2763953262780605E-2</v>
      </c>
      <c r="AK140" s="219">
        <f>TRI!AF130</f>
        <v>5.2705734849330277E-2</v>
      </c>
    </row>
    <row r="141" spans="1:37" s="36" customFormat="1" ht="38.25" customHeight="1" x14ac:dyDescent="0.25">
      <c r="A141" s="38"/>
      <c r="B141" s="22"/>
      <c r="F141" s="131"/>
      <c r="G141" s="118"/>
      <c r="H141" s="20"/>
      <c r="I141" s="20"/>
      <c r="J141" s="20"/>
      <c r="K141" s="20"/>
      <c r="L141" s="20"/>
      <c r="M141" s="20"/>
      <c r="N141" s="20"/>
      <c r="O141" s="20"/>
      <c r="P141" s="20"/>
      <c r="Q141" s="20"/>
      <c r="R141" s="20"/>
      <c r="S141" s="20"/>
      <c r="T141" s="20"/>
      <c r="U141" s="20"/>
      <c r="V141" s="20"/>
      <c r="W141" s="20"/>
      <c r="X141" s="20"/>
      <c r="Y141" s="20"/>
      <c r="Z141" s="20"/>
      <c r="AA141" s="20"/>
      <c r="AB141" s="20"/>
      <c r="AC141" s="20"/>
      <c r="AD141" s="20"/>
      <c r="AE141" s="20"/>
      <c r="AF141" s="20"/>
      <c r="AG141" s="20"/>
      <c r="AH141" s="20"/>
      <c r="AI141" s="20"/>
      <c r="AJ141" s="20"/>
      <c r="AK141" s="20"/>
    </row>
    <row r="142" spans="1:37" s="17" customFormat="1" ht="38.25" customHeight="1" x14ac:dyDescent="0.25">
      <c r="A142" s="5"/>
      <c r="B142" s="28"/>
      <c r="E142" s="36"/>
      <c r="F142" s="206" t="s">
        <v>368</v>
      </c>
      <c r="G142" s="189" t="s">
        <v>159</v>
      </c>
      <c r="H142" s="52">
        <f>IF(AND(H$10=1,$C$13+H$19+H$26+$C$21+$C$22-H$12&gt;10700),10700,
IF(AND(H$10=1,$C$13+H$19+H$26+$C$21+$C$22-H$12&lt;10700,$C$13+H$19+H$26+$C$21-H$12&gt;0),$C$13+H$19+H$26+$C$21+$C$22-H$12,
0))</f>
        <v>1110.7344774986559</v>
      </c>
      <c r="I142" s="52">
        <f t="shared" ref="I142:AK142" si="119">IF(AND(I$10=1,$C$13+I$19+I$26+$C$21+$C$22-I$12&gt;10700),10700,
IF(AND(I$10=1,$C$13+I$19+I$26+$C$21+$C$22-I$12&lt;10700,$C$13+I$19+I$26+$C$21-I$12&gt;0),$C$13+I$19+I$26+$C$21+$C$22-I$12,
0))</f>
        <v>0</v>
      </c>
      <c r="J142" s="52">
        <f t="shared" si="119"/>
        <v>0</v>
      </c>
      <c r="K142" s="52">
        <f t="shared" si="119"/>
        <v>0</v>
      </c>
      <c r="L142" s="52">
        <f t="shared" si="119"/>
        <v>0</v>
      </c>
      <c r="M142" s="52">
        <f t="shared" si="119"/>
        <v>0</v>
      </c>
      <c r="N142" s="52">
        <f t="shared" si="119"/>
        <v>0</v>
      </c>
      <c r="O142" s="52">
        <f t="shared" si="119"/>
        <v>0</v>
      </c>
      <c r="P142" s="52">
        <f t="shared" si="119"/>
        <v>0</v>
      </c>
      <c r="Q142" s="52">
        <f t="shared" si="119"/>
        <v>0</v>
      </c>
      <c r="R142" s="52">
        <f t="shared" si="119"/>
        <v>0</v>
      </c>
      <c r="S142" s="52">
        <f t="shared" si="119"/>
        <v>0</v>
      </c>
      <c r="T142" s="52">
        <f t="shared" si="119"/>
        <v>0</v>
      </c>
      <c r="U142" s="52">
        <f t="shared" si="119"/>
        <v>0</v>
      </c>
      <c r="V142" s="52">
        <f t="shared" si="119"/>
        <v>0</v>
      </c>
      <c r="W142" s="52">
        <f t="shared" si="119"/>
        <v>0</v>
      </c>
      <c r="X142" s="52">
        <f t="shared" si="119"/>
        <v>0</v>
      </c>
      <c r="Y142" s="52">
        <f t="shared" si="119"/>
        <v>0</v>
      </c>
      <c r="Z142" s="52">
        <f t="shared" si="119"/>
        <v>0</v>
      </c>
      <c r="AA142" s="52">
        <f t="shared" si="119"/>
        <v>0</v>
      </c>
      <c r="AB142" s="52">
        <f t="shared" si="119"/>
        <v>0</v>
      </c>
      <c r="AC142" s="52">
        <f t="shared" si="119"/>
        <v>0</v>
      </c>
      <c r="AD142" s="52">
        <f t="shared" si="119"/>
        <v>0</v>
      </c>
      <c r="AE142" s="52">
        <f t="shared" si="119"/>
        <v>0</v>
      </c>
      <c r="AF142" s="52">
        <f t="shared" si="119"/>
        <v>0</v>
      </c>
      <c r="AG142" s="52">
        <f t="shared" si="119"/>
        <v>0</v>
      </c>
      <c r="AH142" s="52">
        <f t="shared" si="119"/>
        <v>0</v>
      </c>
      <c r="AI142" s="52">
        <f t="shared" si="119"/>
        <v>0</v>
      </c>
      <c r="AJ142" s="52">
        <f t="shared" si="119"/>
        <v>0</v>
      </c>
      <c r="AK142" s="53">
        <f t="shared" si="119"/>
        <v>0</v>
      </c>
    </row>
    <row r="143" spans="1:37" s="17" customFormat="1" ht="38.25" customHeight="1" x14ac:dyDescent="0.25">
      <c r="A143" s="5"/>
      <c r="B143" s="28"/>
      <c r="E143" s="36"/>
      <c r="F143" s="207"/>
      <c r="G143" s="189" t="s">
        <v>158</v>
      </c>
      <c r="H143" s="14">
        <f>IF(H$10=1,$C$13+$C$21+$C$22+H$19+H$26-H$142,H$19+H$26)</f>
        <v>19500</v>
      </c>
      <c r="I143" s="14">
        <f>IF(I$10=1,$C$13+$C$21+$C$22+I$19+I$26-I$142,I$19+I$26)</f>
        <v>6636.5313019975056</v>
      </c>
      <c r="J143" s="14">
        <f>IF(J$10=1,$C$13+$C$21+$C$22+J$19+J$26-J$142,J$19+J$26)</f>
        <v>6662.4666483917226</v>
      </c>
      <c r="K143" s="14">
        <f>IF(K$10=1,$C$13+$C$21+$C$22+K$19+K$26-K$142,K$19+K$26)</f>
        <v>6688.5402188792659</v>
      </c>
      <c r="L143" s="14">
        <f>IF(L$10=1,$C$13+$C$21+$C$22+L$19+L$26-L$142,L$19+L$26)</f>
        <v>6714.751688966001</v>
      </c>
      <c r="M143" s="14">
        <f>IF(M$10=1,$C$13+$C$21+$C$22+M$19+M$26-M$142,M$19+M$26)</f>
        <v>6741.1007068646304</v>
      </c>
      <c r="N143" s="14">
        <f>IF(N$10=1,$C$13+$C$21+$C$22+N$19+N$26-N$142,N$19+N$26)</f>
        <v>6767.5868928829441</v>
      </c>
      <c r="O143" s="14">
        <f>IF(O$10=1,$C$13+$C$21+$C$22+O$19+O$26-O$142,O$19+O$26)</f>
        <v>6794.2098388011227</v>
      </c>
      <c r="P143" s="14">
        <f>IF(P$10=1,$C$13+$C$21+$C$22+P$19+P$26-P$142,P$19+P$26)</f>
        <v>6820.9691072380319</v>
      </c>
      <c r="Q143" s="14">
        <f>IF(Q$10=1,$C$13+$C$21+$C$22+Q$19+Q$26-Q$142,Q$19+Q$26)</f>
        <v>6847.8642310062114</v>
      </c>
      <c r="R143" s="14">
        <f>IF(R$10=1,$C$13+$C$21+$C$22+R$19+R$26-R$142,R$19+R$26)</f>
        <v>6874.8947124554816</v>
      </c>
      <c r="S143" s="14">
        <f>IF(S$10=1,$C$13+$C$21+$C$22+S$19+S$26-S$142,S$19+S$26)</f>
        <v>6902.0600228049107</v>
      </c>
      <c r="T143" s="14">
        <f>IF(T$10=1,$C$13+$C$21+$C$22+T$19+T$26-T$142,T$19+T$26)</f>
        <v>6929.3596014629984</v>
      </c>
      <c r="U143" s="14">
        <f>IF(U$10=1,$C$13+$C$21+$C$22+U$19+U$26-U$142,U$19+U$26)</f>
        <v>6956.792855335847</v>
      </c>
      <c r="V143" s="14">
        <f>IF(V$10=1,$C$13+$C$21+$C$22+V$19+V$26-V$142,V$19+V$26)</f>
        <v>6984.359158123164</v>
      </c>
      <c r="W143" s="14">
        <f>IF(W$10=1,$C$13+$C$21+$C$22+W$19+W$26-W$142,W$19+W$26)</f>
        <v>7012.0578496018879</v>
      </c>
      <c r="X143" s="14">
        <f>IF(X$10=1,$C$13+$C$21+$C$22+X$19+X$26-X$142,X$19+X$26)</f>
        <v>7039.8882348972329</v>
      </c>
      <c r="Y143" s="14">
        <f>IF(Y$10=1,$C$13+$C$21+$C$22+Y$19+Y$26-Y$142,Y$19+Y$26)</f>
        <v>7067.84958374093</v>
      </c>
      <c r="Z143" s="14">
        <f>IF(Z$10=1,$C$13+$C$21+$C$22+Z$19+Z$26-Z$142,Z$19+Z$26)</f>
        <v>7095.9411297165161</v>
      </c>
      <c r="AA143" s="14">
        <f>IF(AA$10=1,$C$13+$C$21+$C$22+AA$19+AA$26-AA$142,AA$19+AA$26)</f>
        <v>7124.1620694914163</v>
      </c>
      <c r="AB143" s="14">
        <f>IF(AB$10=1,$C$13+$C$21+$C$22+AB$19+AB$26-AB$142,AB$19+AB$26)</f>
        <v>7152.511562035611</v>
      </c>
      <c r="AC143" s="14">
        <f>IF(AC$10=1,$C$13+$C$21+$C$22+AC$19+AC$26-AC$142,AC$19+AC$26)</f>
        <v>7180.9887278266815</v>
      </c>
      <c r="AD143" s="14">
        <f>IF(AD$10=1,$C$13+$C$21+$C$22+AD$19+AD$26-AD$142,AD$19+AD$26)</f>
        <v>7209.5926480410408</v>
      </c>
      <c r="AE143" s="14">
        <f>IF(AE$10=1,$C$13+$C$21+$C$22+AE$19+AE$26-AE$142,AE$19+AE$26)</f>
        <v>7238.3223637310666</v>
      </c>
      <c r="AF143" s="14">
        <f>IF(AF$10=1,$C$13+$C$21+$C$22+AF$19+AF$26-AF$142,AF$19+AF$26)</f>
        <v>7267.1768749879957</v>
      </c>
      <c r="AG143" s="14">
        <f>IF(AG$10=1,$C$13+$C$21+$C$22+AG$19+AG$26-AG$142,AG$19+AG$26)</f>
        <v>7253.3759725947875</v>
      </c>
      <c r="AH143" s="14">
        <f>IF(AH$10=1,$C$13+$C$21+$C$22+AH$19+AH$26-AH$142,AH$19+AH$26)</f>
        <v>7323.9097323207361</v>
      </c>
      <c r="AI143" s="14">
        <f>IF(AI$10=1,$C$13+$C$21+$C$22+AI$19+AI$26-AI$142,AI$19+AI$26)</f>
        <v>7395.148829643942</v>
      </c>
      <c r="AJ143" s="14">
        <f>IF(AJ$10=1,$C$13+$C$21+$C$22+AJ$19+AJ$26-AJ$142,AJ$19+AJ$26)</f>
        <v>7467.1003179403815</v>
      </c>
      <c r="AK143" s="19">
        <f>IF(AK$10=1,$C$13+$C$21+$C$22+AK$19+AK$26-AK$142,AK$19+AK$26)</f>
        <v>7539.7713211197843</v>
      </c>
    </row>
    <row r="144" spans="1:37" s="17" customFormat="1" ht="38.25" customHeight="1" x14ac:dyDescent="0.25">
      <c r="A144" s="5"/>
      <c r="B144" s="28"/>
      <c r="E144" s="36"/>
      <c r="F144" s="207"/>
      <c r="G144" s="189" t="s">
        <v>160</v>
      </c>
      <c r="H144" s="52">
        <f>IF(H$10=1,0,IF(G$144+G$143-G$12&gt;0,G$144+G$143-G$12,0))</f>
        <v>0</v>
      </c>
      <c r="I144" s="52">
        <f>IF(I$10=1,0,IF(H$144+H$143-H$12&gt;0,H$144+H$143-H$12,0))</f>
        <v>0</v>
      </c>
      <c r="J144" s="52">
        <f>IF(J$10=1,0,IF(I$144+I$143-I$12&gt;0,I$144+I$143-I$12,0))</f>
        <v>0</v>
      </c>
      <c r="K144" s="52">
        <f>IF(K$10=1,0,IF(J$144+J$143-J$12&gt;0,J$144+J$143-J$12,0))</f>
        <v>0</v>
      </c>
      <c r="L144" s="52">
        <f>IF(L$10=1,0,IF(K$144+K$143-K$12&gt;0,K$144+K$143-K$12,0))</f>
        <v>0</v>
      </c>
      <c r="M144" s="52">
        <f>IF(M$10=1,0,IF(L$144+L$143-L$12&gt;0,L$144+L$143-L$12,0))</f>
        <v>0</v>
      </c>
      <c r="N144" s="52">
        <f>IF(N$10=1,0,IF(M$144+M$143-M$12&gt;0,M$144+M$143-M$12,0))</f>
        <v>0</v>
      </c>
      <c r="O144" s="52">
        <f>IF(O$10=1,0,IF(N$144+N$143-N$12&gt;0,N$144+N$143-N$12,0))</f>
        <v>0</v>
      </c>
      <c r="P144" s="52">
        <f>IF(P$10=1,0,IF(O$144+O$143-O$12&gt;0,O$144+O$143-O$12,0))</f>
        <v>0</v>
      </c>
      <c r="Q144" s="52">
        <f>IF(Q$10=1,0,IF(P$144+P$143-P$12&gt;0,P$144+P$143-P$12,0))</f>
        <v>0</v>
      </c>
      <c r="R144" s="52">
        <f>IF(R$10=1,0,IF(Q$144+Q$143-Q$12&gt;0,Q$144+Q$143-Q$12,0))</f>
        <v>0</v>
      </c>
      <c r="S144" s="52">
        <f>IF(S$10=1,0,IF(R$144+R$143-R$12&gt;0,R$144+R$143-R$12,0))</f>
        <v>0</v>
      </c>
      <c r="T144" s="52">
        <f>IF(T$10=1,0,IF(S$144+S$143-S$12&gt;0,S$144+S$143-S$12,0))</f>
        <v>0</v>
      </c>
      <c r="U144" s="52">
        <f>IF(U$10=1,0,IF(T$144+T$143-T$12&gt;0,T$144+T$143-T$12,0))</f>
        <v>0</v>
      </c>
      <c r="V144" s="52">
        <f>IF(V$10=1,0,IF(U$144+U$143-U$12&gt;0,U$144+U$143-U$12,0))</f>
        <v>0</v>
      </c>
      <c r="W144" s="52">
        <f>IF(W$10=1,0,IF(V$144+V$143-V$12&gt;0,V$144+V$143-V$12,0))</f>
        <v>0</v>
      </c>
      <c r="X144" s="52">
        <f>IF(X$10=1,0,IF(W$144+W$143-W$12&gt;0,W$144+W$143-W$12,0))</f>
        <v>0</v>
      </c>
      <c r="Y144" s="52">
        <f>IF(Y$10=1,0,IF(X$144+X$143-X$12&gt;0,X$144+X$143-X$12,0))</f>
        <v>0</v>
      </c>
      <c r="Z144" s="52">
        <f>IF(Z$10=1,0,IF(Y$144+Y$143-Y$12&gt;0,Y$144+Y$143-Y$12,0))</f>
        <v>0</v>
      </c>
      <c r="AA144" s="52">
        <f>IF(AA$10=1,0,IF(Z$144+Z$143-Z$12&gt;0,Z$144+Z$143-Z$12,0))</f>
        <v>0</v>
      </c>
      <c r="AB144" s="52">
        <f>IF(AB$10=1,0,IF(AA$144+AA$143-AA$12&gt;0,AA$144+AA$143-AA$12,0))</f>
        <v>0</v>
      </c>
      <c r="AC144" s="52">
        <f>IF(AC$10=1,0,IF(AB$144+AB$143-AB$12&gt;0,AB$144+AB$143-AB$12,0))</f>
        <v>0</v>
      </c>
      <c r="AD144" s="52">
        <f>IF(AD$10=1,0,IF(AC$144+AC$143-AC$12&gt;0,AC$144+AC$143-AC$12,0))</f>
        <v>0</v>
      </c>
      <c r="AE144" s="52">
        <f>IF(AE$10=1,0,IF(AD$144+AD$143-AD$12&gt;0,AD$144+AD$143-AD$12,0))</f>
        <v>0</v>
      </c>
      <c r="AF144" s="52">
        <f>IF(AF$10=1,0,IF(AE$144+AE$143-AE$12&gt;0,AE$144+AE$143-AE$12,0))</f>
        <v>0</v>
      </c>
      <c r="AG144" s="52">
        <f>IF(AG$10=1,0,IF(AF$144+AF$143-AF$12&gt;0,AF$144+AF$143-AF$12,0))</f>
        <v>0</v>
      </c>
      <c r="AH144" s="52">
        <f>IF(AH$10=1,0,IF(AG$144+AG$143-AG$12&gt;0,AG$144+AG$143-AG$12,0))</f>
        <v>0</v>
      </c>
      <c r="AI144" s="52">
        <f>IF(AI$10=1,0,IF(AH$144+AH$143-AH$12&gt;0,AH$144+AH$143-AH$12,0))</f>
        <v>0</v>
      </c>
      <c r="AJ144" s="52">
        <f>IF(AJ$10=1,0,IF(AI$144+AI$143-AI$12&gt;0,AI$144+AI$143-AI$12,0))</f>
        <v>0</v>
      </c>
      <c r="AK144" s="53">
        <f>IF(AK$10=1,0,IF(AJ$144+AJ$143-AJ$12&gt;0,AJ$144+AJ$143-AJ$12,0))</f>
        <v>0</v>
      </c>
    </row>
    <row r="145" spans="1:37" s="17" customFormat="1" ht="38.25" customHeight="1" x14ac:dyDescent="0.25">
      <c r="A145" s="5"/>
      <c r="B145" s="28"/>
      <c r="E145" s="36"/>
      <c r="F145" s="207"/>
      <c r="G145" s="189" t="s">
        <v>90</v>
      </c>
      <c r="H145" s="14">
        <f>IF(H12-H143-H144&lt;0,0,H12-H143-H144)</f>
        <v>0</v>
      </c>
      <c r="I145" s="14">
        <f>IF(I12-I143-I144&lt;0,0,I12-I143-I144)</f>
        <v>13058.468698002494</v>
      </c>
      <c r="J145" s="14">
        <f>IF(J12-J143-J144&lt;0,0,J12-J143-J144)</f>
        <v>13229.483351608278</v>
      </c>
      <c r="K145" s="14">
        <f>IF(K12-K143-K144&lt;0,0,K12-K143-K144)</f>
        <v>13402.329281120732</v>
      </c>
      <c r="L145" s="14">
        <f>IF(L12-L143-L144&lt;0,0,L12-L143-L144)</f>
        <v>13577.026506034003</v>
      </c>
      <c r="M145" s="14">
        <f>IF(M12-M143-M144&lt;0,0,M12-M143-M144)</f>
        <v>13753.595270085369</v>
      </c>
      <c r="N145" s="14">
        <f>IF(N12-N143-N144&lt;0,0,N12-N143-N144)</f>
        <v>13932.056043836557</v>
      </c>
      <c r="O145" s="14">
        <f>IF(O12-O143-O144&lt;0,0,O12-O143-O144)</f>
        <v>14112.429527285571</v>
      </c>
      <c r="P145" s="14">
        <f>IF(P12-P143-P144&lt;0,0,P12-P143-P144)</f>
        <v>14294.736652509533</v>
      </c>
      <c r="Q145" s="14">
        <f>IF(Q12-Q143-Q144&lt;0,0,Q12-Q143-Q144)</f>
        <v>14478.99858633883</v>
      </c>
      <c r="R145" s="14">
        <f>IF(R12-R143-R144&lt;0,0,R12-R143-R144)</f>
        <v>14665.23673306301</v>
      </c>
      <c r="S145" s="14">
        <f>IF(S12-S143-S144&lt;0,0,S12-S143-S144)</f>
        <v>14853.472737168762</v>
      </c>
      <c r="T145" s="14">
        <f>IF(T12-T143-T144&lt;0,0,T12-T143-T144)</f>
        <v>15043.728486110413</v>
      </c>
      <c r="U145" s="14">
        <f>IF(U12-U143-U144&lt;0,0,U12-U143-U144)</f>
        <v>15236.026113113297</v>
      </c>
      <c r="V145" s="14">
        <f>IF(V12-V143-V144&lt;0,0,V12-V143-V144)</f>
        <v>15430.388000010476</v>
      </c>
      <c r="W145" s="14">
        <f>IF(W12-W143-W144&lt;0,0,W12-W143-W144)</f>
        <v>15626.836780113083</v>
      </c>
      <c r="X145" s="14">
        <f>IF(X12-X143-X144&lt;0,0,X12-X143-X144)</f>
        <v>15825.395341114894</v>
      </c>
      <c r="Y145" s="14">
        <f>IF(Y12-Y143-Y144&lt;0,0,Y12-Y143-Y144)</f>
        <v>16026.086828031317</v>
      </c>
      <c r="Z145" s="14">
        <f>IF(Z12-Z143-Z144&lt;0,0,Z12-Z143-Z144)</f>
        <v>16228.934646173457</v>
      </c>
      <c r="AA145" s="14">
        <f>IF(AA12-AA143-AA144&lt;0,0,AA12-AA143-AA144)</f>
        <v>16433.962464157452</v>
      </c>
      <c r="AB145" s="14">
        <f>IF(AB12-AB143-AB144&lt;0,0,AB12-AB143-AB144)</f>
        <v>16641.194216949745</v>
      </c>
      <c r="AC145" s="14">
        <f>IF(AC12-AC143-AC144&lt;0,0,AC12-AC143-AC144)</f>
        <v>16850.654108948525</v>
      </c>
      <c r="AD145" s="14">
        <f>IF(AD12-AD143-AD144&lt;0,0,AD12-AD143-AD144)</f>
        <v>17062.366617101925</v>
      </c>
      <c r="AE145" s="14">
        <f>IF(AE12-AE143-AE144&lt;0,0,AE12-AE143-AE144)</f>
        <v>17276.356494063326</v>
      </c>
      <c r="AF145" s="14">
        <f>IF(AF12-AF143-AF144&lt;0,0,AF12-AF143-AF144)</f>
        <v>17492.648771384345</v>
      </c>
      <c r="AG145" s="14">
        <f>IF(AG12-AG143-AG144&lt;0,0,AG12-AG143-AG144)</f>
        <v>17754.047930241279</v>
      </c>
      <c r="AH145" s="14">
        <f>IF(AH12-AH143-AH144&lt;0,0,AH12-AH143-AH144)</f>
        <v>17933.588409543692</v>
      </c>
      <c r="AI145" s="14">
        <f>IF(AI12-AI143-AI144&lt;0,0,AI12-AI143-AI144)</f>
        <v>18114.92429363912</v>
      </c>
      <c r="AJ145" s="14">
        <f>IF(AJ12-AJ143-AJ144&lt;0,0,AJ12-AJ143-AJ144)</f>
        <v>18298.073536575514</v>
      </c>
      <c r="AK145" s="19">
        <f>IF(AK12-AK143-AK144&lt;0,0,AK12-AK143-AK144)</f>
        <v>18483.054271941273</v>
      </c>
    </row>
    <row r="146" spans="1:37" s="17" customFormat="1" ht="38.25" customHeight="1" x14ac:dyDescent="0.25">
      <c r="A146" s="5"/>
      <c r="B146" s="28"/>
      <c r="E146" s="36"/>
      <c r="F146" s="207"/>
      <c r="G146" s="189" t="s">
        <v>94</v>
      </c>
      <c r="H146" s="52">
        <f>H145+H38-H142</f>
        <v>33989.265522501344</v>
      </c>
      <c r="I146" s="52">
        <f>I145+I38-I142</f>
        <v>49386.968698002493</v>
      </c>
      <c r="J146" s="52">
        <f>J145+J38-J142</f>
        <v>50830.35835160828</v>
      </c>
      <c r="K146" s="52">
        <f>K145+K38-K142</f>
        <v>52321.051331120732</v>
      </c>
      <c r="L146" s="52">
        <f>L145+L38-L142</f>
        <v>53860.723849534006</v>
      </c>
      <c r="M146" s="52">
        <f>M145+M38-M142</f>
        <v>55451.113711170365</v>
      </c>
      <c r="N146" s="52">
        <f>N145+N38-N142</f>
        <v>57094.022622525321</v>
      </c>
      <c r="O146" s="52">
        <f>O145+O38-O142</f>
        <v>58791.318591081043</v>
      </c>
      <c r="P146" s="52">
        <f>P145+P38-P142</f>
        <v>60544.93841547476</v>
      </c>
      <c r="Q146" s="52">
        <f>Q145+Q38-Q142</f>
        <v>62356.890270539137</v>
      </c>
      <c r="R146" s="52">
        <f>R145+R38-R142</f>
        <v>64229.256390869297</v>
      </c>
      <c r="S146" s="52">
        <f>S145+S38-S142</f>
        <v>66164.195856712409</v>
      </c>
      <c r="T146" s="52">
        <f>T145+T38-T142</f>
        <v>68163.947486123667</v>
      </c>
      <c r="U146" s="52">
        <f>U145+U38-U142</f>
        <v>70230.832837485577</v>
      </c>
      <c r="V146" s="52">
        <f>V145+V38-V142</f>
        <v>72367.25932664689</v>
      </c>
      <c r="W146" s="52">
        <f>W145+W38-W142</f>
        <v>74575.723463102899</v>
      </c>
      <c r="X146" s="52">
        <f>X145+X38-X142</f>
        <v>76858.814209810851</v>
      </c>
      <c r="Y146" s="52">
        <f>Y145+Y38-Y142</f>
        <v>79219.216471413296</v>
      </c>
      <c r="Z146" s="52">
        <f>Z145+Z38-Z142</f>
        <v>81659.714715827024</v>
      </c>
      <c r="AA146" s="52">
        <f>AA145+AA38-AA142</f>
        <v>84183.196734349534</v>
      </c>
      <c r="AB146" s="52">
        <f>AB145+AB38-AB142</f>
        <v>86792.657545634502</v>
      </c>
      <c r="AC146" s="52">
        <f>AC145+AC38-AC142</f>
        <v>89491.203449096196</v>
      </c>
      <c r="AD146" s="52">
        <f>AD145+AD38-AD142</f>
        <v>92282.056233520474</v>
      </c>
      <c r="AE146" s="52">
        <f>AE145+AE38-AE142</f>
        <v>95168.557546883545</v>
      </c>
      <c r="AF146" s="52">
        <f>AF145+AF38-AF142</f>
        <v>98154.173433614662</v>
      </c>
      <c r="AG146" s="52">
        <f>AG145+AG38-AG142</f>
        <v>101285.27821327702</v>
      </c>
      <c r="AH146" s="52">
        <f>AH145+AH38-AH142</f>
        <v>104438.60987724653</v>
      </c>
      <c r="AI146" s="52">
        <f>AI145+AI38-AI142</f>
        <v>107701.66485259614</v>
      </c>
      <c r="AJ146" s="52">
        <f>AJ145+AJ38-AJ142</f>
        <v>111078.44749741326</v>
      </c>
      <c r="AK146" s="53">
        <f>AK145+AK38-AK142</f>
        <v>114573.11188412065</v>
      </c>
    </row>
    <row r="147" spans="1:37" s="36" customFormat="1" ht="38.25" customHeight="1" x14ac:dyDescent="0.25">
      <c r="A147" s="38"/>
      <c r="B147" s="22"/>
      <c r="F147" s="207"/>
      <c r="G147" s="189" t="s">
        <v>95</v>
      </c>
      <c r="H147" s="14">
        <f t="shared" ref="H147:AK147" si="120">IF($C$32=0,H146,H146/2)</f>
        <v>16994.632761250672</v>
      </c>
      <c r="I147" s="14">
        <f t="shared" si="120"/>
        <v>24693.484349001246</v>
      </c>
      <c r="J147" s="14">
        <f t="shared" si="120"/>
        <v>25415.17917580414</v>
      </c>
      <c r="K147" s="14">
        <f t="shared" si="120"/>
        <v>26160.525665560366</v>
      </c>
      <c r="L147" s="14">
        <f t="shared" si="120"/>
        <v>26930.361924767003</v>
      </c>
      <c r="M147" s="14">
        <f t="shared" si="120"/>
        <v>27725.556855585182</v>
      </c>
      <c r="N147" s="14">
        <f t="shared" si="120"/>
        <v>28547.01131126266</v>
      </c>
      <c r="O147" s="14">
        <f t="shared" si="120"/>
        <v>29395.659295540521</v>
      </c>
      <c r="P147" s="14">
        <f t="shared" si="120"/>
        <v>30272.46920773738</v>
      </c>
      <c r="Q147" s="14">
        <f t="shared" si="120"/>
        <v>31178.445135269569</v>
      </c>
      <c r="R147" s="14">
        <f t="shared" si="120"/>
        <v>32114.628195434649</v>
      </c>
      <c r="S147" s="14">
        <f t="shared" si="120"/>
        <v>33082.097928356205</v>
      </c>
      <c r="T147" s="14">
        <f t="shared" si="120"/>
        <v>34081.973743061833</v>
      </c>
      <c r="U147" s="14">
        <f t="shared" si="120"/>
        <v>35115.416418742789</v>
      </c>
      <c r="V147" s="14">
        <f t="shared" si="120"/>
        <v>36183.629663323445</v>
      </c>
      <c r="W147" s="14">
        <f t="shared" si="120"/>
        <v>37287.861731551449</v>
      </c>
      <c r="X147" s="14">
        <f t="shared" si="120"/>
        <v>38429.407104905426</v>
      </c>
      <c r="Y147" s="14">
        <f t="shared" si="120"/>
        <v>39609.608235706648</v>
      </c>
      <c r="Z147" s="14">
        <f t="shared" si="120"/>
        <v>40829.857357913512</v>
      </c>
      <c r="AA147" s="14">
        <f t="shared" si="120"/>
        <v>42091.598367174767</v>
      </c>
      <c r="AB147" s="14">
        <f t="shared" si="120"/>
        <v>43396.328772817251</v>
      </c>
      <c r="AC147" s="14">
        <f t="shared" si="120"/>
        <v>44745.601724548098</v>
      </c>
      <c r="AD147" s="14">
        <f t="shared" si="120"/>
        <v>46141.028116760237</v>
      </c>
      <c r="AE147" s="14">
        <f t="shared" si="120"/>
        <v>47584.278773441773</v>
      </c>
      <c r="AF147" s="14">
        <f t="shared" si="120"/>
        <v>49077.086716807331</v>
      </c>
      <c r="AG147" s="14">
        <f t="shared" si="120"/>
        <v>50642.639106638511</v>
      </c>
      <c r="AH147" s="14">
        <f t="shared" si="120"/>
        <v>52219.304938623267</v>
      </c>
      <c r="AI147" s="14">
        <f t="shared" si="120"/>
        <v>53850.832426298068</v>
      </c>
      <c r="AJ147" s="14">
        <f t="shared" si="120"/>
        <v>55539.22374870663</v>
      </c>
      <c r="AK147" s="19">
        <f t="shared" si="120"/>
        <v>57286.555942060324</v>
      </c>
    </row>
    <row r="148" spans="1:37" s="36" customFormat="1" ht="38.25" customHeight="1" x14ac:dyDescent="0.25">
      <c r="A148" s="38"/>
      <c r="B148" s="22"/>
      <c r="F148" s="207"/>
      <c r="G148" s="189" t="s">
        <v>96</v>
      </c>
      <c r="H148" s="52">
        <f>IF(H147&lt;10084,0,
IF(AND(H147&gt;10084,H147&lt;=25710),(H147-10084)*0.11,
IF(AND(H147&gt;25710,H147&lt;=73516),(H147-25710)*0.3+1721.06,
IF(AND(H147&gt;73516,H147&lt;=158122),(H147-73516)*0.41+16062.86,
IF(H147&gt;158122,(H147-158122)*0.45+50751.32,
0)))))</f>
        <v>760.16960373757388</v>
      </c>
      <c r="I148" s="52">
        <f t="shared" ref="I148:AK148" si="121">IF(I147&lt;10084,0,
IF(AND(I147&gt;10084,I147&lt;=25710),(I147-10084)*0.11,
IF(AND(I147&gt;25710,I147&lt;=73516),(I147-25710)*0.3+1721.06,
IF(AND(I147&gt;73516,I147&lt;=158122),(I147-73516)*0.41+16062.86,
IF(I147&gt;158122,(I147-158122)*0.45+50751.32,
0)))))</f>
        <v>1607.0432783901372</v>
      </c>
      <c r="J148" s="52">
        <f t="shared" si="121"/>
        <v>1686.4297093384555</v>
      </c>
      <c r="K148" s="52">
        <f t="shared" si="121"/>
        <v>1856.2176996681098</v>
      </c>
      <c r="L148" s="52">
        <f t="shared" si="121"/>
        <v>2087.1685774301009</v>
      </c>
      <c r="M148" s="52">
        <f t="shared" si="121"/>
        <v>2325.7270566755546</v>
      </c>
      <c r="N148" s="52">
        <f t="shared" si="121"/>
        <v>2572.163393378798</v>
      </c>
      <c r="O148" s="52">
        <f t="shared" si="121"/>
        <v>2826.7577886621566</v>
      </c>
      <c r="P148" s="52">
        <f t="shared" si="121"/>
        <v>3089.8007623212143</v>
      </c>
      <c r="Q148" s="52">
        <f t="shared" si="121"/>
        <v>3361.5935405808705</v>
      </c>
      <c r="R148" s="52">
        <f t="shared" si="121"/>
        <v>3642.4484586303943</v>
      </c>
      <c r="S148" s="52">
        <f t="shared" si="121"/>
        <v>3932.6893785068614</v>
      </c>
      <c r="T148" s="52">
        <f t="shared" si="121"/>
        <v>4232.65212291855</v>
      </c>
      <c r="U148" s="52">
        <f t="shared" si="121"/>
        <v>4542.6849256228361</v>
      </c>
      <c r="V148" s="52">
        <f t="shared" si="121"/>
        <v>4863.148898997033</v>
      </c>
      <c r="W148" s="52">
        <f t="shared" si="121"/>
        <v>5194.4185194654347</v>
      </c>
      <c r="X148" s="52">
        <f t="shared" si="121"/>
        <v>5536.8821314716279</v>
      </c>
      <c r="Y148" s="52">
        <f t="shared" si="121"/>
        <v>5890.9424707119942</v>
      </c>
      <c r="Z148" s="52">
        <f t="shared" si="121"/>
        <v>6257.0172073740541</v>
      </c>
      <c r="AA148" s="52">
        <f t="shared" si="121"/>
        <v>6635.53951015243</v>
      </c>
      <c r="AB148" s="52">
        <f t="shared" si="121"/>
        <v>7026.9586318451748</v>
      </c>
      <c r="AC148" s="52">
        <f t="shared" si="121"/>
        <v>7431.7405173644293</v>
      </c>
      <c r="AD148" s="52">
        <f t="shared" si="121"/>
        <v>7850.368435028071</v>
      </c>
      <c r="AE148" s="52">
        <f t="shared" si="121"/>
        <v>8283.3436320325309</v>
      </c>
      <c r="AF148" s="52">
        <f t="shared" si="121"/>
        <v>8731.1860150421999</v>
      </c>
      <c r="AG148" s="52">
        <f t="shared" si="121"/>
        <v>9200.8517319915536</v>
      </c>
      <c r="AH148" s="52">
        <f t="shared" si="121"/>
        <v>9673.8514815869803</v>
      </c>
      <c r="AI148" s="52">
        <f t="shared" si="121"/>
        <v>10163.30972788942</v>
      </c>
      <c r="AJ148" s="52">
        <f t="shared" si="121"/>
        <v>10669.827124611988</v>
      </c>
      <c r="AK148" s="53">
        <f t="shared" si="121"/>
        <v>11194.026782618097</v>
      </c>
    </row>
    <row r="149" spans="1:37" s="36" customFormat="1" ht="38.25" customHeight="1" x14ac:dyDescent="0.25">
      <c r="A149" s="38"/>
      <c r="B149" s="22"/>
      <c r="F149" s="207"/>
      <c r="G149" s="189" t="s">
        <v>97</v>
      </c>
      <c r="H149" s="14">
        <f t="shared" ref="H149:AK149" si="122">IF($C$32=0,H148,H148*2)</f>
        <v>1520.3392074751478</v>
      </c>
      <c r="I149" s="14">
        <f t="shared" si="122"/>
        <v>3214.0865567802743</v>
      </c>
      <c r="J149" s="14">
        <f t="shared" si="122"/>
        <v>3372.859418676911</v>
      </c>
      <c r="K149" s="14">
        <f t="shared" si="122"/>
        <v>3712.4353993362197</v>
      </c>
      <c r="L149" s="14">
        <f t="shared" si="122"/>
        <v>4174.3371548602017</v>
      </c>
      <c r="M149" s="14">
        <f t="shared" si="122"/>
        <v>4651.4541133511093</v>
      </c>
      <c r="N149" s="14">
        <f t="shared" si="122"/>
        <v>5144.326786757596</v>
      </c>
      <c r="O149" s="14">
        <f t="shared" si="122"/>
        <v>5653.5155773243132</v>
      </c>
      <c r="P149" s="14">
        <f t="shared" si="122"/>
        <v>6179.6015246424286</v>
      </c>
      <c r="Q149" s="14">
        <f t="shared" si="122"/>
        <v>6723.1870811617409</v>
      </c>
      <c r="R149" s="14">
        <f t="shared" si="122"/>
        <v>7284.8969172607885</v>
      </c>
      <c r="S149" s="14">
        <f t="shared" si="122"/>
        <v>7865.3787570137229</v>
      </c>
      <c r="T149" s="14">
        <f t="shared" si="122"/>
        <v>8465.3042458371001</v>
      </c>
      <c r="U149" s="14">
        <f t="shared" si="122"/>
        <v>9085.3698512456722</v>
      </c>
      <c r="V149" s="14">
        <f t="shared" si="122"/>
        <v>9726.2977979940661</v>
      </c>
      <c r="W149" s="14">
        <f t="shared" si="122"/>
        <v>10388.837038930869</v>
      </c>
      <c r="X149" s="14">
        <f t="shared" si="122"/>
        <v>11073.764262943256</v>
      </c>
      <c r="Y149" s="14">
        <f t="shared" si="122"/>
        <v>11781.884941423988</v>
      </c>
      <c r="Z149" s="14">
        <f t="shared" si="122"/>
        <v>12514.034414748108</v>
      </c>
      <c r="AA149" s="14">
        <f t="shared" si="122"/>
        <v>13271.07902030486</v>
      </c>
      <c r="AB149" s="14">
        <f t="shared" si="122"/>
        <v>14053.91726369035</v>
      </c>
      <c r="AC149" s="14">
        <f t="shared" si="122"/>
        <v>14863.481034728859</v>
      </c>
      <c r="AD149" s="14">
        <f t="shared" si="122"/>
        <v>15700.736870056142</v>
      </c>
      <c r="AE149" s="14">
        <f t="shared" si="122"/>
        <v>16566.687264065062</v>
      </c>
      <c r="AF149" s="14">
        <f t="shared" si="122"/>
        <v>17462.3720300844</v>
      </c>
      <c r="AG149" s="14">
        <f t="shared" si="122"/>
        <v>18401.703463983107</v>
      </c>
      <c r="AH149" s="14">
        <f t="shared" si="122"/>
        <v>19347.702963173961</v>
      </c>
      <c r="AI149" s="14">
        <f t="shared" si="122"/>
        <v>20326.61945577884</v>
      </c>
      <c r="AJ149" s="14">
        <f t="shared" si="122"/>
        <v>21339.654249223975</v>
      </c>
      <c r="AK149" s="19">
        <f t="shared" si="122"/>
        <v>22388.053565236194</v>
      </c>
    </row>
    <row r="150" spans="1:37" s="36" customFormat="1" ht="38.25" customHeight="1" x14ac:dyDescent="0.25">
      <c r="A150" s="38"/>
      <c r="B150" s="22"/>
      <c r="F150" s="207"/>
      <c r="G150" s="189" t="s">
        <v>98</v>
      </c>
      <c r="H150" s="52">
        <f t="shared" ref="H150:AK150" si="123">H146/$C$34</f>
        <v>11329.755174167114</v>
      </c>
      <c r="I150" s="52">
        <f t="shared" si="123"/>
        <v>16462.322899334165</v>
      </c>
      <c r="J150" s="52">
        <f t="shared" si="123"/>
        <v>16943.452783869427</v>
      </c>
      <c r="K150" s="52">
        <f t="shared" si="123"/>
        <v>17440.35044370691</v>
      </c>
      <c r="L150" s="52">
        <f t="shared" si="123"/>
        <v>17953.574616511334</v>
      </c>
      <c r="M150" s="52">
        <f t="shared" si="123"/>
        <v>18483.70457039012</v>
      </c>
      <c r="N150" s="52">
        <f t="shared" si="123"/>
        <v>19031.340874175108</v>
      </c>
      <c r="O150" s="52">
        <f t="shared" si="123"/>
        <v>19597.106197027013</v>
      </c>
      <c r="P150" s="52">
        <f t="shared" si="123"/>
        <v>20181.646138491586</v>
      </c>
      <c r="Q150" s="52">
        <f t="shared" si="123"/>
        <v>20785.630090179711</v>
      </c>
      <c r="R150" s="52">
        <f t="shared" si="123"/>
        <v>21409.752130289766</v>
      </c>
      <c r="S150" s="52">
        <f t="shared" si="123"/>
        <v>22054.731952237471</v>
      </c>
      <c r="T150" s="52">
        <f t="shared" si="123"/>
        <v>22721.315828707888</v>
      </c>
      <c r="U150" s="52">
        <f t="shared" si="123"/>
        <v>23410.277612495192</v>
      </c>
      <c r="V150" s="52">
        <f t="shared" si="123"/>
        <v>24122.419775548962</v>
      </c>
      <c r="W150" s="52">
        <f t="shared" si="123"/>
        <v>24858.574487700967</v>
      </c>
      <c r="X150" s="52">
        <f t="shared" si="123"/>
        <v>25619.604736603618</v>
      </c>
      <c r="Y150" s="52">
        <f t="shared" si="123"/>
        <v>26406.405490471097</v>
      </c>
      <c r="Z150" s="52">
        <f t="shared" si="123"/>
        <v>27219.904905275675</v>
      </c>
      <c r="AA150" s="52">
        <f t="shared" si="123"/>
        <v>28061.065578116511</v>
      </c>
      <c r="AB150" s="52">
        <f t="shared" si="123"/>
        <v>28930.885848544833</v>
      </c>
      <c r="AC150" s="52">
        <f t="shared" si="123"/>
        <v>29830.401149698733</v>
      </c>
      <c r="AD150" s="52">
        <f t="shared" si="123"/>
        <v>30760.68541117349</v>
      </c>
      <c r="AE150" s="52">
        <f t="shared" si="123"/>
        <v>31722.852515627848</v>
      </c>
      <c r="AF150" s="52">
        <f t="shared" si="123"/>
        <v>32718.057811204886</v>
      </c>
      <c r="AG150" s="52">
        <f t="shared" si="123"/>
        <v>33761.759404425677</v>
      </c>
      <c r="AH150" s="52">
        <f t="shared" si="123"/>
        <v>34812.869959082178</v>
      </c>
      <c r="AI150" s="52">
        <f t="shared" si="123"/>
        <v>35900.554950865378</v>
      </c>
      <c r="AJ150" s="52">
        <f t="shared" si="123"/>
        <v>37026.149165804418</v>
      </c>
      <c r="AK150" s="53">
        <f t="shared" si="123"/>
        <v>38191.037294706883</v>
      </c>
    </row>
    <row r="151" spans="1:37" s="17" customFormat="1" ht="38.25" customHeight="1" x14ac:dyDescent="0.25">
      <c r="A151" s="5"/>
      <c r="B151" s="28"/>
      <c r="E151" s="36"/>
      <c r="F151" s="207"/>
      <c r="G151" s="189" t="s">
        <v>99</v>
      </c>
      <c r="H151" s="14">
        <f>IF(H150&lt;10084,0,
IF(AND(H150&gt;10084,H150&lt;=25710),(H150-10084)*0.11,
IF(AND(H150&gt;25710,H150&lt;=73516),(H150-25710)*0.3+1721.06,
IF(AND(H150&gt;73516,H150&lt;=158122),(H150-73516)*0.41+16062.86,
IF(H150&gt;158122,(H150-158122)*0.45+50751.32,
0)))))</f>
        <v>137.03306915838255</v>
      </c>
      <c r="I151" s="14">
        <f t="shared" ref="I151:AK151" si="124">IF(I150&lt;10084,0,
IF(AND(I150&gt;10084,I150&lt;=25710),(I150-10084)*0.11,
IF(AND(I150&gt;25710,I150&lt;=73516),(I150-25710)*0.3+1721.06,
IF(AND(I150&gt;73516,I150&lt;=158122),(I150-73516)*0.41+16062.86,
IF(I150&gt;158122,(I150-158122)*0.45+50751.32,
0)))))</f>
        <v>701.61551892675823</v>
      </c>
      <c r="J151" s="14">
        <f t="shared" si="124"/>
        <v>754.53980622563688</v>
      </c>
      <c r="K151" s="14">
        <f t="shared" si="124"/>
        <v>809.19854880776006</v>
      </c>
      <c r="L151" s="14">
        <f t="shared" si="124"/>
        <v>865.65320781624678</v>
      </c>
      <c r="M151" s="14">
        <f t="shared" si="124"/>
        <v>923.96750274291321</v>
      </c>
      <c r="N151" s="14">
        <f t="shared" si="124"/>
        <v>984.20749615926195</v>
      </c>
      <c r="O151" s="14">
        <f t="shared" si="124"/>
        <v>1046.4416816729715</v>
      </c>
      <c r="P151" s="14">
        <f t="shared" si="124"/>
        <v>1110.7410752340745</v>
      </c>
      <c r="Q151" s="14">
        <f t="shared" si="124"/>
        <v>1177.1793099197682</v>
      </c>
      <c r="R151" s="14">
        <f t="shared" si="124"/>
        <v>1245.8327343318742</v>
      </c>
      <c r="S151" s="14">
        <f t="shared" si="124"/>
        <v>1316.7805147461218</v>
      </c>
      <c r="T151" s="14">
        <f t="shared" si="124"/>
        <v>1390.1047411578677</v>
      </c>
      <c r="U151" s="14">
        <f t="shared" si="124"/>
        <v>1465.8905373744713</v>
      </c>
      <c r="V151" s="14">
        <f t="shared" si="124"/>
        <v>1544.2261753103858</v>
      </c>
      <c r="W151" s="14">
        <f t="shared" si="124"/>
        <v>1625.2031936471064</v>
      </c>
      <c r="X151" s="14">
        <f t="shared" si="124"/>
        <v>1708.916521026398</v>
      </c>
      <c r="Y151" s="14">
        <f t="shared" si="124"/>
        <v>1929.9816471413292</v>
      </c>
      <c r="Z151" s="14">
        <f t="shared" si="124"/>
        <v>2174.0314715827021</v>
      </c>
      <c r="AA151" s="14">
        <f t="shared" si="124"/>
        <v>2426.3796734349535</v>
      </c>
      <c r="AB151" s="14">
        <f t="shared" si="124"/>
        <v>2687.3257545634497</v>
      </c>
      <c r="AC151" s="14">
        <f t="shared" si="124"/>
        <v>2957.1803449096196</v>
      </c>
      <c r="AD151" s="14">
        <f t="shared" si="124"/>
        <v>3236.265623352047</v>
      </c>
      <c r="AE151" s="14">
        <f t="shared" si="124"/>
        <v>3524.9157546883544</v>
      </c>
      <c r="AF151" s="14">
        <f t="shared" si="124"/>
        <v>3823.4773433614655</v>
      </c>
      <c r="AG151" s="14">
        <f t="shared" si="124"/>
        <v>4136.5878213277028</v>
      </c>
      <c r="AH151" s="14">
        <f t="shared" si="124"/>
        <v>4451.9209877246531</v>
      </c>
      <c r="AI151" s="14">
        <f t="shared" si="124"/>
        <v>4778.2264852596136</v>
      </c>
      <c r="AJ151" s="14">
        <f t="shared" si="124"/>
        <v>5115.9047497413248</v>
      </c>
      <c r="AK151" s="19">
        <f t="shared" si="124"/>
        <v>5465.3711884120639</v>
      </c>
    </row>
    <row r="152" spans="1:37" s="17" customFormat="1" ht="38.25" customHeight="1" x14ac:dyDescent="0.25">
      <c r="A152" s="5"/>
      <c r="B152" s="28"/>
      <c r="E152" s="36"/>
      <c r="F152" s="207"/>
      <c r="G152" s="189" t="s">
        <v>100</v>
      </c>
      <c r="H152" s="52">
        <f t="shared" ref="H152:AK152" si="125">H151*$C$34</f>
        <v>411.09920747514764</v>
      </c>
      <c r="I152" s="52">
        <f t="shared" si="125"/>
        <v>2104.8465567802746</v>
      </c>
      <c r="J152" s="52">
        <f t="shared" si="125"/>
        <v>2263.6194186769108</v>
      </c>
      <c r="K152" s="52">
        <f t="shared" si="125"/>
        <v>2427.5956464232804</v>
      </c>
      <c r="L152" s="52">
        <f t="shared" si="125"/>
        <v>2596.9596234487403</v>
      </c>
      <c r="M152" s="52">
        <f t="shared" si="125"/>
        <v>2771.9025082287399</v>
      </c>
      <c r="N152" s="52">
        <f t="shared" si="125"/>
        <v>2952.6224884777857</v>
      </c>
      <c r="O152" s="52">
        <f t="shared" si="125"/>
        <v>3139.3250450189144</v>
      </c>
      <c r="P152" s="52">
        <f t="shared" si="125"/>
        <v>3332.2232257022233</v>
      </c>
      <c r="Q152" s="52">
        <f t="shared" si="125"/>
        <v>3531.5379297593045</v>
      </c>
      <c r="R152" s="52">
        <f t="shared" si="125"/>
        <v>3737.4982029956227</v>
      </c>
      <c r="S152" s="52">
        <f t="shared" si="125"/>
        <v>3950.3415442383653</v>
      </c>
      <c r="T152" s="52">
        <f t="shared" si="125"/>
        <v>4170.3142234736033</v>
      </c>
      <c r="U152" s="52">
        <f t="shared" si="125"/>
        <v>4397.671612123414</v>
      </c>
      <c r="V152" s="52">
        <f t="shared" si="125"/>
        <v>4632.6785259311573</v>
      </c>
      <c r="W152" s="52">
        <f t="shared" si="125"/>
        <v>4875.6095809413191</v>
      </c>
      <c r="X152" s="52">
        <f t="shared" si="125"/>
        <v>5126.7495630791936</v>
      </c>
      <c r="Y152" s="52">
        <f t="shared" si="125"/>
        <v>5789.944941423988</v>
      </c>
      <c r="Z152" s="52">
        <f t="shared" si="125"/>
        <v>6522.0944147481059</v>
      </c>
      <c r="AA152" s="52">
        <f t="shared" si="125"/>
        <v>7279.1390203048604</v>
      </c>
      <c r="AB152" s="52">
        <f t="shared" si="125"/>
        <v>8061.977263690349</v>
      </c>
      <c r="AC152" s="52">
        <f t="shared" si="125"/>
        <v>8871.5410347288598</v>
      </c>
      <c r="AD152" s="52">
        <f t="shared" si="125"/>
        <v>9708.7968700561414</v>
      </c>
      <c r="AE152" s="52">
        <f t="shared" si="125"/>
        <v>10574.747264065063</v>
      </c>
      <c r="AF152" s="52">
        <f t="shared" si="125"/>
        <v>11470.432030084397</v>
      </c>
      <c r="AG152" s="52">
        <f t="shared" si="125"/>
        <v>12409.763463983109</v>
      </c>
      <c r="AH152" s="52">
        <f t="shared" si="125"/>
        <v>13355.762963173958</v>
      </c>
      <c r="AI152" s="52">
        <f t="shared" si="125"/>
        <v>14334.679455778842</v>
      </c>
      <c r="AJ152" s="52">
        <f t="shared" si="125"/>
        <v>15347.714249223975</v>
      </c>
      <c r="AK152" s="53">
        <f t="shared" si="125"/>
        <v>16396.113565236192</v>
      </c>
    </row>
    <row r="153" spans="1:37" s="17" customFormat="1" ht="38.25" customHeight="1" x14ac:dyDescent="0.25">
      <c r="A153" s="5"/>
      <c r="B153" s="28"/>
      <c r="E153" s="36"/>
      <c r="F153" s="207"/>
      <c r="G153" s="189" t="s">
        <v>101</v>
      </c>
      <c r="H153" s="14">
        <f>IF(H149-H42&gt;H152,H149-H42,H152)</f>
        <v>411.09920747514764</v>
      </c>
      <c r="I153" s="14">
        <f>IF(I149-I42&gt;I152,I149-I42,I152)</f>
        <v>2104.8465567802746</v>
      </c>
      <c r="J153" s="14">
        <f>IF(J149-J42&gt;J152,J149-J42,J152)</f>
        <v>2263.6194186769108</v>
      </c>
      <c r="K153" s="14">
        <f>IF(K149-K42&gt;K152,K149-K42,K152)</f>
        <v>2427.5956464232804</v>
      </c>
      <c r="L153" s="14">
        <f>IF(L149-L42&gt;L152,L149-L42,L152)</f>
        <v>2596.9596234487403</v>
      </c>
      <c r="M153" s="14">
        <f>IF(M149-M42&gt;M152,M149-M42,M152)</f>
        <v>2771.9025082287399</v>
      </c>
      <c r="N153" s="14">
        <f>IF(N149-N42&gt;N152,N149-N42,N152)</f>
        <v>2952.6224884777857</v>
      </c>
      <c r="O153" s="14">
        <f>IF(O149-O42&gt;O152,O149-O42,O152)</f>
        <v>3139.3250450189144</v>
      </c>
      <c r="P153" s="14">
        <f>IF(P149-P42&gt;P152,P149-P42,P152)</f>
        <v>3332.2232257022233</v>
      </c>
      <c r="Q153" s="14">
        <f>IF(Q149-Q42&gt;Q152,Q149-Q42,Q152)</f>
        <v>3587.1870811617409</v>
      </c>
      <c r="R153" s="14">
        <f>IF(R149-R42&gt;R152,R149-R42,R152)</f>
        <v>4148.8969172607885</v>
      </c>
      <c r="S153" s="14">
        <f>IF(S149-S42&gt;S152,S149-S42,S152)</f>
        <v>4729.3787570137229</v>
      </c>
      <c r="T153" s="14">
        <f>IF(T149-T42&gt;T152,T149-T42,T152)</f>
        <v>5329.3042458371001</v>
      </c>
      <c r="U153" s="14">
        <f>IF(U149-U42&gt;U152,U149-U42,U152)</f>
        <v>5949.3698512456722</v>
      </c>
      <c r="V153" s="14">
        <f>IF(V149-V42&gt;V152,V149-V42,V152)</f>
        <v>6590.2977979940661</v>
      </c>
      <c r="W153" s="14">
        <f>IF(W149-W42&gt;W152,W149-W42,W152)</f>
        <v>7252.8370389308693</v>
      </c>
      <c r="X153" s="14">
        <f>IF(X149-X42&gt;X152,X149-X42,X152)</f>
        <v>7937.7642629432557</v>
      </c>
      <c r="Y153" s="14">
        <f>IF(Y149-Y42&gt;Y152,Y149-Y42,Y152)</f>
        <v>8645.8849414239885</v>
      </c>
      <c r="Z153" s="14">
        <f>IF(Z149-Z42&gt;Z152,Z149-Z42,Z152)</f>
        <v>9378.0344147481082</v>
      </c>
      <c r="AA153" s="14">
        <f>IF(AA149-AA42&gt;AA152,AA149-AA42,AA152)</f>
        <v>10135.07902030486</v>
      </c>
      <c r="AB153" s="14">
        <f>IF(AB149-AB42&gt;AB152,AB149-AB42,AB152)</f>
        <v>10917.91726369035</v>
      </c>
      <c r="AC153" s="14">
        <f>IF(AC149-AC42&gt;AC152,AC149-AC42,AC152)</f>
        <v>11727.481034728859</v>
      </c>
      <c r="AD153" s="14">
        <f>IF(AD149-AD42&gt;AD152,AD149-AD42,AD152)</f>
        <v>12564.736870056142</v>
      </c>
      <c r="AE153" s="14">
        <f>IF(AE149-AE42&gt;AE152,AE149-AE42,AE152)</f>
        <v>13430.687264065062</v>
      </c>
      <c r="AF153" s="14">
        <f>IF(AF149-AF42&gt;AF152,AF149-AF42,AF152)</f>
        <v>14326.3720300844</v>
      </c>
      <c r="AG153" s="14">
        <f>IF(AG149-AG42&gt;AG152,AG149-AG42,AG152)</f>
        <v>15265.703463983107</v>
      </c>
      <c r="AH153" s="14">
        <f>IF(AH149-AH42&gt;AH152,AH149-AH42,AH152)</f>
        <v>16211.702963173961</v>
      </c>
      <c r="AI153" s="14">
        <f>IF(AI149-AI42&gt;AI152,AI149-AI42,AI152)</f>
        <v>17190.61945577884</v>
      </c>
      <c r="AJ153" s="14">
        <f>IF(AJ149-AJ42&gt;AJ152,AJ149-AJ42,AJ152)</f>
        <v>18203.654249223975</v>
      </c>
      <c r="AK153" s="19">
        <f>IF(AK149-AK42&gt;AK152,AK149-AK42,AK152)</f>
        <v>19252.053565236194</v>
      </c>
    </row>
    <row r="154" spans="1:37" s="17" customFormat="1" ht="38.25" customHeight="1" x14ac:dyDescent="0.25">
      <c r="A154" s="5"/>
      <c r="B154" s="28"/>
      <c r="E154" s="36"/>
      <c r="F154" s="207"/>
      <c r="G154" s="189" t="s">
        <v>102</v>
      </c>
      <c r="H154" s="52">
        <f>H145*0.172</f>
        <v>0</v>
      </c>
      <c r="I154" s="52">
        <f t="shared" ref="I154:AK154" si="126">I145*0.172</f>
        <v>2246.056616056429</v>
      </c>
      <c r="J154" s="52">
        <f t="shared" si="126"/>
        <v>2275.4711364766235</v>
      </c>
      <c r="K154" s="52">
        <f t="shared" si="126"/>
        <v>2305.2006363527657</v>
      </c>
      <c r="L154" s="52">
        <f t="shared" si="126"/>
        <v>2335.2485590378483</v>
      </c>
      <c r="M154" s="52">
        <f t="shared" si="126"/>
        <v>2365.6183864546833</v>
      </c>
      <c r="N154" s="52">
        <f t="shared" si="126"/>
        <v>2396.3136395398878</v>
      </c>
      <c r="O154" s="52">
        <f t="shared" si="126"/>
        <v>2427.337878693118</v>
      </c>
      <c r="P154" s="52">
        <f t="shared" si="126"/>
        <v>2458.6947042316397</v>
      </c>
      <c r="Q154" s="52">
        <f t="shared" si="126"/>
        <v>2490.3877568502785</v>
      </c>
      <c r="R154" s="52">
        <f t="shared" si="126"/>
        <v>2522.4207180868375</v>
      </c>
      <c r="S154" s="52">
        <f t="shared" si="126"/>
        <v>2554.797310793027</v>
      </c>
      <c r="T154" s="52">
        <f t="shared" si="126"/>
        <v>2587.5212996109908</v>
      </c>
      <c r="U154" s="52">
        <f t="shared" si="126"/>
        <v>2620.596491455487</v>
      </c>
      <c r="V154" s="52">
        <f t="shared" si="126"/>
        <v>2654.0267360018015</v>
      </c>
      <c r="W154" s="52">
        <f t="shared" si="126"/>
        <v>2687.8159261794499</v>
      </c>
      <c r="X154" s="52">
        <f t="shared" si="126"/>
        <v>2721.9679986717615</v>
      </c>
      <c r="Y154" s="52">
        <f t="shared" si="126"/>
        <v>2756.4869344213862</v>
      </c>
      <c r="Z154" s="52">
        <f t="shared" si="126"/>
        <v>2791.3767591418346</v>
      </c>
      <c r="AA154" s="52">
        <f t="shared" si="126"/>
        <v>2826.6415438350814</v>
      </c>
      <c r="AB154" s="52">
        <f t="shared" si="126"/>
        <v>2862.285405315356</v>
      </c>
      <c r="AC154" s="52">
        <f t="shared" si="126"/>
        <v>2898.3125067391461</v>
      </c>
      <c r="AD154" s="52">
        <f t="shared" si="126"/>
        <v>2934.727058141531</v>
      </c>
      <c r="AE154" s="52">
        <f t="shared" si="126"/>
        <v>2971.5333169788919</v>
      </c>
      <c r="AF154" s="52">
        <f t="shared" si="126"/>
        <v>3008.735588678107</v>
      </c>
      <c r="AG154" s="52">
        <f t="shared" si="126"/>
        <v>3053.6962440014995</v>
      </c>
      <c r="AH154" s="52">
        <f t="shared" si="126"/>
        <v>3084.577206441515</v>
      </c>
      <c r="AI154" s="52">
        <f t="shared" si="126"/>
        <v>3115.7669785059284</v>
      </c>
      <c r="AJ154" s="52">
        <f t="shared" si="126"/>
        <v>3147.268648290988</v>
      </c>
      <c r="AK154" s="53">
        <f t="shared" si="126"/>
        <v>3179.0853347738989</v>
      </c>
    </row>
    <row r="155" spans="1:37" s="17" customFormat="1" ht="38.25" customHeight="1" x14ac:dyDescent="0.25">
      <c r="A155" s="5"/>
      <c r="B155" s="28"/>
      <c r="E155" s="36"/>
      <c r="F155" s="207"/>
      <c r="G155" s="189" t="s">
        <v>91</v>
      </c>
      <c r="H155" s="14">
        <f>IF(H153-H46&gt;0,H153-H46,0)</f>
        <v>0</v>
      </c>
      <c r="I155" s="14">
        <f>IF(I153-I46&gt;0,I153-I46,0)</f>
        <v>1436.4315567802746</v>
      </c>
      <c r="J155" s="14">
        <f>IF(J153-J46&gt;0,J153-J46,0)</f>
        <v>1455.2431686769107</v>
      </c>
      <c r="K155" s="14">
        <f>IF(K153-K46&gt;0,K153-K46,0)</f>
        <v>1474.2562209232799</v>
      </c>
      <c r="L155" s="14">
        <f>IF(L153-L46&gt;0,L153-L46,0)</f>
        <v>1493.4729156637397</v>
      </c>
      <c r="M155" s="14">
        <f>IF(M153-M46&gt;0,M153-M46,0)</f>
        <v>1512.8954797093902</v>
      </c>
      <c r="N155" s="14">
        <f>IF(N153-N46&gt;0,N153-N46,0)</f>
        <v>1532.5261648220219</v>
      </c>
      <c r="O155" s="14">
        <f>IF(O153-O46&gt;0,O153-O46,0)</f>
        <v>1552.3672480014129</v>
      </c>
      <c r="P155" s="14">
        <f>IF(P153-P46&gt;0,P153-P46,0)</f>
        <v>1572.4210317760485</v>
      </c>
      <c r="Q155" s="14">
        <f>IF(Q153-Q46&gt;0,Q153-Q46,0)</f>
        <v>1648.3389958997072</v>
      </c>
      <c r="R155" s="14">
        <f>IF(R153-R46&gt;0,R153-R46,0)</f>
        <v>2024.5747549020962</v>
      </c>
      <c r="S155" s="14">
        <f>IF(S153-S46&gt;0,S153-S46,0)</f>
        <v>2412.9192138639223</v>
      </c>
      <c r="T155" s="14">
        <f>IF(T153-T46&gt;0,T153-T46,0)</f>
        <v>2813.8001558356423</v>
      </c>
      <c r="U155" s="14">
        <f>IF(U153-U46&gt;0,U153-U46,0)</f>
        <v>3227.6611115647206</v>
      </c>
      <c r="V155" s="14">
        <f>IF(V153-V46&gt;0,V153-V46,0)</f>
        <v>3654.9619520640599</v>
      </c>
      <c r="W155" s="14">
        <f>IF(W153-W46&gt;0,W153-W46,0)</f>
        <v>4096.17950380199</v>
      </c>
      <c r="X155" s="14">
        <f>IF(X153-X46&gt;0,X153-X46,0)</f>
        <v>4551.8081873866995</v>
      </c>
      <c r="Y155" s="14">
        <f>IF(Y153-Y46&gt;0,Y153-Y46,0)</f>
        <v>4807.8260484093971</v>
      </c>
      <c r="Z155" s="14">
        <f>IF(Z153-Z46&gt;0,Z153-Z46,0)</f>
        <v>4868.6803938520397</v>
      </c>
      <c r="AA155" s="14">
        <f>IF(AA153-AA46&gt;0,AA153-AA46,0)</f>
        <v>4930.1887392472345</v>
      </c>
      <c r="AB155" s="14">
        <f>IF(AB153-AB46&gt;0,AB153-AB46,0)</f>
        <v>4992.3582650849239</v>
      </c>
      <c r="AC155" s="14">
        <f>IF(AC153-AC46&gt;0,AC153-AC46,0)</f>
        <v>5055.1962326845569</v>
      </c>
      <c r="AD155" s="14">
        <f>IF(AD153-AD46&gt;0,AD153-AD46,0)</f>
        <v>5118.7099851305793</v>
      </c>
      <c r="AE155" s="14">
        <f>IF(AE153-AE46&gt;0,AE153-AE46,0)</f>
        <v>5182.9069482189952</v>
      </c>
      <c r="AF155" s="14">
        <f>IF(AF153-AF46&gt;0,AF153-AF46,0)</f>
        <v>5247.7946314153087</v>
      </c>
      <c r="AG155" s="14">
        <f>IF(AG153-AG46&gt;0,AG153-AG46,0)</f>
        <v>5326.2143790723858</v>
      </c>
      <c r="AH155" s="14">
        <f>IF(AH153-AH46&gt;0,AH153-AH46,0)</f>
        <v>5380.0765228631099</v>
      </c>
      <c r="AI155" s="14">
        <f>IF(AI153-AI46&gt;0,AI153-AI46,0)</f>
        <v>5434.4772880917371</v>
      </c>
      <c r="AJ155" s="14">
        <f>IF(AJ153-AJ46&gt;0,AJ153-AJ46,0)</f>
        <v>5489.4220609726508</v>
      </c>
      <c r="AK155" s="19">
        <f>IF(AK153-AK46&gt;0,AK153-AK46,0)</f>
        <v>5544.9162815823838</v>
      </c>
    </row>
    <row r="156" spans="1:37" s="17" customFormat="1" ht="38.25" customHeight="1" x14ac:dyDescent="0.25">
      <c r="A156" s="5"/>
      <c r="B156" s="28"/>
      <c r="E156" s="36"/>
      <c r="F156" s="207"/>
      <c r="G156" s="189" t="s">
        <v>136</v>
      </c>
      <c r="H156" s="52">
        <f>IF(H142&lt;&gt;0,H46-H153,0)</f>
        <v>122.18079252485234</v>
      </c>
      <c r="I156" s="52">
        <f>IF(I142&lt;&gt;0,I46-I153,0)</f>
        <v>0</v>
      </c>
      <c r="J156" s="52">
        <f>IF(J142&lt;&gt;0,J46-J153,0)</f>
        <v>0</v>
      </c>
      <c r="K156" s="52">
        <f>IF(K142&lt;&gt;0,K46-K153,0)</f>
        <v>0</v>
      </c>
      <c r="L156" s="52">
        <f>IF(L142&lt;&gt;0,L46-L153,0)</f>
        <v>0</v>
      </c>
      <c r="M156" s="52">
        <f>IF(M142&lt;&gt;0,M46-M153,0)</f>
        <v>0</v>
      </c>
      <c r="N156" s="52">
        <f>IF(N142&lt;&gt;0,N46-N153,0)</f>
        <v>0</v>
      </c>
      <c r="O156" s="52">
        <f>IF(O142&lt;&gt;0,O46-O153,0)</f>
        <v>0</v>
      </c>
      <c r="P156" s="52">
        <f>IF(P142&lt;&gt;0,P46-P153,0)</f>
        <v>0</v>
      </c>
      <c r="Q156" s="52">
        <f>IF(Q142&lt;&gt;0,Q46-Q153,0)</f>
        <v>0</v>
      </c>
      <c r="R156" s="52">
        <f>IF(R142&lt;&gt;0,R46-R153,0)</f>
        <v>0</v>
      </c>
      <c r="S156" s="52">
        <f>IF(S142&lt;&gt;0,S46-S153,0)</f>
        <v>0</v>
      </c>
      <c r="T156" s="52">
        <f>IF(T142&lt;&gt;0,T46-T153,0)</f>
        <v>0</v>
      </c>
      <c r="U156" s="52">
        <f>IF(U142&lt;&gt;0,U46-U153,0)</f>
        <v>0</v>
      </c>
      <c r="V156" s="52">
        <f>IF(V142&lt;&gt;0,V46-V153,0)</f>
        <v>0</v>
      </c>
      <c r="W156" s="52">
        <f>IF(W142&lt;&gt;0,W46-W153,0)</f>
        <v>0</v>
      </c>
      <c r="X156" s="52">
        <f>IF(X142&lt;&gt;0,X46-X153,0)</f>
        <v>0</v>
      </c>
      <c r="Y156" s="52">
        <f>IF(Y142&lt;&gt;0,Y46-Y153,0)</f>
        <v>0</v>
      </c>
      <c r="Z156" s="52">
        <f>IF(Z142&lt;&gt;0,Z46-Z153,0)</f>
        <v>0</v>
      </c>
      <c r="AA156" s="52">
        <f>IF(AA142&lt;&gt;0,AA46-AA153,0)</f>
        <v>0</v>
      </c>
      <c r="AB156" s="52">
        <f>IF(AB142&lt;&gt;0,AB46-AB153,0)</f>
        <v>0</v>
      </c>
      <c r="AC156" s="52">
        <f>IF(AC142&lt;&gt;0,AC46-AC153,0)</f>
        <v>0</v>
      </c>
      <c r="AD156" s="52">
        <f>IF(AD142&lt;&gt;0,AD46-AD153,0)</f>
        <v>0</v>
      </c>
      <c r="AE156" s="52">
        <f>IF(AE142&lt;&gt;0,AE46-AE153,0)</f>
        <v>0</v>
      </c>
      <c r="AF156" s="52">
        <f>IF(AF142&lt;&gt;0,AF46-AF153,0)</f>
        <v>0</v>
      </c>
      <c r="AG156" s="52">
        <f>IF(AG142&lt;&gt;0,AG46-AG153,0)</f>
        <v>0</v>
      </c>
      <c r="AH156" s="52">
        <f>IF(AH142&lt;&gt;0,AH46-AH153,0)</f>
        <v>0</v>
      </c>
      <c r="AI156" s="52">
        <f>IF(AI142&lt;&gt;0,AI46-AI153,0)</f>
        <v>0</v>
      </c>
      <c r="AJ156" s="52">
        <f>IF(AJ142&lt;&gt;0,AJ46-AJ153,0)</f>
        <v>0</v>
      </c>
      <c r="AK156" s="53">
        <f>IF(AK142&lt;&gt;0,AK46-AK153,0)</f>
        <v>0</v>
      </c>
    </row>
    <row r="157" spans="1:37" s="17" customFormat="1" ht="38.25" customHeight="1" x14ac:dyDescent="0.25">
      <c r="A157" s="5"/>
      <c r="B157" s="28"/>
      <c r="E157" s="36"/>
      <c r="F157" s="207"/>
      <c r="G157" s="221" t="s">
        <v>103</v>
      </c>
      <c r="H157" s="201">
        <f>H12-H14-H19-H26-H154-H155+H156</f>
        <v>10938.856182632835</v>
      </c>
      <c r="I157" s="201">
        <f t="shared" ref="I157:AK157" si="127">I12-I14-I19-I26-I154-I155+I156</f>
        <v>7274.1872172712829</v>
      </c>
      <c r="J157" s="201">
        <f t="shared" si="127"/>
        <v>7367.3610849544548</v>
      </c>
      <c r="K157" s="201">
        <f t="shared" si="127"/>
        <v>7461.4325328319355</v>
      </c>
      <c r="L157" s="201">
        <f t="shared" si="127"/>
        <v>7556.4100554063998</v>
      </c>
      <c r="M157" s="201">
        <f t="shared" si="127"/>
        <v>7652.3022253439085</v>
      </c>
      <c r="N157" s="201">
        <f t="shared" si="127"/>
        <v>7749.1176941600788</v>
      </c>
      <c r="O157" s="201">
        <f t="shared" si="127"/>
        <v>7846.8651929115958</v>
      </c>
      <c r="P157" s="201">
        <f t="shared" si="127"/>
        <v>7945.5535328934238</v>
      </c>
      <c r="Q157" s="201">
        <f t="shared" si="127"/>
        <v>7989.5424549390518</v>
      </c>
      <c r="R157" s="201">
        <f t="shared" si="127"/>
        <v>7734.3896728759173</v>
      </c>
      <c r="S157" s="201">
        <f t="shared" si="127"/>
        <v>7468.3157187654706</v>
      </c>
      <c r="T157" s="201">
        <f t="shared" si="127"/>
        <v>7190.9043565089269</v>
      </c>
      <c r="U157" s="201">
        <f t="shared" si="127"/>
        <v>6901.7237131538313</v>
      </c>
      <c r="V157" s="201">
        <f t="shared" si="127"/>
        <v>6600.325687368836</v>
      </c>
      <c r="W157" s="201">
        <f t="shared" si="127"/>
        <v>6286.245335306523</v>
      </c>
      <c r="X157" s="201">
        <f t="shared" si="127"/>
        <v>5959.0002329813051</v>
      </c>
      <c r="Y157" s="201">
        <f t="shared" si="127"/>
        <v>5832.6244464983029</v>
      </c>
      <c r="Z157" s="201">
        <f t="shared" si="127"/>
        <v>5902.6828967274241</v>
      </c>
      <c r="AA157" s="201">
        <f t="shared" si="127"/>
        <v>5973.3704132351158</v>
      </c>
      <c r="AB157" s="201">
        <f t="shared" si="127"/>
        <v>6044.6922789792407</v>
      </c>
      <c r="AC157" s="201">
        <f t="shared" si="127"/>
        <v>6116.6538155485359</v>
      </c>
      <c r="AD157" s="201">
        <f t="shared" si="127"/>
        <v>6189.2603833487719</v>
      </c>
      <c r="AE157" s="201">
        <f t="shared" si="127"/>
        <v>6262.5173817881241</v>
      </c>
      <c r="AF157" s="201">
        <f t="shared" si="127"/>
        <v>6336.4302494613803</v>
      </c>
      <c r="AG157" s="201">
        <f t="shared" si="127"/>
        <v>9374.1373071673934</v>
      </c>
      <c r="AH157" s="201">
        <f t="shared" si="127"/>
        <v>9468.9346802390683</v>
      </c>
      <c r="AI157" s="201">
        <f t="shared" si="127"/>
        <v>9564.6800270414551</v>
      </c>
      <c r="AJ157" s="201">
        <f t="shared" si="127"/>
        <v>9661.3828273118743</v>
      </c>
      <c r="AK157" s="202">
        <f t="shared" si="127"/>
        <v>9759.0526555849901</v>
      </c>
    </row>
    <row r="158" spans="1:37" s="17" customFormat="1" ht="38.25" customHeight="1" x14ac:dyDescent="0.25">
      <c r="A158" s="5"/>
      <c r="B158" s="28"/>
      <c r="E158" s="36"/>
      <c r="F158" s="207"/>
      <c r="G158" s="221" t="s">
        <v>104</v>
      </c>
      <c r="H158" s="199">
        <f>IF(H10=1,H157,H157+G158)</f>
        <v>10938.856182632835</v>
      </c>
      <c r="I158" s="199">
        <f>IF(I10=1,I157,I157+H158)</f>
        <v>18213.04339990412</v>
      </c>
      <c r="J158" s="199">
        <f>IF(J10=1,J157,J157+I158)</f>
        <v>25580.404484858576</v>
      </c>
      <c r="K158" s="199">
        <f>IF(K10=1,K157,K157+J158)</f>
        <v>33041.837017690515</v>
      </c>
      <c r="L158" s="199">
        <f>IF(L10=1,L157,L157+K158)</f>
        <v>40598.247073096914</v>
      </c>
      <c r="M158" s="199">
        <f>IF(M10=1,M157,M157+L158)</f>
        <v>48250.549298440819</v>
      </c>
      <c r="N158" s="199">
        <f>IF(N10=1,N157,N157+M158)</f>
        <v>55999.666992600898</v>
      </c>
      <c r="O158" s="199">
        <f>IF(O10=1,O157,O157+N158)</f>
        <v>63846.532185512493</v>
      </c>
      <c r="P158" s="199">
        <f>IF(P10=1,P157,P157+O158)</f>
        <v>71792.085718405913</v>
      </c>
      <c r="Q158" s="199">
        <f>IF(Q10=1,Q157,Q157+P158)</f>
        <v>79781.628173344972</v>
      </c>
      <c r="R158" s="199">
        <f>IF(R10=1,R157,R157+Q158)</f>
        <v>87516.017846220886</v>
      </c>
      <c r="S158" s="199">
        <f>IF(S10=1,S157,S157+R158)</f>
        <v>94984.333564986358</v>
      </c>
      <c r="T158" s="199">
        <f>IF(T10=1,T157,T157+S158)</f>
        <v>102175.23792149528</v>
      </c>
      <c r="U158" s="199">
        <f>IF(U10=1,U157,U157+T158)</f>
        <v>109076.96163464911</v>
      </c>
      <c r="V158" s="199">
        <f>IF(V10=1,V157,V157+U158)</f>
        <v>115677.28732201795</v>
      </c>
      <c r="W158" s="199">
        <f>IF(W10=1,W157,W157+V158)</f>
        <v>121963.53265732447</v>
      </c>
      <c r="X158" s="199">
        <f>IF(X10=1,X157,X157+W158)</f>
        <v>127922.53289030577</v>
      </c>
      <c r="Y158" s="199">
        <f>IF(Y10=1,Y157,Y157+X158)</f>
        <v>133755.15733680408</v>
      </c>
      <c r="Z158" s="199">
        <f>IF(Z10=1,Z157,Z157+Y158)</f>
        <v>139657.84023353152</v>
      </c>
      <c r="AA158" s="199">
        <f>IF(AA10=1,AA157,AA157+Z158)</f>
        <v>145631.21064676665</v>
      </c>
      <c r="AB158" s="199">
        <f>IF(AB10=1,AB157,AB157+AA158)</f>
        <v>151675.90292574588</v>
      </c>
      <c r="AC158" s="199">
        <f>IF(AC10=1,AC157,AC157+AB158)</f>
        <v>157792.55674129442</v>
      </c>
      <c r="AD158" s="199">
        <f>IF(AD10=1,AD157,AD157+AC158)</f>
        <v>163981.81712464319</v>
      </c>
      <c r="AE158" s="199">
        <f>IF(AE10=1,AE157,AE157+AD158)</f>
        <v>170244.3345064313</v>
      </c>
      <c r="AF158" s="199">
        <f>IF(AF10=1,AF157,AF157+AE158)</f>
        <v>176580.76475589268</v>
      </c>
      <c r="AG158" s="199">
        <f>IF(AG10=1,AG157,AG157+AF158)</f>
        <v>185954.90206306009</v>
      </c>
      <c r="AH158" s="199">
        <f>IF(AH10=1,AH157,AH157+AG158)</f>
        <v>195423.83674329915</v>
      </c>
      <c r="AI158" s="199">
        <f>IF(AI10=1,AI157,AI157+AH158)</f>
        <v>204988.51677034062</v>
      </c>
      <c r="AJ158" s="199">
        <f>IF(AJ10=1,AJ157,AJ157+AI158)</f>
        <v>214649.89959765249</v>
      </c>
      <c r="AK158" s="200">
        <f>IF(AK10=1,AK157,AK157+AJ158)</f>
        <v>224408.95225323748</v>
      </c>
    </row>
    <row r="159" spans="1:37" s="17" customFormat="1" ht="38.25" customHeight="1" x14ac:dyDescent="0.25">
      <c r="A159" s="5"/>
      <c r="B159" s="28"/>
      <c r="E159" s="36"/>
      <c r="F159" s="207"/>
      <c r="G159" s="189" t="s">
        <v>332</v>
      </c>
      <c r="H159" s="14">
        <f t="shared" ref="H159:AK159" si="128">IF(H$10&lt;5,$C$13,
IF(AND(H$10&gt;=5,$C$13&gt;$C$12*0.15),$C$13,
IF(AND(H$10&gt;=5,$C$13&lt;=$C$12*0.15),$C$12*0.15)))</f>
        <v>10000</v>
      </c>
      <c r="I159" s="14">
        <f t="shared" si="128"/>
        <v>10000</v>
      </c>
      <c r="J159" s="14">
        <f t="shared" si="128"/>
        <v>10000</v>
      </c>
      <c r="K159" s="14">
        <f t="shared" si="128"/>
        <v>10000</v>
      </c>
      <c r="L159" s="14">
        <f t="shared" si="128"/>
        <v>33000</v>
      </c>
      <c r="M159" s="14">
        <f t="shared" si="128"/>
        <v>33000</v>
      </c>
      <c r="N159" s="14">
        <f t="shared" si="128"/>
        <v>33000</v>
      </c>
      <c r="O159" s="14">
        <f t="shared" si="128"/>
        <v>33000</v>
      </c>
      <c r="P159" s="14">
        <f t="shared" si="128"/>
        <v>33000</v>
      </c>
      <c r="Q159" s="14">
        <f t="shared" si="128"/>
        <v>33000</v>
      </c>
      <c r="R159" s="14">
        <f t="shared" si="128"/>
        <v>33000</v>
      </c>
      <c r="S159" s="14">
        <f t="shared" si="128"/>
        <v>33000</v>
      </c>
      <c r="T159" s="14">
        <f t="shared" si="128"/>
        <v>33000</v>
      </c>
      <c r="U159" s="14">
        <f t="shared" si="128"/>
        <v>33000</v>
      </c>
      <c r="V159" s="14">
        <f t="shared" si="128"/>
        <v>33000</v>
      </c>
      <c r="W159" s="14">
        <f t="shared" si="128"/>
        <v>33000</v>
      </c>
      <c r="X159" s="14">
        <f t="shared" si="128"/>
        <v>33000</v>
      </c>
      <c r="Y159" s="14">
        <f t="shared" si="128"/>
        <v>33000</v>
      </c>
      <c r="Z159" s="14">
        <f t="shared" si="128"/>
        <v>33000</v>
      </c>
      <c r="AA159" s="14">
        <f t="shared" si="128"/>
        <v>33000</v>
      </c>
      <c r="AB159" s="14">
        <f t="shared" si="128"/>
        <v>33000</v>
      </c>
      <c r="AC159" s="14">
        <f t="shared" si="128"/>
        <v>33000</v>
      </c>
      <c r="AD159" s="14">
        <f t="shared" si="128"/>
        <v>33000</v>
      </c>
      <c r="AE159" s="14">
        <f t="shared" si="128"/>
        <v>33000</v>
      </c>
      <c r="AF159" s="14">
        <f t="shared" si="128"/>
        <v>33000</v>
      </c>
      <c r="AG159" s="14">
        <f t="shared" si="128"/>
        <v>33000</v>
      </c>
      <c r="AH159" s="14">
        <f t="shared" si="128"/>
        <v>33000</v>
      </c>
      <c r="AI159" s="14">
        <f t="shared" si="128"/>
        <v>33000</v>
      </c>
      <c r="AJ159" s="14">
        <f t="shared" si="128"/>
        <v>33000</v>
      </c>
      <c r="AK159" s="19">
        <f t="shared" si="128"/>
        <v>33000</v>
      </c>
    </row>
    <row r="160" spans="1:37" s="17" customFormat="1" ht="38.25" customHeight="1" x14ac:dyDescent="0.25">
      <c r="A160" s="5"/>
      <c r="B160" s="28"/>
      <c r="E160" s="36"/>
      <c r="F160" s="207"/>
      <c r="G160" s="189" t="s">
        <v>150</v>
      </c>
      <c r="H160" s="52">
        <f t="shared" ref="H160:AK160" si="129">IF(H$48-($C$12+$C$15*$C$12+H159)&lt;0,0,
IF(H$48-($C$12+$C$15*$C$12+H159)&gt;0,H$48-($C$12+$C$15*$C$12+H159)))</f>
        <v>0</v>
      </c>
      <c r="I160" s="52">
        <f t="shared" si="129"/>
        <v>0</v>
      </c>
      <c r="J160" s="52">
        <f t="shared" si="129"/>
        <v>0</v>
      </c>
      <c r="K160" s="52">
        <f t="shared" si="129"/>
        <v>0</v>
      </c>
      <c r="L160" s="52">
        <f t="shared" si="129"/>
        <v>0</v>
      </c>
      <c r="M160" s="52">
        <f t="shared" si="129"/>
        <v>0</v>
      </c>
      <c r="N160" s="52">
        <f t="shared" si="129"/>
        <v>0</v>
      </c>
      <c r="O160" s="52">
        <f t="shared" si="129"/>
        <v>0</v>
      </c>
      <c r="P160" s="52">
        <f t="shared" si="129"/>
        <v>0</v>
      </c>
      <c r="Q160" s="52">
        <f t="shared" si="129"/>
        <v>0</v>
      </c>
      <c r="R160" s="52">
        <f t="shared" si="129"/>
        <v>0</v>
      </c>
      <c r="S160" s="52">
        <f t="shared" si="129"/>
        <v>0</v>
      </c>
      <c r="T160" s="52">
        <f t="shared" si="129"/>
        <v>0</v>
      </c>
      <c r="U160" s="52">
        <f t="shared" si="129"/>
        <v>0</v>
      </c>
      <c r="V160" s="52">
        <f t="shared" si="129"/>
        <v>0</v>
      </c>
      <c r="W160" s="52">
        <f t="shared" si="129"/>
        <v>0</v>
      </c>
      <c r="X160" s="52">
        <f t="shared" si="129"/>
        <v>1790.0192157752463</v>
      </c>
      <c r="Y160" s="52">
        <f t="shared" si="129"/>
        <v>4513.9194079330191</v>
      </c>
      <c r="Z160" s="52">
        <f t="shared" si="129"/>
        <v>7265.0586020122864</v>
      </c>
      <c r="AA160" s="52">
        <f t="shared" si="129"/>
        <v>10043.70918803243</v>
      </c>
      <c r="AB160" s="52">
        <f t="shared" si="129"/>
        <v>12850.146279912733</v>
      </c>
      <c r="AC160" s="52">
        <f t="shared" si="129"/>
        <v>15684.647742711939</v>
      </c>
      <c r="AD160" s="52">
        <f t="shared" si="129"/>
        <v>18547.494220138993</v>
      </c>
      <c r="AE160" s="52">
        <f t="shared" si="129"/>
        <v>21438.969162340451</v>
      </c>
      <c r="AF160" s="52">
        <f t="shared" si="129"/>
        <v>24359.358853963902</v>
      </c>
      <c r="AG160" s="52">
        <f t="shared" si="129"/>
        <v>27308.952442503534</v>
      </c>
      <c r="AH160" s="52">
        <f t="shared" si="129"/>
        <v>30288.04196692846</v>
      </c>
      <c r="AI160" s="52">
        <f t="shared" si="129"/>
        <v>33296.922386597726</v>
      </c>
      <c r="AJ160" s="52">
        <f t="shared" si="129"/>
        <v>36335.891610463732</v>
      </c>
      <c r="AK160" s="53">
        <f t="shared" si="129"/>
        <v>39405.250526568445</v>
      </c>
    </row>
    <row r="161" spans="1:37" s="17" customFormat="1" ht="38.25" customHeight="1" x14ac:dyDescent="0.25">
      <c r="A161" s="5"/>
      <c r="B161" s="28"/>
      <c r="E161" s="36"/>
      <c r="F161" s="207"/>
      <c r="G161" s="189" t="s">
        <v>105</v>
      </c>
      <c r="H161" s="32">
        <f>IF(H$10&lt;=5,0,IF(AND(H$10&gt;5,H$10&lt;=21),(((H$10-5)*0.06)),IF(H$10&gt;21,1)))</f>
        <v>0</v>
      </c>
      <c r="I161" s="32">
        <f t="shared" ref="I161:AK161" si="130">IF(I$10&lt;=5,0,IF(AND(I$10&gt;5,I$10&lt;=21),(((I$10-5)*0.06)),IF(I$10&gt;21,1)))</f>
        <v>0</v>
      </c>
      <c r="J161" s="32">
        <f t="shared" si="130"/>
        <v>0</v>
      </c>
      <c r="K161" s="32">
        <f t="shared" si="130"/>
        <v>0</v>
      </c>
      <c r="L161" s="32">
        <f t="shared" si="130"/>
        <v>0</v>
      </c>
      <c r="M161" s="32">
        <f t="shared" si="130"/>
        <v>0.06</v>
      </c>
      <c r="N161" s="32">
        <f t="shared" si="130"/>
        <v>0.12</v>
      </c>
      <c r="O161" s="32">
        <f t="shared" si="130"/>
        <v>0.18</v>
      </c>
      <c r="P161" s="32">
        <f t="shared" si="130"/>
        <v>0.24</v>
      </c>
      <c r="Q161" s="32">
        <f t="shared" si="130"/>
        <v>0.3</v>
      </c>
      <c r="R161" s="32">
        <f t="shared" si="130"/>
        <v>0.36</v>
      </c>
      <c r="S161" s="32">
        <f t="shared" si="130"/>
        <v>0.42</v>
      </c>
      <c r="T161" s="32">
        <f t="shared" si="130"/>
        <v>0.48</v>
      </c>
      <c r="U161" s="32">
        <f t="shared" si="130"/>
        <v>0.54</v>
      </c>
      <c r="V161" s="32">
        <f t="shared" si="130"/>
        <v>0.6</v>
      </c>
      <c r="W161" s="32">
        <f t="shared" si="130"/>
        <v>0.65999999999999992</v>
      </c>
      <c r="X161" s="32">
        <f t="shared" si="130"/>
        <v>0.72</v>
      </c>
      <c r="Y161" s="32">
        <f t="shared" si="130"/>
        <v>0.78</v>
      </c>
      <c r="Z161" s="32">
        <f t="shared" si="130"/>
        <v>0.84</v>
      </c>
      <c r="AA161" s="32">
        <f t="shared" si="130"/>
        <v>0.89999999999999991</v>
      </c>
      <c r="AB161" s="32">
        <f t="shared" si="130"/>
        <v>0.96</v>
      </c>
      <c r="AC161" s="32">
        <f t="shared" si="130"/>
        <v>1</v>
      </c>
      <c r="AD161" s="32">
        <f t="shared" si="130"/>
        <v>1</v>
      </c>
      <c r="AE161" s="32">
        <f t="shared" si="130"/>
        <v>1</v>
      </c>
      <c r="AF161" s="32">
        <f t="shared" si="130"/>
        <v>1</v>
      </c>
      <c r="AG161" s="32">
        <f t="shared" si="130"/>
        <v>1</v>
      </c>
      <c r="AH161" s="32">
        <f t="shared" si="130"/>
        <v>1</v>
      </c>
      <c r="AI161" s="32">
        <f t="shared" si="130"/>
        <v>1</v>
      </c>
      <c r="AJ161" s="32">
        <f t="shared" si="130"/>
        <v>1</v>
      </c>
      <c r="AK161" s="33">
        <f t="shared" si="130"/>
        <v>1</v>
      </c>
    </row>
    <row r="162" spans="1:37" s="17" customFormat="1" ht="38.25" customHeight="1" x14ac:dyDescent="0.25">
      <c r="A162" s="5"/>
      <c r="B162" s="28"/>
      <c r="E162" s="36"/>
      <c r="F162" s="207"/>
      <c r="G162" s="189" t="s">
        <v>106</v>
      </c>
      <c r="H162" s="52">
        <f>H160*(1-H161)</f>
        <v>0</v>
      </c>
      <c r="I162" s="52">
        <f t="shared" ref="I162:AK162" si="131">I160*(1-I161)</f>
        <v>0</v>
      </c>
      <c r="J162" s="52">
        <f t="shared" si="131"/>
        <v>0</v>
      </c>
      <c r="K162" s="52">
        <f t="shared" si="131"/>
        <v>0</v>
      </c>
      <c r="L162" s="52">
        <f t="shared" si="131"/>
        <v>0</v>
      </c>
      <c r="M162" s="52">
        <f t="shared" si="131"/>
        <v>0</v>
      </c>
      <c r="N162" s="52">
        <f t="shared" si="131"/>
        <v>0</v>
      </c>
      <c r="O162" s="52">
        <f t="shared" si="131"/>
        <v>0</v>
      </c>
      <c r="P162" s="52">
        <f t="shared" si="131"/>
        <v>0</v>
      </c>
      <c r="Q162" s="52">
        <f t="shared" si="131"/>
        <v>0</v>
      </c>
      <c r="R162" s="52">
        <f t="shared" si="131"/>
        <v>0</v>
      </c>
      <c r="S162" s="52">
        <f t="shared" si="131"/>
        <v>0</v>
      </c>
      <c r="T162" s="52">
        <f t="shared" si="131"/>
        <v>0</v>
      </c>
      <c r="U162" s="52">
        <f t="shared" si="131"/>
        <v>0</v>
      </c>
      <c r="V162" s="52">
        <f t="shared" si="131"/>
        <v>0</v>
      </c>
      <c r="W162" s="52">
        <f t="shared" si="131"/>
        <v>0</v>
      </c>
      <c r="X162" s="52">
        <f t="shared" si="131"/>
        <v>501.20538041706902</v>
      </c>
      <c r="Y162" s="52">
        <f t="shared" si="131"/>
        <v>993.06226974526408</v>
      </c>
      <c r="Z162" s="52">
        <f t="shared" si="131"/>
        <v>1162.409376321966</v>
      </c>
      <c r="AA162" s="52">
        <f t="shared" si="131"/>
        <v>1004.3709188032439</v>
      </c>
      <c r="AB162" s="52">
        <f t="shared" si="131"/>
        <v>514.00585119650975</v>
      </c>
      <c r="AC162" s="52">
        <f t="shared" si="131"/>
        <v>0</v>
      </c>
      <c r="AD162" s="52">
        <f t="shared" si="131"/>
        <v>0</v>
      </c>
      <c r="AE162" s="52">
        <f t="shared" si="131"/>
        <v>0</v>
      </c>
      <c r="AF162" s="52">
        <f t="shared" si="131"/>
        <v>0</v>
      </c>
      <c r="AG162" s="52">
        <f t="shared" si="131"/>
        <v>0</v>
      </c>
      <c r="AH162" s="52">
        <f t="shared" si="131"/>
        <v>0</v>
      </c>
      <c r="AI162" s="52">
        <f t="shared" si="131"/>
        <v>0</v>
      </c>
      <c r="AJ162" s="52">
        <f t="shared" si="131"/>
        <v>0</v>
      </c>
      <c r="AK162" s="53">
        <f t="shared" si="131"/>
        <v>0</v>
      </c>
    </row>
    <row r="163" spans="1:37" s="17" customFormat="1" ht="38.25" customHeight="1" x14ac:dyDescent="0.25">
      <c r="A163" s="5"/>
      <c r="B163" s="28"/>
      <c r="E163" s="36"/>
      <c r="F163" s="207"/>
      <c r="G163" s="189" t="s">
        <v>107</v>
      </c>
      <c r="H163" s="14">
        <f t="shared" ref="H163:AK163" si="132">IF(AND($C$32=0,H162&lt;=50000),H162*0.19,
IF(AND($C$32&lt;&gt;0,H162&lt;=100000),H162*0.19,
IF(AND($C$32=0,H162&gt;50000,H162&lt;=100000),H162*0.21,
IF(AND($C$32=0,H162&gt;=100000,H162&lt;=150000),H162*0.22,
IF(AND($C$32=0,H162&gt;=150000,H162&lt;=200000),H162*0.23,
IF(AND($C$32=0,H162&gt;=200000,H162&lt;=250000),H162*0.24,
IF(AND($C$32=0,H162&gt;250000),H162*0.25,
IF(AND($C$32&lt;&gt;0,H162&gt;100000,H162&lt;=200000),H162*0.21,
IF(AND($C$32&lt;&gt;0,H162&gt;=200000,H162&lt;=300000),H162*0.22,
IF(AND($C$32&lt;&gt;0,H162&gt;=300000,H162&lt;=400000),H162*0.23,
IF(AND($C$32&lt;&gt;0,H162&gt;=400000,H162&lt;=500000),H162*0.24,
IF(AND($C$32&lt;&gt;0,H162&gt;500000),H162*0.25))))))))))))</f>
        <v>0</v>
      </c>
      <c r="I163" s="14">
        <f t="shared" si="132"/>
        <v>0</v>
      </c>
      <c r="J163" s="14">
        <f t="shared" si="132"/>
        <v>0</v>
      </c>
      <c r="K163" s="14">
        <f t="shared" si="132"/>
        <v>0</v>
      </c>
      <c r="L163" s="14">
        <f t="shared" si="132"/>
        <v>0</v>
      </c>
      <c r="M163" s="14">
        <f t="shared" si="132"/>
        <v>0</v>
      </c>
      <c r="N163" s="14">
        <f t="shared" si="132"/>
        <v>0</v>
      </c>
      <c r="O163" s="14">
        <f t="shared" si="132"/>
        <v>0</v>
      </c>
      <c r="P163" s="14">
        <f t="shared" si="132"/>
        <v>0</v>
      </c>
      <c r="Q163" s="14">
        <f t="shared" si="132"/>
        <v>0</v>
      </c>
      <c r="R163" s="14">
        <f t="shared" si="132"/>
        <v>0</v>
      </c>
      <c r="S163" s="14">
        <f t="shared" si="132"/>
        <v>0</v>
      </c>
      <c r="T163" s="14">
        <f t="shared" si="132"/>
        <v>0</v>
      </c>
      <c r="U163" s="14">
        <f t="shared" si="132"/>
        <v>0</v>
      </c>
      <c r="V163" s="14">
        <f t="shared" si="132"/>
        <v>0</v>
      </c>
      <c r="W163" s="14">
        <f t="shared" si="132"/>
        <v>0</v>
      </c>
      <c r="X163" s="14">
        <f t="shared" si="132"/>
        <v>95.229022279243111</v>
      </c>
      <c r="Y163" s="14">
        <f t="shared" si="132"/>
        <v>188.68183125160019</v>
      </c>
      <c r="Z163" s="14">
        <f t="shared" si="132"/>
        <v>220.85778150117355</v>
      </c>
      <c r="AA163" s="14">
        <f t="shared" si="132"/>
        <v>190.83047457261634</v>
      </c>
      <c r="AB163" s="14">
        <f t="shared" si="132"/>
        <v>97.661111727336859</v>
      </c>
      <c r="AC163" s="14">
        <f t="shared" si="132"/>
        <v>0</v>
      </c>
      <c r="AD163" s="14">
        <f t="shared" si="132"/>
        <v>0</v>
      </c>
      <c r="AE163" s="14">
        <f t="shared" si="132"/>
        <v>0</v>
      </c>
      <c r="AF163" s="14">
        <f t="shared" si="132"/>
        <v>0</v>
      </c>
      <c r="AG163" s="14">
        <f t="shared" si="132"/>
        <v>0</v>
      </c>
      <c r="AH163" s="14">
        <f t="shared" si="132"/>
        <v>0</v>
      </c>
      <c r="AI163" s="14">
        <f t="shared" si="132"/>
        <v>0</v>
      </c>
      <c r="AJ163" s="14">
        <f t="shared" si="132"/>
        <v>0</v>
      </c>
      <c r="AK163" s="19">
        <f t="shared" si="132"/>
        <v>0</v>
      </c>
    </row>
    <row r="164" spans="1:37" s="17" customFormat="1" ht="38.25" customHeight="1" x14ac:dyDescent="0.25">
      <c r="A164" s="5"/>
      <c r="B164" s="28"/>
      <c r="E164" s="36"/>
      <c r="F164" s="207"/>
      <c r="G164" s="189" t="s">
        <v>108</v>
      </c>
      <c r="H164" s="101">
        <f t="shared" ref="H164:AK164" si="133">IF(H$10&lt;=5,0%,IF(AND(H$10&gt;5,H$10&lt;=21),(((H$10-5)*0.0165)),IF(H$10=22,(0.28),IF(H$10&gt;22,(((H$10-22)*0.09+0.28))))))</f>
        <v>0</v>
      </c>
      <c r="I164" s="101">
        <f t="shared" si="133"/>
        <v>0</v>
      </c>
      <c r="J164" s="101">
        <f t="shared" si="133"/>
        <v>0</v>
      </c>
      <c r="K164" s="101">
        <f t="shared" si="133"/>
        <v>0</v>
      </c>
      <c r="L164" s="101">
        <f t="shared" si="133"/>
        <v>0</v>
      </c>
      <c r="M164" s="101">
        <f t="shared" si="133"/>
        <v>1.6500000000000001E-2</v>
      </c>
      <c r="N164" s="101">
        <f t="shared" si="133"/>
        <v>3.3000000000000002E-2</v>
      </c>
      <c r="O164" s="101">
        <f t="shared" si="133"/>
        <v>4.9500000000000002E-2</v>
      </c>
      <c r="P164" s="101">
        <f t="shared" si="133"/>
        <v>6.6000000000000003E-2</v>
      </c>
      <c r="Q164" s="101">
        <f t="shared" si="133"/>
        <v>8.2500000000000004E-2</v>
      </c>
      <c r="R164" s="101">
        <f t="shared" si="133"/>
        <v>9.9000000000000005E-2</v>
      </c>
      <c r="S164" s="101">
        <f t="shared" si="133"/>
        <v>0.11550000000000001</v>
      </c>
      <c r="T164" s="101">
        <f t="shared" si="133"/>
        <v>0.13200000000000001</v>
      </c>
      <c r="U164" s="101">
        <f t="shared" si="133"/>
        <v>0.14850000000000002</v>
      </c>
      <c r="V164" s="101">
        <f t="shared" si="133"/>
        <v>0.16500000000000001</v>
      </c>
      <c r="W164" s="101">
        <f t="shared" si="133"/>
        <v>0.18149999999999999</v>
      </c>
      <c r="X164" s="101">
        <f t="shared" si="133"/>
        <v>0.19800000000000001</v>
      </c>
      <c r="Y164" s="101">
        <f t="shared" si="133"/>
        <v>0.21450000000000002</v>
      </c>
      <c r="Z164" s="101">
        <f t="shared" si="133"/>
        <v>0.23100000000000001</v>
      </c>
      <c r="AA164" s="101">
        <f t="shared" si="133"/>
        <v>0.2475</v>
      </c>
      <c r="AB164" s="101">
        <f t="shared" si="133"/>
        <v>0.26400000000000001</v>
      </c>
      <c r="AC164" s="101">
        <f t="shared" si="133"/>
        <v>0.28000000000000003</v>
      </c>
      <c r="AD164" s="101">
        <f t="shared" si="133"/>
        <v>0.37</v>
      </c>
      <c r="AE164" s="101">
        <f t="shared" si="133"/>
        <v>0.46</v>
      </c>
      <c r="AF164" s="101">
        <f t="shared" si="133"/>
        <v>0.55000000000000004</v>
      </c>
      <c r="AG164" s="101">
        <f t="shared" si="133"/>
        <v>0.64</v>
      </c>
      <c r="AH164" s="101">
        <f t="shared" si="133"/>
        <v>0.73</v>
      </c>
      <c r="AI164" s="101">
        <f t="shared" si="133"/>
        <v>0.82000000000000006</v>
      </c>
      <c r="AJ164" s="101">
        <f t="shared" si="133"/>
        <v>0.91</v>
      </c>
      <c r="AK164" s="102">
        <f t="shared" si="133"/>
        <v>1</v>
      </c>
    </row>
    <row r="165" spans="1:37" s="17" customFormat="1" ht="38.25" customHeight="1" x14ac:dyDescent="0.25">
      <c r="A165" s="5"/>
      <c r="B165" s="28"/>
      <c r="E165" s="36"/>
      <c r="F165" s="207"/>
      <c r="G165" s="189" t="s">
        <v>109</v>
      </c>
      <c r="H165" s="14">
        <f>H160*(1-H164)</f>
        <v>0</v>
      </c>
      <c r="I165" s="14">
        <f t="shared" ref="I165:AK165" si="134">I160*(1-I164)</f>
        <v>0</v>
      </c>
      <c r="J165" s="14">
        <f t="shared" si="134"/>
        <v>0</v>
      </c>
      <c r="K165" s="14">
        <f t="shared" si="134"/>
        <v>0</v>
      </c>
      <c r="L165" s="14">
        <f t="shared" si="134"/>
        <v>0</v>
      </c>
      <c r="M165" s="14">
        <f t="shared" si="134"/>
        <v>0</v>
      </c>
      <c r="N165" s="14">
        <f t="shared" si="134"/>
        <v>0</v>
      </c>
      <c r="O165" s="14">
        <f t="shared" si="134"/>
        <v>0</v>
      </c>
      <c r="P165" s="14">
        <f t="shared" si="134"/>
        <v>0</v>
      </c>
      <c r="Q165" s="14">
        <f t="shared" si="134"/>
        <v>0</v>
      </c>
      <c r="R165" s="14">
        <f t="shared" si="134"/>
        <v>0</v>
      </c>
      <c r="S165" s="14">
        <f t="shared" si="134"/>
        <v>0</v>
      </c>
      <c r="T165" s="14">
        <f t="shared" si="134"/>
        <v>0</v>
      </c>
      <c r="U165" s="14">
        <f t="shared" si="134"/>
        <v>0</v>
      </c>
      <c r="V165" s="14">
        <f t="shared" si="134"/>
        <v>0</v>
      </c>
      <c r="W165" s="14">
        <f t="shared" si="134"/>
        <v>0</v>
      </c>
      <c r="X165" s="14">
        <f t="shared" si="134"/>
        <v>1435.5954110517475</v>
      </c>
      <c r="Y165" s="14">
        <f t="shared" si="134"/>
        <v>3545.6836949313865</v>
      </c>
      <c r="Z165" s="14">
        <f t="shared" si="134"/>
        <v>5586.8300649474486</v>
      </c>
      <c r="AA165" s="14">
        <f t="shared" si="134"/>
        <v>7557.8911639944026</v>
      </c>
      <c r="AB165" s="14">
        <f t="shared" si="134"/>
        <v>9457.7076620157713</v>
      </c>
      <c r="AC165" s="14">
        <f t="shared" si="134"/>
        <v>11292.946374752595</v>
      </c>
      <c r="AD165" s="14">
        <f t="shared" si="134"/>
        <v>11684.921358687565</v>
      </c>
      <c r="AE165" s="14">
        <f t="shared" si="134"/>
        <v>11577.043347663845</v>
      </c>
      <c r="AF165" s="14">
        <f t="shared" si="134"/>
        <v>10961.711484283755</v>
      </c>
      <c r="AG165" s="14">
        <f t="shared" si="134"/>
        <v>9831.2228793012728</v>
      </c>
      <c r="AH165" s="14">
        <f t="shared" si="134"/>
        <v>8177.7713310706849</v>
      </c>
      <c r="AI165" s="14">
        <f t="shared" si="134"/>
        <v>5993.4460295875888</v>
      </c>
      <c r="AJ165" s="14">
        <f t="shared" si="134"/>
        <v>3270.2302449417348</v>
      </c>
      <c r="AK165" s="19">
        <f t="shared" si="134"/>
        <v>0</v>
      </c>
    </row>
    <row r="166" spans="1:37" s="17" customFormat="1" ht="38.25" customHeight="1" x14ac:dyDescent="0.25">
      <c r="A166" s="5"/>
      <c r="B166" s="28"/>
      <c r="E166" s="36"/>
      <c r="F166" s="207"/>
      <c r="G166" s="189" t="s">
        <v>110</v>
      </c>
      <c r="H166" s="52">
        <f>H165*0.172</f>
        <v>0</v>
      </c>
      <c r="I166" s="52">
        <f t="shared" ref="I166:AK166" si="135">I165*0.172</f>
        <v>0</v>
      </c>
      <c r="J166" s="52">
        <f t="shared" si="135"/>
        <v>0</v>
      </c>
      <c r="K166" s="52">
        <f t="shared" si="135"/>
        <v>0</v>
      </c>
      <c r="L166" s="52">
        <f t="shared" si="135"/>
        <v>0</v>
      </c>
      <c r="M166" s="52">
        <f t="shared" si="135"/>
        <v>0</v>
      </c>
      <c r="N166" s="52">
        <f t="shared" si="135"/>
        <v>0</v>
      </c>
      <c r="O166" s="52">
        <f t="shared" si="135"/>
        <v>0</v>
      </c>
      <c r="P166" s="52">
        <f t="shared" si="135"/>
        <v>0</v>
      </c>
      <c r="Q166" s="52">
        <f t="shared" si="135"/>
        <v>0</v>
      </c>
      <c r="R166" s="52">
        <f t="shared" si="135"/>
        <v>0</v>
      </c>
      <c r="S166" s="52">
        <f t="shared" si="135"/>
        <v>0</v>
      </c>
      <c r="T166" s="52">
        <f t="shared" si="135"/>
        <v>0</v>
      </c>
      <c r="U166" s="52">
        <f t="shared" si="135"/>
        <v>0</v>
      </c>
      <c r="V166" s="52">
        <f t="shared" si="135"/>
        <v>0</v>
      </c>
      <c r="W166" s="52">
        <f t="shared" si="135"/>
        <v>0</v>
      </c>
      <c r="X166" s="52">
        <f t="shared" si="135"/>
        <v>246.92241070090054</v>
      </c>
      <c r="Y166" s="52">
        <f t="shared" si="135"/>
        <v>609.85759552819843</v>
      </c>
      <c r="Z166" s="52">
        <f t="shared" si="135"/>
        <v>960.93477117096108</v>
      </c>
      <c r="AA166" s="52">
        <f t="shared" si="135"/>
        <v>1299.9572802070372</v>
      </c>
      <c r="AB166" s="52">
        <f t="shared" si="135"/>
        <v>1626.7257178667126</v>
      </c>
      <c r="AC166" s="52">
        <f t="shared" si="135"/>
        <v>1942.3867764574461</v>
      </c>
      <c r="AD166" s="52">
        <f t="shared" si="135"/>
        <v>2009.8064736942611</v>
      </c>
      <c r="AE166" s="52">
        <f t="shared" si="135"/>
        <v>1991.251455798181</v>
      </c>
      <c r="AF166" s="52">
        <f t="shared" si="135"/>
        <v>1885.4143752968057</v>
      </c>
      <c r="AG166" s="52">
        <f t="shared" si="135"/>
        <v>1690.9703352398187</v>
      </c>
      <c r="AH166" s="52">
        <f t="shared" si="135"/>
        <v>1406.5766689441577</v>
      </c>
      <c r="AI166" s="52">
        <f t="shared" si="135"/>
        <v>1030.8727170890652</v>
      </c>
      <c r="AJ166" s="52">
        <f t="shared" si="135"/>
        <v>562.47960212997839</v>
      </c>
      <c r="AK166" s="53">
        <f t="shared" si="135"/>
        <v>0</v>
      </c>
    </row>
    <row r="167" spans="1:37" s="17" customFormat="1" ht="38.25" customHeight="1" x14ac:dyDescent="0.25">
      <c r="A167" s="5"/>
      <c r="B167" s="28"/>
      <c r="E167" s="36"/>
      <c r="F167" s="207"/>
      <c r="G167" s="189" t="s">
        <v>111</v>
      </c>
      <c r="H167" s="14">
        <f>H166+H163</f>
        <v>0</v>
      </c>
      <c r="I167" s="14">
        <f t="shared" ref="I167:AK167" si="136">I166+I163</f>
        <v>0</v>
      </c>
      <c r="J167" s="14">
        <f t="shared" si="136"/>
        <v>0</v>
      </c>
      <c r="K167" s="14">
        <f t="shared" si="136"/>
        <v>0</v>
      </c>
      <c r="L167" s="14">
        <f t="shared" si="136"/>
        <v>0</v>
      </c>
      <c r="M167" s="14">
        <f t="shared" si="136"/>
        <v>0</v>
      </c>
      <c r="N167" s="14">
        <f t="shared" si="136"/>
        <v>0</v>
      </c>
      <c r="O167" s="14">
        <f t="shared" si="136"/>
        <v>0</v>
      </c>
      <c r="P167" s="14">
        <f t="shared" si="136"/>
        <v>0</v>
      </c>
      <c r="Q167" s="14">
        <f t="shared" si="136"/>
        <v>0</v>
      </c>
      <c r="R167" s="14">
        <f t="shared" si="136"/>
        <v>0</v>
      </c>
      <c r="S167" s="14">
        <f t="shared" si="136"/>
        <v>0</v>
      </c>
      <c r="T167" s="14">
        <f t="shared" si="136"/>
        <v>0</v>
      </c>
      <c r="U167" s="14">
        <f t="shared" si="136"/>
        <v>0</v>
      </c>
      <c r="V167" s="14">
        <f t="shared" si="136"/>
        <v>0</v>
      </c>
      <c r="W167" s="14">
        <f t="shared" si="136"/>
        <v>0</v>
      </c>
      <c r="X167" s="14">
        <f t="shared" si="136"/>
        <v>342.15143298014368</v>
      </c>
      <c r="Y167" s="14">
        <f t="shared" si="136"/>
        <v>798.53942677979865</v>
      </c>
      <c r="Z167" s="14">
        <f t="shared" si="136"/>
        <v>1181.7925526721347</v>
      </c>
      <c r="AA167" s="14">
        <f t="shared" si="136"/>
        <v>1490.7877547796536</v>
      </c>
      <c r="AB167" s="14">
        <f t="shared" si="136"/>
        <v>1724.3868295940495</v>
      </c>
      <c r="AC167" s="14">
        <f t="shared" si="136"/>
        <v>1942.3867764574461</v>
      </c>
      <c r="AD167" s="14">
        <f t="shared" si="136"/>
        <v>2009.8064736942611</v>
      </c>
      <c r="AE167" s="14">
        <f t="shared" si="136"/>
        <v>1991.251455798181</v>
      </c>
      <c r="AF167" s="14">
        <f t="shared" si="136"/>
        <v>1885.4143752968057</v>
      </c>
      <c r="AG167" s="14">
        <f t="shared" si="136"/>
        <v>1690.9703352398187</v>
      </c>
      <c r="AH167" s="14">
        <f t="shared" si="136"/>
        <v>1406.5766689441577</v>
      </c>
      <c r="AI167" s="14">
        <f t="shared" si="136"/>
        <v>1030.8727170890652</v>
      </c>
      <c r="AJ167" s="14">
        <f t="shared" si="136"/>
        <v>562.47960212997839</v>
      </c>
      <c r="AK167" s="19">
        <f t="shared" si="136"/>
        <v>0</v>
      </c>
    </row>
    <row r="168" spans="1:37" s="17" customFormat="1" ht="38.25" customHeight="1" x14ac:dyDescent="0.25">
      <c r="A168" s="5"/>
      <c r="B168" s="28"/>
      <c r="E168" s="36"/>
      <c r="F168" s="207"/>
      <c r="G168" s="189" t="s">
        <v>112</v>
      </c>
      <c r="H168" s="52">
        <f t="shared" ref="H168" si="137">H$48-H167</f>
        <v>232300</v>
      </c>
      <c r="I168" s="52">
        <f t="shared" ref="I168:AK168" si="138">I$48-I167</f>
        <v>234623</v>
      </c>
      <c r="J168" s="52">
        <f t="shared" si="138"/>
        <v>236969.22999999998</v>
      </c>
      <c r="K168" s="52">
        <f t="shared" si="138"/>
        <v>239338.92230000001</v>
      </c>
      <c r="L168" s="52">
        <f t="shared" si="138"/>
        <v>241732.31152299998</v>
      </c>
      <c r="M168" s="52">
        <f t="shared" si="138"/>
        <v>244149.63463823003</v>
      </c>
      <c r="N168" s="52">
        <f t="shared" si="138"/>
        <v>246591.13098461227</v>
      </c>
      <c r="O168" s="52">
        <f t="shared" si="138"/>
        <v>249057.04229445846</v>
      </c>
      <c r="P168" s="52">
        <f t="shared" si="138"/>
        <v>251547.61271740304</v>
      </c>
      <c r="Q168" s="52">
        <f t="shared" si="138"/>
        <v>254063.08884457708</v>
      </c>
      <c r="R168" s="52">
        <f t="shared" si="138"/>
        <v>256603.71973302279</v>
      </c>
      <c r="S168" s="52">
        <f t="shared" si="138"/>
        <v>259169.75693035306</v>
      </c>
      <c r="T168" s="52">
        <f t="shared" si="138"/>
        <v>261761.4544996566</v>
      </c>
      <c r="U168" s="52">
        <f t="shared" si="138"/>
        <v>264379.06904465321</v>
      </c>
      <c r="V168" s="52">
        <f t="shared" si="138"/>
        <v>267022.85973509966</v>
      </c>
      <c r="W168" s="52">
        <f t="shared" si="138"/>
        <v>269693.08833245072</v>
      </c>
      <c r="X168" s="52">
        <f t="shared" si="138"/>
        <v>272047.8677827951</v>
      </c>
      <c r="Y168" s="52">
        <f t="shared" si="138"/>
        <v>274315.37998115324</v>
      </c>
      <c r="Z168" s="52">
        <f t="shared" si="138"/>
        <v>276683.26604934013</v>
      </c>
      <c r="AA168" s="52">
        <f t="shared" si="138"/>
        <v>279152.92143325275</v>
      </c>
      <c r="AB168" s="52">
        <f t="shared" si="138"/>
        <v>281725.7594503187</v>
      </c>
      <c r="AC168" s="52">
        <f t="shared" si="138"/>
        <v>284342.26096625451</v>
      </c>
      <c r="AD168" s="52">
        <f t="shared" si="138"/>
        <v>287137.68774644472</v>
      </c>
      <c r="AE168" s="52">
        <f t="shared" si="138"/>
        <v>290047.71770654229</v>
      </c>
      <c r="AF168" s="52">
        <f t="shared" si="138"/>
        <v>293073.94447866711</v>
      </c>
      <c r="AG168" s="52">
        <f t="shared" si="138"/>
        <v>296217.9821072637</v>
      </c>
      <c r="AH168" s="52">
        <f t="shared" si="138"/>
        <v>299481.46529798431</v>
      </c>
      <c r="AI168" s="52">
        <f t="shared" si="138"/>
        <v>302866.04966950865</v>
      </c>
      <c r="AJ168" s="52">
        <f t="shared" si="138"/>
        <v>306373.41200833378</v>
      </c>
      <c r="AK168" s="53">
        <f t="shared" si="138"/>
        <v>310005.25052656844</v>
      </c>
    </row>
    <row r="169" spans="1:37" s="17" customFormat="1" ht="38.25" customHeight="1" x14ac:dyDescent="0.25">
      <c r="A169" s="5"/>
      <c r="B169" s="28"/>
      <c r="E169" s="36"/>
      <c r="F169" s="207"/>
      <c r="G169" s="197" t="s">
        <v>307</v>
      </c>
      <c r="H169" s="201">
        <f t="shared" ref="H169" si="139">H168-H$16</f>
        <v>172772.59013239335</v>
      </c>
      <c r="I169" s="201">
        <f t="shared" ref="I169:AK169" si="140">I168-I$16</f>
        <v>177197.38344028787</v>
      </c>
      <c r="J169" s="201">
        <f t="shared" si="140"/>
        <v>181675.02140178814</v>
      </c>
      <c r="K169" s="201">
        <f t="shared" si="140"/>
        <v>186206.1535928009</v>
      </c>
      <c r="L169" s="201">
        <f t="shared" si="140"/>
        <v>190791.4377917269</v>
      </c>
      <c r="M169" s="201">
        <f t="shared" si="140"/>
        <v>195431.54008553433</v>
      </c>
      <c r="N169" s="201">
        <f t="shared" si="140"/>
        <v>200127.13497723115</v>
      </c>
      <c r="O169" s="201">
        <f t="shared" si="140"/>
        <v>204878.90549475676</v>
      </c>
      <c r="P169" s="201">
        <f t="shared" si="140"/>
        <v>209687.54330130978</v>
      </c>
      <c r="Q169" s="201">
        <f t="shared" si="140"/>
        <v>214553.74880713361</v>
      </c>
      <c r="R169" s="201">
        <f t="shared" si="140"/>
        <v>219478.2312827775</v>
      </c>
      <c r="S169" s="201">
        <f t="shared" si="140"/>
        <v>224461.70897385408</v>
      </c>
      <c r="T169" s="201">
        <f t="shared" si="140"/>
        <v>229504.9092173125</v>
      </c>
      <c r="U169" s="201">
        <f t="shared" si="140"/>
        <v>234608.56855924835</v>
      </c>
      <c r="V169" s="201">
        <f t="shared" si="140"/>
        <v>239773.43287427057</v>
      </c>
      <c r="W169" s="201">
        <f t="shared" si="140"/>
        <v>245000.25748644676</v>
      </c>
      <c r="X169" s="201">
        <f t="shared" si="140"/>
        <v>249947.65585886626</v>
      </c>
      <c r="Y169" s="201">
        <f t="shared" si="140"/>
        <v>254844.31745592662</v>
      </c>
      <c r="Z169" s="201">
        <f t="shared" si="140"/>
        <v>259878.39812056569</v>
      </c>
      <c r="AA169" s="201">
        <f t="shared" si="140"/>
        <v>265051.81527231832</v>
      </c>
      <c r="AB169" s="201">
        <f t="shared" si="140"/>
        <v>270366.51155695447</v>
      </c>
      <c r="AC169" s="201">
        <f t="shared" si="140"/>
        <v>275763.5046268666</v>
      </c>
      <c r="AD169" s="201">
        <f t="shared" si="140"/>
        <v>281378.60059753782</v>
      </c>
      <c r="AE169" s="201">
        <f t="shared" si="140"/>
        <v>287148.02940471272</v>
      </c>
      <c r="AF169" s="201">
        <f t="shared" si="140"/>
        <v>293073.94447866711</v>
      </c>
      <c r="AG169" s="201">
        <f t="shared" si="140"/>
        <v>296217.9821072637</v>
      </c>
      <c r="AH169" s="201">
        <f t="shared" si="140"/>
        <v>299481.46529798431</v>
      </c>
      <c r="AI169" s="201">
        <f t="shared" si="140"/>
        <v>302866.04966950865</v>
      </c>
      <c r="AJ169" s="201">
        <f t="shared" si="140"/>
        <v>306373.41200833378</v>
      </c>
      <c r="AK169" s="202">
        <f t="shared" si="140"/>
        <v>310005.25052656844</v>
      </c>
    </row>
    <row r="170" spans="1:37" s="17" customFormat="1" ht="38.25" customHeight="1" x14ac:dyDescent="0.25">
      <c r="A170" s="5"/>
      <c r="B170" s="28"/>
      <c r="E170" s="36"/>
      <c r="F170" s="207"/>
      <c r="G170" s="197" t="s">
        <v>271</v>
      </c>
      <c r="H170" s="199">
        <f>H$169+H158-$C$18</f>
        <v>-16288.553684973827</v>
      </c>
      <c r="I170" s="199">
        <f>I$169+I158-$C$18</f>
        <v>-4589.5731598080019</v>
      </c>
      <c r="J170" s="199">
        <f>J$169+J158-$C$18</f>
        <v>7255.425886646728</v>
      </c>
      <c r="K170" s="199">
        <f>K$169+K158-$C$18</f>
        <v>19247.990610491426</v>
      </c>
      <c r="L170" s="199">
        <f>L$169+L158-$C$18</f>
        <v>31389.684864823823</v>
      </c>
      <c r="M170" s="199">
        <f>M$169+M158-$C$18</f>
        <v>43682.089383975137</v>
      </c>
      <c r="N170" s="199">
        <f>N$169+N158-$C$18</f>
        <v>56126.801969832042</v>
      </c>
      <c r="O170" s="199">
        <f>O$169+O158-$C$18</f>
        <v>68725.437680269242</v>
      </c>
      <c r="P170" s="199">
        <f>P$169+P158-$C$18</f>
        <v>81479.629019715707</v>
      </c>
      <c r="Q170" s="199">
        <f>Q$169+Q158-$C$18</f>
        <v>94335.376980478584</v>
      </c>
      <c r="R170" s="199">
        <f>R$169+R158-$C$18</f>
        <v>106994.24912899837</v>
      </c>
      <c r="S170" s="199">
        <f>S$169+S158-$C$18</f>
        <v>119446.04253884044</v>
      </c>
      <c r="T170" s="199">
        <f>T$169+T158-$C$18</f>
        <v>131680.14713880781</v>
      </c>
      <c r="U170" s="199">
        <f>U$169+U158-$C$18</f>
        <v>143685.53019389743</v>
      </c>
      <c r="V170" s="199">
        <f>V$169+V158-$C$18</f>
        <v>155450.72019628854</v>
      </c>
      <c r="W170" s="199">
        <f>W$169+W158-$C$18</f>
        <v>166963.79014377121</v>
      </c>
      <c r="X170" s="199">
        <f>X$169+X158-$C$18</f>
        <v>177870.18874917203</v>
      </c>
      <c r="Y170" s="199">
        <f>Y$169+Y158-$C$18</f>
        <v>188599.4747927307</v>
      </c>
      <c r="Z170" s="199">
        <f>Z$169+Z158-$C$18</f>
        <v>199536.23835409724</v>
      </c>
      <c r="AA170" s="199">
        <f>AA$169+AA158-$C$18</f>
        <v>210683.02591908496</v>
      </c>
      <c r="AB170" s="199">
        <f>AB$169+AB158-$C$18</f>
        <v>222042.41448270035</v>
      </c>
      <c r="AC170" s="199">
        <f>AC$169+AC158-$C$18</f>
        <v>233556.061368161</v>
      </c>
      <c r="AD170" s="199">
        <f>AD$169+AD158-$C$18</f>
        <v>245360.41772218101</v>
      </c>
      <c r="AE170" s="199">
        <f>AE$169+AE158-$C$18</f>
        <v>257392.36391114403</v>
      </c>
      <c r="AF170" s="199">
        <f>AF$169+AF158-$C$18</f>
        <v>269654.70923455979</v>
      </c>
      <c r="AG170" s="199">
        <f>AG$169+AG158-$C$18</f>
        <v>282172.88417032378</v>
      </c>
      <c r="AH170" s="199">
        <f>AH$169+AH158-$C$18</f>
        <v>294905.30204128346</v>
      </c>
      <c r="AI170" s="199">
        <f>AI$169+AI158-$C$18</f>
        <v>307854.56643984927</v>
      </c>
      <c r="AJ170" s="199">
        <f>AJ$169+AJ158-$C$18</f>
        <v>321023.31160598627</v>
      </c>
      <c r="AK170" s="200">
        <f>AK$169+AK158-$C$18</f>
        <v>334414.20277980599</v>
      </c>
    </row>
    <row r="171" spans="1:37" s="36" customFormat="1" ht="38.25" customHeight="1" x14ac:dyDescent="0.25">
      <c r="A171" s="38"/>
      <c r="B171" s="22"/>
      <c r="F171" s="207"/>
      <c r="G171" s="188" t="s">
        <v>354</v>
      </c>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c r="AE171" s="20"/>
      <c r="AF171" s="20"/>
      <c r="AG171" s="20"/>
      <c r="AH171" s="20"/>
      <c r="AI171" s="20"/>
      <c r="AJ171" s="20"/>
      <c r="AK171" s="31"/>
    </row>
    <row r="172" spans="1:37" s="36" customFormat="1" ht="38.25" customHeight="1" x14ac:dyDescent="0.25">
      <c r="A172" s="38"/>
      <c r="B172" s="22"/>
      <c r="F172" s="207"/>
      <c r="G172" s="9" t="s">
        <v>267</v>
      </c>
      <c r="H172" s="52">
        <f>IF(H$10=1,($C$18*-1)+H157,H157)</f>
        <v>-189061.14381736718</v>
      </c>
      <c r="I172" s="52">
        <f>IF(I$10=1,($C$18*-1)+I157,I157)</f>
        <v>7274.1872172712829</v>
      </c>
      <c r="J172" s="52">
        <f>IF(J$10=1,($C$18*-1)+J157,J157)</f>
        <v>7367.3610849544548</v>
      </c>
      <c r="K172" s="52">
        <f>IF(K$10=1,($C$18*-1)+K157,K157)</f>
        <v>7461.4325328319355</v>
      </c>
      <c r="L172" s="52">
        <f>IF(L$10=1,($C$18*-1)+L157,L157)</f>
        <v>7556.4100554063998</v>
      </c>
      <c r="M172" s="52">
        <f>IF(M$10=1,($C$18*-1)+M157,M157)</f>
        <v>7652.3022253439085</v>
      </c>
      <c r="N172" s="52">
        <f>IF(N$10=1,($C$18*-1)+N157,N157)</f>
        <v>7749.1176941600788</v>
      </c>
      <c r="O172" s="52">
        <f>IF(O$10=1,($C$18*-1)+O157,O157)</f>
        <v>7846.8651929115958</v>
      </c>
      <c r="P172" s="52">
        <f>IF(P$10=1,($C$18*-1)+P157,P157)</f>
        <v>7945.5535328934238</v>
      </c>
      <c r="Q172" s="52">
        <f>IF(Q$10=1,($C$18*-1)+Q157,Q157)</f>
        <v>7989.5424549390518</v>
      </c>
      <c r="R172" s="52">
        <f>IF(R$10=1,($C$18*-1)+R157,R157)</f>
        <v>7734.3896728759173</v>
      </c>
      <c r="S172" s="52">
        <f>IF(S$10=1,($C$18*-1)+S157,S157)</f>
        <v>7468.3157187654706</v>
      </c>
      <c r="T172" s="52">
        <f>IF(T$10=1,($C$18*-1)+T157,T157)</f>
        <v>7190.9043565089269</v>
      </c>
      <c r="U172" s="52">
        <f>IF(U$10=1,($C$18*-1)+U157,U157)</f>
        <v>6901.7237131538313</v>
      </c>
      <c r="V172" s="52">
        <f>IF(V$10=1,($C$18*-1)+V157,V157)</f>
        <v>6600.325687368836</v>
      </c>
      <c r="W172" s="52">
        <f>IF(W$10=1,($C$18*-1)+W157,W157)</f>
        <v>6286.245335306523</v>
      </c>
      <c r="X172" s="52">
        <f>IF(X$10=1,($C$18*-1)+X157,X157)</f>
        <v>5959.0002329813051</v>
      </c>
      <c r="Y172" s="52">
        <f>IF(Y$10=1,($C$18*-1)+Y157,Y157)</f>
        <v>5832.6244464983029</v>
      </c>
      <c r="Z172" s="52">
        <f>IF(Z$10=1,($C$18*-1)+Z157,Z157)</f>
        <v>5902.6828967274241</v>
      </c>
      <c r="AA172" s="52">
        <f>IF(AA$10=1,($C$18*-1)+AA157,AA157)</f>
        <v>5973.3704132351158</v>
      </c>
      <c r="AB172" s="52">
        <f>IF(AB$10=1,($C$18*-1)+AB157,AB157)</f>
        <v>6044.6922789792407</v>
      </c>
      <c r="AC172" s="52">
        <f>IF(AC$10=1,($C$18*-1)+AC157,AC157)</f>
        <v>6116.6538155485359</v>
      </c>
      <c r="AD172" s="52">
        <f>IF(AD$10=1,($C$18*-1)+AD157,AD157)</f>
        <v>6189.2603833487719</v>
      </c>
      <c r="AE172" s="52">
        <f>IF(AE$10=1,($C$18*-1)+AE157,AE157)</f>
        <v>6262.5173817881241</v>
      </c>
      <c r="AF172" s="52">
        <f>IF(AF$10=1,($C$18*-1)+AF157,AF157)</f>
        <v>6336.4302494613803</v>
      </c>
      <c r="AG172" s="52">
        <f>IF(AG$10=1,($C$18*-1)+AG157,AG157)</f>
        <v>9374.1373071673934</v>
      </c>
      <c r="AH172" s="52">
        <f>IF(AH$10=1,($C$18*-1)+AH157,AH157)</f>
        <v>9468.9346802390683</v>
      </c>
      <c r="AI172" s="52">
        <f>IF(AI$10=1,($C$18*-1)+AI157,AI157)</f>
        <v>9564.6800270414551</v>
      </c>
      <c r="AJ172" s="52">
        <f>IF(AJ$10=1,($C$18*-1)+AJ157,AJ157)</f>
        <v>9661.3828273118743</v>
      </c>
      <c r="AK172" s="53">
        <f>IF(AK$10=1,($C$18*-1)+AK157,AK157)</f>
        <v>9759.0526555849901</v>
      </c>
    </row>
    <row r="173" spans="1:37" s="36" customFormat="1" ht="38.25" customHeight="1" x14ac:dyDescent="0.25">
      <c r="A173" s="38"/>
      <c r="B173" s="22"/>
      <c r="F173" s="208"/>
      <c r="G173" s="194" t="s">
        <v>266</v>
      </c>
      <c r="H173" s="210" t="str">
        <f>TRI!C169</f>
        <v>N/A</v>
      </c>
      <c r="I173" s="210">
        <f>TRI!D169</f>
        <v>-2.4275602416970243E-2</v>
      </c>
      <c r="J173" s="210">
        <f>TRI!E169</f>
        <v>1.9373075382866478E-2</v>
      </c>
      <c r="K173" s="210">
        <f>TRI!F169</f>
        <v>3.4092805266311421E-2</v>
      </c>
      <c r="L173" s="210">
        <f>TRI!G169</f>
        <v>4.1345025971108562E-2</v>
      </c>
      <c r="M173" s="210">
        <f>TRI!H169</f>
        <v>4.5578017231363344E-2</v>
      </c>
      <c r="N173" s="210">
        <f>TRI!I169</f>
        <v>4.8296395611735043E-2</v>
      </c>
      <c r="O173" s="210">
        <f>TRI!J169</f>
        <v>5.0150171983411651E-2</v>
      </c>
      <c r="P173" s="210">
        <f>TRI!K169</f>
        <v>5.1465898063019155E-2</v>
      </c>
      <c r="Q173" s="210">
        <f>TRI!L169</f>
        <v>5.2400390380544337E-2</v>
      </c>
      <c r="R173" s="210">
        <f>TRI!M169</f>
        <v>5.2954838056458842E-2</v>
      </c>
      <c r="S173" s="210">
        <f>TRI!N169</f>
        <v>5.3238867688460978E-2</v>
      </c>
      <c r="T173" s="210">
        <f>TRI!O169</f>
        <v>5.3324778776927761E-2</v>
      </c>
      <c r="U173" s="210">
        <f>TRI!P169</f>
        <v>5.3262031921784914E-2</v>
      </c>
      <c r="V173" s="210">
        <f>TRI!Q169</f>
        <v>5.3085482558463015E-2</v>
      </c>
      <c r="W173" s="210">
        <f>TRI!R169</f>
        <v>5.2820297917069992E-2</v>
      </c>
      <c r="X173" s="210">
        <f>TRI!S169</f>
        <v>5.2417020440846063E-2</v>
      </c>
      <c r="Y173" s="210">
        <f>TRI!T169</f>
        <v>5.1987491465804725E-2</v>
      </c>
      <c r="Z173" s="210">
        <f>TRI!U169</f>
        <v>5.1603648726123996E-2</v>
      </c>
      <c r="AA173" s="210">
        <f>TRI!V169</f>
        <v>5.1258046656660783E-2</v>
      </c>
      <c r="AB173" s="210">
        <f>TRI!W169</f>
        <v>5.0944710385147918E-2</v>
      </c>
      <c r="AC173" s="210">
        <f>TRI!X169</f>
        <v>5.0650846336402156E-2</v>
      </c>
      <c r="AD173" s="210">
        <f>TRI!Y169</f>
        <v>5.039041728310778E-2</v>
      </c>
      <c r="AE173" s="210">
        <f>TRI!Z169</f>
        <v>5.0150701058721436E-2</v>
      </c>
      <c r="AF173" s="210">
        <f>TRI!AA169</f>
        <v>4.9928857828356099E-2</v>
      </c>
      <c r="AG173" s="210">
        <f>TRI!AB169</f>
        <v>4.9724699732900168E-2</v>
      </c>
      <c r="AH173" s="210">
        <f>TRI!AC169</f>
        <v>4.9545013022495255E-2</v>
      </c>
      <c r="AI173" s="210">
        <f>TRI!AD169</f>
        <v>4.9386422828384458E-2</v>
      </c>
      <c r="AJ173" s="210">
        <f>TRI!AE169</f>
        <v>4.9246074383322958E-2</v>
      </c>
      <c r="AK173" s="211">
        <f>TRI!AF169</f>
        <v>4.9121540155882215E-2</v>
      </c>
    </row>
    <row r="174" spans="1:37" s="17" customFormat="1" ht="38.25" customHeight="1" x14ac:dyDescent="0.25">
      <c r="A174" s="5"/>
      <c r="B174" s="28"/>
      <c r="E174" s="36"/>
      <c r="F174" s="54"/>
      <c r="G174" s="27"/>
      <c r="H174" s="20"/>
      <c r="I174" s="20"/>
      <c r="J174" s="20"/>
      <c r="K174" s="20"/>
      <c r="L174" s="20"/>
      <c r="M174" s="20"/>
      <c r="N174" s="20"/>
      <c r="O174" s="20"/>
      <c r="P174" s="20"/>
      <c r="Q174" s="20"/>
      <c r="R174" s="20"/>
      <c r="S174" s="20"/>
      <c r="T174" s="20"/>
      <c r="U174" s="20"/>
      <c r="V174" s="14"/>
      <c r="W174" s="20"/>
      <c r="X174" s="20"/>
      <c r="Y174" s="20"/>
      <c r="Z174" s="20"/>
      <c r="AA174" s="20"/>
      <c r="AB174" s="20"/>
      <c r="AC174" s="20"/>
      <c r="AD174" s="20"/>
      <c r="AE174" s="20"/>
      <c r="AF174" s="20"/>
      <c r="AG174" s="20"/>
      <c r="AH174" s="20"/>
      <c r="AI174" s="20"/>
      <c r="AJ174" s="20"/>
      <c r="AK174" s="20"/>
    </row>
    <row r="175" spans="1:37" s="17" customFormat="1" ht="38.25" customHeight="1" x14ac:dyDescent="0.25">
      <c r="A175" s="5"/>
      <c r="B175" s="28"/>
      <c r="E175" s="36"/>
      <c r="F175" s="151" t="s">
        <v>156</v>
      </c>
      <c r="G175" s="189" t="s">
        <v>90</v>
      </c>
      <c r="H175" s="52">
        <f>H12*0.7</f>
        <v>13650</v>
      </c>
      <c r="I175" s="52">
        <f>I12*0.7</f>
        <v>13786.5</v>
      </c>
      <c r="J175" s="52">
        <f>J12*0.7</f>
        <v>13924.365</v>
      </c>
      <c r="K175" s="52">
        <f>K12*0.7</f>
        <v>14063.608649999996</v>
      </c>
      <c r="L175" s="52">
        <f>L12*0.7</f>
        <v>14204.244736500001</v>
      </c>
      <c r="M175" s="52">
        <f>M12*0.7</f>
        <v>14346.287183864999</v>
      </c>
      <c r="N175" s="52">
        <f>N12*0.7</f>
        <v>14489.750055703649</v>
      </c>
      <c r="O175" s="52">
        <f>O12*0.7</f>
        <v>14634.647556260683</v>
      </c>
      <c r="P175" s="52">
        <f>P12*0.7</f>
        <v>14780.994031823295</v>
      </c>
      <c r="Q175" s="52">
        <f>Q12*0.7</f>
        <v>14928.803972141528</v>
      </c>
      <c r="R175" s="52">
        <f>R12*0.7</f>
        <v>15078.092011862942</v>
      </c>
      <c r="S175" s="52">
        <f>S12*0.7</f>
        <v>15228.87293198157</v>
      </c>
      <c r="T175" s="52">
        <f>T12*0.7</f>
        <v>15381.161661301387</v>
      </c>
      <c r="U175" s="52">
        <f>U12*0.7</f>
        <v>15534.9732779144</v>
      </c>
      <c r="V175" s="52">
        <f>V12*0.7</f>
        <v>15690.323010693546</v>
      </c>
      <c r="W175" s="52">
        <f>W12*0.7</f>
        <v>15847.226240800479</v>
      </c>
      <c r="X175" s="52">
        <f>X12*0.7</f>
        <v>16005.698503208489</v>
      </c>
      <c r="Y175" s="52">
        <f>Y12*0.7</f>
        <v>16165.755488240571</v>
      </c>
      <c r="Z175" s="52">
        <f>Z12*0.7</f>
        <v>16327.413043122981</v>
      </c>
      <c r="AA175" s="52">
        <f>AA12*0.7</f>
        <v>16490.687173554208</v>
      </c>
      <c r="AB175" s="52">
        <f>AB12*0.7</f>
        <v>16655.594045289748</v>
      </c>
      <c r="AC175" s="52">
        <f>AC12*0.7</f>
        <v>16822.149985742646</v>
      </c>
      <c r="AD175" s="52">
        <f>AD12*0.7</f>
        <v>16990.371485600077</v>
      </c>
      <c r="AE175" s="52">
        <f>AE12*0.7</f>
        <v>17160.275200456072</v>
      </c>
      <c r="AF175" s="52">
        <f>AF12*0.7</f>
        <v>17331.877952460636</v>
      </c>
      <c r="AG175" s="52">
        <f>AG12*0.7</f>
        <v>17505.196731985245</v>
      </c>
      <c r="AH175" s="52">
        <f>AH12*0.7</f>
        <v>17680.248699305099</v>
      </c>
      <c r="AI175" s="52">
        <f>AI12*0.7</f>
        <v>17857.051186298144</v>
      </c>
      <c r="AJ175" s="52">
        <f>AJ12*0.7</f>
        <v>18035.621698161125</v>
      </c>
      <c r="AK175" s="53">
        <f>AK12*0.7</f>
        <v>18215.977915142739</v>
      </c>
    </row>
    <row r="176" spans="1:37" s="17" customFormat="1" ht="38.25" customHeight="1" x14ac:dyDescent="0.25">
      <c r="A176" s="5"/>
      <c r="B176" s="28"/>
      <c r="E176" s="36"/>
      <c r="F176" s="152"/>
      <c r="G176" s="189" t="s">
        <v>94</v>
      </c>
      <c r="H176" s="14">
        <f>H175+H38</f>
        <v>48750</v>
      </c>
      <c r="I176" s="14">
        <f>I175+I38</f>
        <v>50115</v>
      </c>
      <c r="J176" s="14">
        <f>J175+J38</f>
        <v>51525.24</v>
      </c>
      <c r="K176" s="14">
        <f>K175+K38</f>
        <v>52982.330699999999</v>
      </c>
      <c r="L176" s="14">
        <f>L175+L38</f>
        <v>54487.942080000008</v>
      </c>
      <c r="M176" s="14">
        <f>M175+M38</f>
        <v>56043.805624949993</v>
      </c>
      <c r="N176" s="14">
        <f>N175+N38</f>
        <v>57651.716634392411</v>
      </c>
      <c r="O176" s="14">
        <f>O175+O38</f>
        <v>59313.536620056155</v>
      </c>
      <c r="P176" s="14">
        <f>P175+P38</f>
        <v>61031.195794788524</v>
      </c>
      <c r="Q176" s="14">
        <f>Q175+Q38</f>
        <v>62806.695656341835</v>
      </c>
      <c r="R176" s="14">
        <f>R175+R38</f>
        <v>64642.111669669233</v>
      </c>
      <c r="S176" s="14">
        <f>S175+S38</f>
        <v>66539.596051525208</v>
      </c>
      <c r="T176" s="14">
        <f>T175+T38</f>
        <v>68501.380661314644</v>
      </c>
      <c r="U176" s="14">
        <f>U175+U38</f>
        <v>70529.780002286687</v>
      </c>
      <c r="V176" s="14">
        <f>V175+V38</f>
        <v>72627.194337329973</v>
      </c>
      <c r="W176" s="14">
        <f>W175+W38</f>
        <v>74796.112923790293</v>
      </c>
      <c r="X176" s="14">
        <f>X175+X38</f>
        <v>77039.117371904445</v>
      </c>
      <c r="Y176" s="14">
        <f>Y175+Y38</f>
        <v>79358.885131622548</v>
      </c>
      <c r="Z176" s="14">
        <f>Z175+Z38</f>
        <v>81758.193112776542</v>
      </c>
      <c r="AA176" s="14">
        <f>AA175+AA38</f>
        <v>84239.921443746294</v>
      </c>
      <c r="AB176" s="14">
        <f>AB175+AB38</f>
        <v>86807.057373974501</v>
      </c>
      <c r="AC176" s="14">
        <f>AC175+AC38</f>
        <v>89462.699325890309</v>
      </c>
      <c r="AD176" s="14">
        <f>AD175+AD38</f>
        <v>92210.061102018619</v>
      </c>
      <c r="AE176" s="14">
        <f>AE175+AE38</f>
        <v>95052.476253276298</v>
      </c>
      <c r="AF176" s="14">
        <f>AF175+AF38</f>
        <v>97993.402614690945</v>
      </c>
      <c r="AG176" s="14">
        <f>AG175+AG38</f>
        <v>101036.42701502098</v>
      </c>
      <c r="AH176" s="14">
        <f>AH175+AH38</f>
        <v>104185.27016700794</v>
      </c>
      <c r="AI176" s="14">
        <f>AI175+AI38</f>
        <v>107443.79174525515</v>
      </c>
      <c r="AJ176" s="14">
        <f>AJ175+AJ38</f>
        <v>110815.99565899887</v>
      </c>
      <c r="AK176" s="19">
        <f>AK175+AK38</f>
        <v>114306.03552732211</v>
      </c>
    </row>
    <row r="177" spans="1:37" s="17" customFormat="1" ht="38.25" customHeight="1" x14ac:dyDescent="0.25">
      <c r="A177" s="5"/>
      <c r="B177" s="28"/>
      <c r="E177" s="36"/>
      <c r="F177" s="152"/>
      <c r="G177" s="189" t="s">
        <v>265</v>
      </c>
      <c r="H177" s="52">
        <f t="shared" ref="H177:AK177" si="141">IF($C$32=0,H176,H176/2)</f>
        <v>24375</v>
      </c>
      <c r="I177" s="52">
        <f t="shared" si="141"/>
        <v>25057.5</v>
      </c>
      <c r="J177" s="52">
        <f t="shared" si="141"/>
        <v>25762.62</v>
      </c>
      <c r="K177" s="52">
        <f t="shared" si="141"/>
        <v>26491.165349999999</v>
      </c>
      <c r="L177" s="52">
        <f t="shared" si="141"/>
        <v>27243.971040000004</v>
      </c>
      <c r="M177" s="52">
        <f t="shared" si="141"/>
        <v>28021.902812474997</v>
      </c>
      <c r="N177" s="52">
        <f t="shared" si="141"/>
        <v>28825.858317196205</v>
      </c>
      <c r="O177" s="52">
        <f t="shared" si="141"/>
        <v>29656.768310028077</v>
      </c>
      <c r="P177" s="52">
        <f t="shared" si="141"/>
        <v>30515.597897394262</v>
      </c>
      <c r="Q177" s="52">
        <f t="shared" si="141"/>
        <v>31403.347828170918</v>
      </c>
      <c r="R177" s="52">
        <f t="shared" si="141"/>
        <v>32321.055834834617</v>
      </c>
      <c r="S177" s="52">
        <f t="shared" si="141"/>
        <v>33269.798025762604</v>
      </c>
      <c r="T177" s="52">
        <f t="shared" si="141"/>
        <v>34250.690330657322</v>
      </c>
      <c r="U177" s="52">
        <f t="shared" si="141"/>
        <v>35264.890001143343</v>
      </c>
      <c r="V177" s="52">
        <f t="shared" si="141"/>
        <v>36313.597168664986</v>
      </c>
      <c r="W177" s="52">
        <f t="shared" si="141"/>
        <v>37398.056461895147</v>
      </c>
      <c r="X177" s="52">
        <f t="shared" si="141"/>
        <v>38519.558685952223</v>
      </c>
      <c r="Y177" s="52">
        <f t="shared" si="141"/>
        <v>39679.442565811274</v>
      </c>
      <c r="Z177" s="52">
        <f t="shared" si="141"/>
        <v>40879.096556388271</v>
      </c>
      <c r="AA177" s="52">
        <f t="shared" si="141"/>
        <v>42119.960721873147</v>
      </c>
      <c r="AB177" s="52">
        <f t="shared" si="141"/>
        <v>43403.528686987251</v>
      </c>
      <c r="AC177" s="52">
        <f t="shared" si="141"/>
        <v>44731.349662945155</v>
      </c>
      <c r="AD177" s="52">
        <f t="shared" si="141"/>
        <v>46105.030551009309</v>
      </c>
      <c r="AE177" s="52">
        <f t="shared" si="141"/>
        <v>47526.238126638149</v>
      </c>
      <c r="AF177" s="52">
        <f t="shared" si="141"/>
        <v>48996.701307345473</v>
      </c>
      <c r="AG177" s="52">
        <f t="shared" si="141"/>
        <v>50518.213507510489</v>
      </c>
      <c r="AH177" s="52">
        <f t="shared" si="141"/>
        <v>52092.63508350397</v>
      </c>
      <c r="AI177" s="52">
        <f t="shared" si="141"/>
        <v>53721.895872627574</v>
      </c>
      <c r="AJ177" s="52">
        <f t="shared" si="141"/>
        <v>55407.997829499436</v>
      </c>
      <c r="AK177" s="53">
        <f t="shared" si="141"/>
        <v>57153.017763661053</v>
      </c>
    </row>
    <row r="178" spans="1:37" s="17" customFormat="1" ht="38.25" customHeight="1" x14ac:dyDescent="0.25">
      <c r="A178" s="5"/>
      <c r="B178" s="28"/>
      <c r="E178" s="36"/>
      <c r="F178" s="152"/>
      <c r="G178" s="189" t="s">
        <v>96</v>
      </c>
      <c r="H178" s="14">
        <f>IF(H177&lt;10084,0,
IF(AND(H177&gt;10084,H177&lt;=25710),(H177-10084)*0.11,
IF(AND(H177&gt;25710,H177&lt;=73516),(H177-25710)*0.3+1721.06,
IF(AND(H177&gt;73516,H177&lt;=158122),(H177-73516)*0.41+16062.86,
IF(H177&gt;158122,(H177-158122)*0.45+50751.32,
0)))))</f>
        <v>1572.01</v>
      </c>
      <c r="I178" s="14">
        <f t="shared" ref="I178:AK178" si="142">IF(I177&lt;10084,0,
IF(AND(I177&gt;10084,I177&lt;=25710),(I177-10084)*0.11,
IF(AND(I177&gt;25710,I177&lt;=73516),(I177-25710)*0.3+1721.06,
IF(AND(I177&gt;73516,I177&lt;=158122),(I177-73516)*0.41+16062.86,
IF(I177&gt;158122,(I177-158122)*0.45+50751.32,
0)))))</f>
        <v>1647.085</v>
      </c>
      <c r="J178" s="14">
        <f t="shared" si="142"/>
        <v>1736.8459999999995</v>
      </c>
      <c r="K178" s="14">
        <f t="shared" si="142"/>
        <v>1955.4096049999998</v>
      </c>
      <c r="L178" s="14">
        <f t="shared" si="142"/>
        <v>2181.2513120000012</v>
      </c>
      <c r="M178" s="14">
        <f t="shared" si="142"/>
        <v>2414.6308437424987</v>
      </c>
      <c r="N178" s="14">
        <f t="shared" si="142"/>
        <v>2655.8174951588617</v>
      </c>
      <c r="O178" s="14">
        <f t="shared" si="142"/>
        <v>2905.0904930084234</v>
      </c>
      <c r="P178" s="14">
        <f t="shared" si="142"/>
        <v>3162.7393692182786</v>
      </c>
      <c r="Q178" s="14">
        <f t="shared" si="142"/>
        <v>3429.0643484512752</v>
      </c>
      <c r="R178" s="14">
        <f t="shared" si="142"/>
        <v>3704.3767504503849</v>
      </c>
      <c r="S178" s="14">
        <f t="shared" si="142"/>
        <v>3988.9994077287811</v>
      </c>
      <c r="T178" s="14">
        <f t="shared" si="142"/>
        <v>4283.2670991971963</v>
      </c>
      <c r="U178" s="14">
        <f t="shared" si="142"/>
        <v>4587.5270003430032</v>
      </c>
      <c r="V178" s="14">
        <f t="shared" si="142"/>
        <v>4902.1391505994961</v>
      </c>
      <c r="W178" s="14">
        <f t="shared" si="142"/>
        <v>5227.476938568544</v>
      </c>
      <c r="X178" s="14">
        <f t="shared" si="142"/>
        <v>5563.9276057856659</v>
      </c>
      <c r="Y178" s="14">
        <f t="shared" si="142"/>
        <v>5911.8927697433828</v>
      </c>
      <c r="Z178" s="14">
        <f t="shared" si="142"/>
        <v>6271.7889669164815</v>
      </c>
      <c r="AA178" s="14">
        <f t="shared" si="142"/>
        <v>6644.0482165619433</v>
      </c>
      <c r="AB178" s="14">
        <f t="shared" si="142"/>
        <v>7029.1186060961754</v>
      </c>
      <c r="AC178" s="14">
        <f t="shared" si="142"/>
        <v>7427.464898883547</v>
      </c>
      <c r="AD178" s="14">
        <f t="shared" si="142"/>
        <v>7839.5691653027934</v>
      </c>
      <c r="AE178" s="14">
        <f t="shared" si="142"/>
        <v>8265.9314379914449</v>
      </c>
      <c r="AF178" s="14">
        <f t="shared" si="142"/>
        <v>8707.0703922036409</v>
      </c>
      <c r="AG178" s="14">
        <f t="shared" si="142"/>
        <v>9163.5240522531458</v>
      </c>
      <c r="AH178" s="14">
        <f t="shared" si="142"/>
        <v>9635.8505250511898</v>
      </c>
      <c r="AI178" s="14">
        <f t="shared" si="142"/>
        <v>10124.628761788272</v>
      </c>
      <c r="AJ178" s="14">
        <f t="shared" si="142"/>
        <v>10630.45934884983</v>
      </c>
      <c r="AK178" s="19">
        <f t="shared" si="142"/>
        <v>11153.965329098315</v>
      </c>
    </row>
    <row r="179" spans="1:37" s="17" customFormat="1" ht="38.25" customHeight="1" x14ac:dyDescent="0.25">
      <c r="A179" s="5"/>
      <c r="B179" s="28"/>
      <c r="E179" s="36"/>
      <c r="F179" s="152"/>
      <c r="G179" s="189" t="s">
        <v>97</v>
      </c>
      <c r="H179" s="52">
        <f t="shared" ref="H179:AK179" si="143">IF($C$32=0,H178,H178*2)</f>
        <v>3144.02</v>
      </c>
      <c r="I179" s="52">
        <f t="shared" si="143"/>
        <v>3294.17</v>
      </c>
      <c r="J179" s="52">
        <f t="shared" si="143"/>
        <v>3473.6919999999991</v>
      </c>
      <c r="K179" s="52">
        <f t="shared" si="143"/>
        <v>3910.8192099999997</v>
      </c>
      <c r="L179" s="52">
        <f t="shared" si="143"/>
        <v>4362.5026240000025</v>
      </c>
      <c r="M179" s="52">
        <f t="shared" si="143"/>
        <v>4829.2616874849973</v>
      </c>
      <c r="N179" s="52">
        <f t="shared" si="143"/>
        <v>5311.6349903177234</v>
      </c>
      <c r="O179" s="52">
        <f t="shared" si="143"/>
        <v>5810.1809860168469</v>
      </c>
      <c r="P179" s="52">
        <f t="shared" si="143"/>
        <v>6325.4787384365573</v>
      </c>
      <c r="Q179" s="52">
        <f t="shared" si="143"/>
        <v>6858.1286969025505</v>
      </c>
      <c r="R179" s="52">
        <f t="shared" si="143"/>
        <v>7408.7535009007697</v>
      </c>
      <c r="S179" s="52">
        <f t="shared" si="143"/>
        <v>7977.9988154575622</v>
      </c>
      <c r="T179" s="52">
        <f t="shared" si="143"/>
        <v>8566.5341983943927</v>
      </c>
      <c r="U179" s="52">
        <f t="shared" si="143"/>
        <v>9175.0540006860065</v>
      </c>
      <c r="V179" s="52">
        <f t="shared" si="143"/>
        <v>9804.2783011989923</v>
      </c>
      <c r="W179" s="52">
        <f t="shared" si="143"/>
        <v>10454.953877137088</v>
      </c>
      <c r="X179" s="52">
        <f t="shared" si="143"/>
        <v>11127.855211571332</v>
      </c>
      <c r="Y179" s="52">
        <f t="shared" si="143"/>
        <v>11823.785539486766</v>
      </c>
      <c r="Z179" s="52">
        <f t="shared" si="143"/>
        <v>12543.577933832963</v>
      </c>
      <c r="AA179" s="52">
        <f t="shared" si="143"/>
        <v>13288.096433123887</v>
      </c>
      <c r="AB179" s="52">
        <f t="shared" si="143"/>
        <v>14058.237212192351</v>
      </c>
      <c r="AC179" s="52">
        <f t="shared" si="143"/>
        <v>14854.929797767094</v>
      </c>
      <c r="AD179" s="52">
        <f t="shared" si="143"/>
        <v>15679.138330605587</v>
      </c>
      <c r="AE179" s="52">
        <f t="shared" si="143"/>
        <v>16531.86287598289</v>
      </c>
      <c r="AF179" s="52">
        <f t="shared" si="143"/>
        <v>17414.140784407282</v>
      </c>
      <c r="AG179" s="52">
        <f t="shared" si="143"/>
        <v>18327.048104506292</v>
      </c>
      <c r="AH179" s="52">
        <f t="shared" si="143"/>
        <v>19271.70105010238</v>
      </c>
      <c r="AI179" s="52">
        <f t="shared" si="143"/>
        <v>20249.257523576543</v>
      </c>
      <c r="AJ179" s="52">
        <f t="shared" si="143"/>
        <v>21260.918697699661</v>
      </c>
      <c r="AK179" s="53">
        <f t="shared" si="143"/>
        <v>22307.93065819663</v>
      </c>
    </row>
    <row r="180" spans="1:37" s="36" customFormat="1" ht="38.25" customHeight="1" x14ac:dyDescent="0.25">
      <c r="A180" s="38"/>
      <c r="B180" s="22"/>
      <c r="F180" s="152"/>
      <c r="G180" s="189" t="s">
        <v>98</v>
      </c>
      <c r="H180" s="14">
        <f t="shared" ref="H180:AK180" si="144">H176/$C$34</f>
        <v>16250</v>
      </c>
      <c r="I180" s="14">
        <f t="shared" si="144"/>
        <v>16705</v>
      </c>
      <c r="J180" s="14">
        <f t="shared" si="144"/>
        <v>17175.079999999998</v>
      </c>
      <c r="K180" s="14">
        <f t="shared" si="144"/>
        <v>17660.776900000001</v>
      </c>
      <c r="L180" s="14">
        <f t="shared" si="144"/>
        <v>18162.647360000003</v>
      </c>
      <c r="M180" s="14">
        <f t="shared" si="144"/>
        <v>18681.268541649999</v>
      </c>
      <c r="N180" s="14">
        <f t="shared" si="144"/>
        <v>19217.238878130804</v>
      </c>
      <c r="O180" s="14">
        <f t="shared" si="144"/>
        <v>19771.178873352052</v>
      </c>
      <c r="P180" s="14">
        <f t="shared" si="144"/>
        <v>20343.731931596176</v>
      </c>
      <c r="Q180" s="14">
        <f t="shared" si="144"/>
        <v>20935.565218780612</v>
      </c>
      <c r="R180" s="14">
        <f t="shared" si="144"/>
        <v>21547.370556556412</v>
      </c>
      <c r="S180" s="14">
        <f t="shared" si="144"/>
        <v>22179.865350508404</v>
      </c>
      <c r="T180" s="14">
        <f t="shared" si="144"/>
        <v>22833.793553771549</v>
      </c>
      <c r="U180" s="14">
        <f t="shared" si="144"/>
        <v>23509.926667428896</v>
      </c>
      <c r="V180" s="14">
        <f t="shared" si="144"/>
        <v>24209.064779109991</v>
      </c>
      <c r="W180" s="14">
        <f t="shared" si="144"/>
        <v>24932.037641263432</v>
      </c>
      <c r="X180" s="14">
        <f t="shared" si="144"/>
        <v>25679.705790634816</v>
      </c>
      <c r="Y180" s="14">
        <f t="shared" si="144"/>
        <v>26452.961710540851</v>
      </c>
      <c r="Z180" s="14">
        <f t="shared" si="144"/>
        <v>27252.731037592181</v>
      </c>
      <c r="AA180" s="14">
        <f t="shared" si="144"/>
        <v>28079.973814582099</v>
      </c>
      <c r="AB180" s="14">
        <f t="shared" si="144"/>
        <v>28935.685791324835</v>
      </c>
      <c r="AC180" s="14">
        <f t="shared" si="144"/>
        <v>29820.89977529677</v>
      </c>
      <c r="AD180" s="14">
        <f t="shared" si="144"/>
        <v>30736.687034006205</v>
      </c>
      <c r="AE180" s="14">
        <f t="shared" si="144"/>
        <v>31684.158751092098</v>
      </c>
      <c r="AF180" s="14">
        <f t="shared" si="144"/>
        <v>32664.467538230314</v>
      </c>
      <c r="AG180" s="14">
        <f t="shared" si="144"/>
        <v>33678.809005006995</v>
      </c>
      <c r="AH180" s="14">
        <f t="shared" si="144"/>
        <v>34728.423389002644</v>
      </c>
      <c r="AI180" s="14">
        <f t="shared" si="144"/>
        <v>35814.59724841838</v>
      </c>
      <c r="AJ180" s="14">
        <f t="shared" si="144"/>
        <v>36938.665219666291</v>
      </c>
      <c r="AK180" s="19">
        <f t="shared" si="144"/>
        <v>38102.011842440705</v>
      </c>
    </row>
    <row r="181" spans="1:37" s="17" customFormat="1" ht="38.25" customHeight="1" x14ac:dyDescent="0.25">
      <c r="A181" s="5"/>
      <c r="B181" s="28"/>
      <c r="E181" s="36"/>
      <c r="F181" s="152"/>
      <c r="G181" s="189" t="s">
        <v>99</v>
      </c>
      <c r="H181" s="52">
        <f>IF(H180&lt;10084,0,
IF(AND(H180&gt;10084,H180&lt;=25710),(H180-10084)*0.11,
IF(AND(H180&gt;25710,H180&lt;=73516),(H180-25710)*0.3+1721.06,
IF(AND(H180&gt;73516,H180&lt;=158122),(H180-73516)*0.41+16062.86,
IF(H180&gt;158122,(H180-158122)*0.45+50751.32,
0)))))</f>
        <v>678.26</v>
      </c>
      <c r="I181" s="52">
        <f t="shared" ref="I181:AK181" si="145">IF(I180&lt;10084,0,
IF(AND(I180&gt;10084,I180&lt;=25710),(I180-10084)*0.11,
IF(AND(I180&gt;25710,I180&lt;=73516),(I180-25710)*0.3+1721.06,
IF(AND(I180&gt;73516,I180&lt;=158122),(I180-73516)*0.41+16062.86,
IF(I180&gt;158122,(I180-158122)*0.45+50751.32,
0)))))</f>
        <v>728.31000000000006</v>
      </c>
      <c r="J181" s="52">
        <f t="shared" si="145"/>
        <v>780.01879999999983</v>
      </c>
      <c r="K181" s="52">
        <f t="shared" si="145"/>
        <v>833.44545900000014</v>
      </c>
      <c r="L181" s="52">
        <f t="shared" si="145"/>
        <v>888.65120960000024</v>
      </c>
      <c r="M181" s="52">
        <f t="shared" si="145"/>
        <v>945.69953958149983</v>
      </c>
      <c r="N181" s="52">
        <f t="shared" si="145"/>
        <v>1004.6562765943884</v>
      </c>
      <c r="O181" s="52">
        <f t="shared" si="145"/>
        <v>1065.5896760687258</v>
      </c>
      <c r="P181" s="52">
        <f t="shared" si="145"/>
        <v>1128.5705124755793</v>
      </c>
      <c r="Q181" s="52">
        <f t="shared" si="145"/>
        <v>1193.6721740658672</v>
      </c>
      <c r="R181" s="52">
        <f t="shared" si="145"/>
        <v>1260.9707612212053</v>
      </c>
      <c r="S181" s="52">
        <f t="shared" si="145"/>
        <v>1330.5451885559244</v>
      </c>
      <c r="T181" s="52">
        <f t="shared" si="145"/>
        <v>1402.4772909148705</v>
      </c>
      <c r="U181" s="52">
        <f t="shared" si="145"/>
        <v>1476.8519334171785</v>
      </c>
      <c r="V181" s="52">
        <f t="shared" si="145"/>
        <v>1553.7571257020991</v>
      </c>
      <c r="W181" s="52">
        <f t="shared" si="145"/>
        <v>1633.2841405389775</v>
      </c>
      <c r="X181" s="52">
        <f t="shared" si="145"/>
        <v>1715.5276369698297</v>
      </c>
      <c r="Y181" s="52">
        <f t="shared" si="145"/>
        <v>1943.948513162255</v>
      </c>
      <c r="Z181" s="52">
        <f t="shared" si="145"/>
        <v>2183.8793112776539</v>
      </c>
      <c r="AA181" s="52">
        <f t="shared" si="145"/>
        <v>2432.0521443746297</v>
      </c>
      <c r="AB181" s="52">
        <f t="shared" si="145"/>
        <v>2688.7657373974503</v>
      </c>
      <c r="AC181" s="52">
        <f t="shared" si="145"/>
        <v>2954.3299325890312</v>
      </c>
      <c r="AD181" s="52">
        <f t="shared" si="145"/>
        <v>3229.0661102018612</v>
      </c>
      <c r="AE181" s="52">
        <f t="shared" si="145"/>
        <v>3513.3076253276295</v>
      </c>
      <c r="AF181" s="52">
        <f t="shared" si="145"/>
        <v>3807.4002614690939</v>
      </c>
      <c r="AG181" s="52">
        <f t="shared" si="145"/>
        <v>4111.7027015020985</v>
      </c>
      <c r="AH181" s="52">
        <f t="shared" si="145"/>
        <v>4426.5870167007934</v>
      </c>
      <c r="AI181" s="52">
        <f t="shared" si="145"/>
        <v>4752.4391745255143</v>
      </c>
      <c r="AJ181" s="52">
        <f t="shared" si="145"/>
        <v>5089.6595658998867</v>
      </c>
      <c r="AK181" s="53">
        <f t="shared" si="145"/>
        <v>5438.6635527322105</v>
      </c>
    </row>
    <row r="182" spans="1:37" s="17" customFormat="1" ht="38.25" customHeight="1" x14ac:dyDescent="0.25">
      <c r="A182" s="5"/>
      <c r="B182" s="28"/>
      <c r="E182" s="36"/>
      <c r="F182" s="152"/>
      <c r="G182" s="189" t="s">
        <v>100</v>
      </c>
      <c r="H182" s="14">
        <f t="shared" ref="H182:AK182" si="146">H181*$C$34</f>
        <v>2034.78</v>
      </c>
      <c r="I182" s="14">
        <f t="shared" si="146"/>
        <v>2184.9300000000003</v>
      </c>
      <c r="J182" s="14">
        <f t="shared" si="146"/>
        <v>2340.0563999999995</v>
      </c>
      <c r="K182" s="14">
        <f t="shared" si="146"/>
        <v>2500.3363770000005</v>
      </c>
      <c r="L182" s="14">
        <f t="shared" si="146"/>
        <v>2665.9536288000008</v>
      </c>
      <c r="M182" s="14">
        <f t="shared" si="146"/>
        <v>2837.0986187444996</v>
      </c>
      <c r="N182" s="14">
        <f t="shared" si="146"/>
        <v>3013.9688297831653</v>
      </c>
      <c r="O182" s="14">
        <f t="shared" si="146"/>
        <v>3196.7690282061776</v>
      </c>
      <c r="P182" s="14">
        <f t="shared" si="146"/>
        <v>3385.7115374267378</v>
      </c>
      <c r="Q182" s="14">
        <f t="shared" si="146"/>
        <v>3581.0165221976017</v>
      </c>
      <c r="R182" s="14">
        <f t="shared" si="146"/>
        <v>3782.9122836636161</v>
      </c>
      <c r="S182" s="14">
        <f t="shared" si="146"/>
        <v>3991.6355656677733</v>
      </c>
      <c r="T182" s="14">
        <f t="shared" si="146"/>
        <v>4207.4318727446116</v>
      </c>
      <c r="U182" s="14">
        <f t="shared" si="146"/>
        <v>4430.5558002515354</v>
      </c>
      <c r="V182" s="14">
        <f t="shared" si="146"/>
        <v>4661.2713771062972</v>
      </c>
      <c r="W182" s="14">
        <f t="shared" si="146"/>
        <v>4899.8524216169326</v>
      </c>
      <c r="X182" s="14">
        <f t="shared" si="146"/>
        <v>5146.5829109094893</v>
      </c>
      <c r="Y182" s="14">
        <f t="shared" si="146"/>
        <v>5831.8455394867651</v>
      </c>
      <c r="Z182" s="14">
        <f t="shared" si="146"/>
        <v>6551.6379338329616</v>
      </c>
      <c r="AA182" s="14">
        <f t="shared" si="146"/>
        <v>7296.1564331238897</v>
      </c>
      <c r="AB182" s="14">
        <f t="shared" si="146"/>
        <v>8066.2972121923503</v>
      </c>
      <c r="AC182" s="14">
        <f t="shared" si="146"/>
        <v>8862.9897977670935</v>
      </c>
      <c r="AD182" s="14">
        <f t="shared" si="146"/>
        <v>9687.1983306055845</v>
      </c>
      <c r="AE182" s="14">
        <f t="shared" si="146"/>
        <v>10539.922875982887</v>
      </c>
      <c r="AF182" s="14">
        <f t="shared" si="146"/>
        <v>11422.200784407281</v>
      </c>
      <c r="AG182" s="14">
        <f t="shared" si="146"/>
        <v>12335.108104506297</v>
      </c>
      <c r="AH182" s="14">
        <f t="shared" si="146"/>
        <v>13279.761050102381</v>
      </c>
      <c r="AI182" s="14">
        <f t="shared" si="146"/>
        <v>14257.317523576543</v>
      </c>
      <c r="AJ182" s="14">
        <f t="shared" si="146"/>
        <v>15268.97869769966</v>
      </c>
      <c r="AK182" s="19">
        <f t="shared" si="146"/>
        <v>16315.990658196632</v>
      </c>
    </row>
    <row r="183" spans="1:37" s="17" customFormat="1" ht="38.25" customHeight="1" x14ac:dyDescent="0.25">
      <c r="A183" s="5"/>
      <c r="B183" s="28"/>
      <c r="E183" s="36"/>
      <c r="F183" s="152"/>
      <c r="G183" s="189" t="s">
        <v>101</v>
      </c>
      <c r="H183" s="52">
        <f>IF(H179-H42&gt;H182,H179-H42,H182)</f>
        <v>2034.78</v>
      </c>
      <c r="I183" s="52">
        <f>IF(I179-I42&gt;I182,I179-I42,I182)</f>
        <v>2184.9300000000003</v>
      </c>
      <c r="J183" s="52">
        <f>IF(J179-J42&gt;J182,J179-J42,J182)</f>
        <v>2340.0563999999995</v>
      </c>
      <c r="K183" s="52">
        <f>IF(K179-K42&gt;K182,K179-K42,K182)</f>
        <v>2500.3363770000005</v>
      </c>
      <c r="L183" s="52">
        <f>IF(L179-L42&gt;L182,L179-L42,L182)</f>
        <v>2665.9536288000008</v>
      </c>
      <c r="M183" s="52">
        <f>IF(M179-M42&gt;M182,M179-M42,M182)</f>
        <v>2837.0986187444996</v>
      </c>
      <c r="N183" s="52">
        <f>IF(N179-N42&gt;N182,N179-N42,N182)</f>
        <v>3013.9688297831653</v>
      </c>
      <c r="O183" s="52">
        <f>IF(O179-O42&gt;O182,O179-O42,O182)</f>
        <v>3196.7690282061776</v>
      </c>
      <c r="P183" s="52">
        <f>IF(P179-P42&gt;P182,P179-P42,P182)</f>
        <v>3385.7115374267378</v>
      </c>
      <c r="Q183" s="52">
        <f>IF(Q179-Q42&gt;Q182,Q179-Q42,Q182)</f>
        <v>3722.1286969025505</v>
      </c>
      <c r="R183" s="52">
        <f>IF(R179-R42&gt;R182,R179-R42,R182)</f>
        <v>4272.7535009007697</v>
      </c>
      <c r="S183" s="52">
        <f>IF(S179-S42&gt;S182,S179-S42,S182)</f>
        <v>4841.9988154575622</v>
      </c>
      <c r="T183" s="52">
        <f>IF(T179-T42&gt;T182,T179-T42,T182)</f>
        <v>5430.5341983943927</v>
      </c>
      <c r="U183" s="52">
        <f>IF(U179-U42&gt;U182,U179-U42,U182)</f>
        <v>6039.0540006860065</v>
      </c>
      <c r="V183" s="52">
        <f>IF(V179-V42&gt;V182,V179-V42,V182)</f>
        <v>6668.2783011989923</v>
      </c>
      <c r="W183" s="52">
        <f>IF(W179-W42&gt;W182,W179-W42,W182)</f>
        <v>7318.9538771370881</v>
      </c>
      <c r="X183" s="52">
        <f>IF(X179-X42&gt;X182,X179-X42,X182)</f>
        <v>7991.8552115713319</v>
      </c>
      <c r="Y183" s="52">
        <f>IF(Y179-Y42&gt;Y182,Y179-Y42,Y182)</f>
        <v>8687.7855394867656</v>
      </c>
      <c r="Z183" s="52">
        <f>IF(Z179-Z42&gt;Z182,Z179-Z42,Z182)</f>
        <v>9407.577933832963</v>
      </c>
      <c r="AA183" s="52">
        <f>IF(AA179-AA42&gt;AA182,AA179-AA42,AA182)</f>
        <v>10152.096433123887</v>
      </c>
      <c r="AB183" s="52">
        <f>IF(AB179-AB42&gt;AB182,AB179-AB42,AB182)</f>
        <v>10922.237212192351</v>
      </c>
      <c r="AC183" s="52">
        <f>IF(AC179-AC42&gt;AC182,AC179-AC42,AC182)</f>
        <v>11718.929797767094</v>
      </c>
      <c r="AD183" s="52">
        <f>IF(AD179-AD42&gt;AD182,AD179-AD42,AD182)</f>
        <v>12543.138330605587</v>
      </c>
      <c r="AE183" s="52">
        <f>IF(AE179-AE42&gt;AE182,AE179-AE42,AE182)</f>
        <v>13395.86287598289</v>
      </c>
      <c r="AF183" s="52">
        <f>IF(AF179-AF42&gt;AF182,AF179-AF42,AF182)</f>
        <v>14278.140784407282</v>
      </c>
      <c r="AG183" s="52">
        <f>IF(AG179-AG42&gt;AG182,AG179-AG42,AG182)</f>
        <v>15191.048104506292</v>
      </c>
      <c r="AH183" s="52">
        <f>IF(AH179-AH42&gt;AH182,AH179-AH42,AH182)</f>
        <v>16135.70105010238</v>
      </c>
      <c r="AI183" s="52">
        <f>IF(AI179-AI42&gt;AI182,AI179-AI42,AI182)</f>
        <v>17113.257523576543</v>
      </c>
      <c r="AJ183" s="52">
        <f>IF(AJ179-AJ42&gt;AJ182,AJ179-AJ42,AJ182)</f>
        <v>18124.918697699661</v>
      </c>
      <c r="AK183" s="53">
        <f>IF(AK179-AK42&gt;AK182,AK179-AK42,AK182)</f>
        <v>19171.93065819663</v>
      </c>
    </row>
    <row r="184" spans="1:37" s="17" customFormat="1" ht="38.25" customHeight="1" x14ac:dyDescent="0.25">
      <c r="A184" s="5"/>
      <c r="B184" s="28"/>
      <c r="E184" s="36"/>
      <c r="F184" s="152"/>
      <c r="G184" s="189" t="s">
        <v>102</v>
      </c>
      <c r="H184" s="14">
        <f>H175*0.172</f>
        <v>2347.7999999999997</v>
      </c>
      <c r="I184" s="14">
        <f t="shared" ref="I184:AK184" si="147">I175*0.172</f>
        <v>2371.2779999999998</v>
      </c>
      <c r="J184" s="14">
        <f t="shared" si="147"/>
        <v>2394.9907799999996</v>
      </c>
      <c r="K184" s="14">
        <f t="shared" si="147"/>
        <v>2418.9406877999991</v>
      </c>
      <c r="L184" s="14">
        <f t="shared" si="147"/>
        <v>2443.1300946779998</v>
      </c>
      <c r="M184" s="14">
        <f t="shared" si="147"/>
        <v>2467.5613956247798</v>
      </c>
      <c r="N184" s="14">
        <f t="shared" si="147"/>
        <v>2492.2370095810275</v>
      </c>
      <c r="O184" s="14">
        <f t="shared" si="147"/>
        <v>2517.159379676837</v>
      </c>
      <c r="P184" s="14">
        <f t="shared" si="147"/>
        <v>2542.3309734736067</v>
      </c>
      <c r="Q184" s="14">
        <f t="shared" si="147"/>
        <v>2567.7542832083427</v>
      </c>
      <c r="R184" s="14">
        <f t="shared" si="147"/>
        <v>2593.4318260404257</v>
      </c>
      <c r="S184" s="14">
        <f t="shared" si="147"/>
        <v>2619.36614430083</v>
      </c>
      <c r="T184" s="14">
        <f t="shared" si="147"/>
        <v>2645.5598057438383</v>
      </c>
      <c r="U184" s="14">
        <f t="shared" si="147"/>
        <v>2672.0154038012765</v>
      </c>
      <c r="V184" s="14">
        <f t="shared" si="147"/>
        <v>2698.7355578392899</v>
      </c>
      <c r="W184" s="14">
        <f t="shared" si="147"/>
        <v>2725.7229134176823</v>
      </c>
      <c r="X184" s="14">
        <f t="shared" si="147"/>
        <v>2752.9801425518599</v>
      </c>
      <c r="Y184" s="14">
        <f t="shared" si="147"/>
        <v>2780.509943977378</v>
      </c>
      <c r="Z184" s="14">
        <f t="shared" si="147"/>
        <v>2808.3150434171525</v>
      </c>
      <c r="AA184" s="14">
        <f t="shared" si="147"/>
        <v>2836.3981938513234</v>
      </c>
      <c r="AB184" s="14">
        <f t="shared" si="147"/>
        <v>2864.7621757898364</v>
      </c>
      <c r="AC184" s="14">
        <f t="shared" si="147"/>
        <v>2893.4097975477348</v>
      </c>
      <c r="AD184" s="14">
        <f t="shared" si="147"/>
        <v>2922.3438955232132</v>
      </c>
      <c r="AE184" s="14">
        <f t="shared" si="147"/>
        <v>2951.5673344784441</v>
      </c>
      <c r="AF184" s="14">
        <f t="shared" si="147"/>
        <v>2981.0830078232293</v>
      </c>
      <c r="AG184" s="14">
        <f t="shared" si="147"/>
        <v>3010.8938379014617</v>
      </c>
      <c r="AH184" s="14">
        <f t="shared" si="147"/>
        <v>3041.0027762804766</v>
      </c>
      <c r="AI184" s="14">
        <f t="shared" si="147"/>
        <v>3071.4128040432806</v>
      </c>
      <c r="AJ184" s="14">
        <f t="shared" si="147"/>
        <v>3102.1269320837132</v>
      </c>
      <c r="AK184" s="19">
        <f t="shared" si="147"/>
        <v>3133.1482014045509</v>
      </c>
    </row>
    <row r="185" spans="1:37" s="17" customFormat="1" ht="38.25" customHeight="1" x14ac:dyDescent="0.25">
      <c r="A185" s="5"/>
      <c r="B185" s="28"/>
      <c r="E185" s="36"/>
      <c r="F185" s="152"/>
      <c r="G185" s="189" t="s">
        <v>91</v>
      </c>
      <c r="H185" s="52">
        <f>H183-H46</f>
        <v>1501.5</v>
      </c>
      <c r="I185" s="52">
        <f>I183-I46</f>
        <v>1516.5150000000003</v>
      </c>
      <c r="J185" s="52">
        <f>J183-J46</f>
        <v>1531.6801499999995</v>
      </c>
      <c r="K185" s="52">
        <f>K183-K46</f>
        <v>1546.9969515</v>
      </c>
      <c r="L185" s="52">
        <f>L183-L46</f>
        <v>1562.4669210150003</v>
      </c>
      <c r="M185" s="52">
        <f>M183-M46</f>
        <v>1578.09159022515</v>
      </c>
      <c r="N185" s="52">
        <f>N183-N46</f>
        <v>1593.8725061274015</v>
      </c>
      <c r="O185" s="52">
        <f>O183-O46</f>
        <v>1609.8112311886762</v>
      </c>
      <c r="P185" s="52">
        <f>P183-P46</f>
        <v>1625.909343500563</v>
      </c>
      <c r="Q185" s="52">
        <f>Q183-Q46</f>
        <v>1783.2806116405168</v>
      </c>
      <c r="R185" s="52">
        <f>R183-R46</f>
        <v>2148.4313385420774</v>
      </c>
      <c r="S185" s="52">
        <f>S183-S46</f>
        <v>2525.5392723077616</v>
      </c>
      <c r="T185" s="52">
        <f>T183-T46</f>
        <v>2915.0301083929348</v>
      </c>
      <c r="U185" s="52">
        <f>U183-U46</f>
        <v>3317.3452610050549</v>
      </c>
      <c r="V185" s="52">
        <f>V183-V46</f>
        <v>3732.9424552689861</v>
      </c>
      <c r="W185" s="52">
        <f>W183-W46</f>
        <v>4162.2963420082087</v>
      </c>
      <c r="X185" s="52">
        <f>X183-X46</f>
        <v>4605.8991360147756</v>
      </c>
      <c r="Y185" s="52">
        <f>Y183-Y46</f>
        <v>4849.7266464721743</v>
      </c>
      <c r="Z185" s="52">
        <f>Z183-Z46</f>
        <v>4898.2239129368945</v>
      </c>
      <c r="AA185" s="52">
        <f>AA183-AA46</f>
        <v>4947.206152066261</v>
      </c>
      <c r="AB185" s="52">
        <f>AB183-AB46</f>
        <v>4996.6782135869253</v>
      </c>
      <c r="AC185" s="52">
        <f>AC183-AC46</f>
        <v>5046.6449957227924</v>
      </c>
      <c r="AD185" s="52">
        <f>AD183-AD46</f>
        <v>5097.1114456800242</v>
      </c>
      <c r="AE185" s="52">
        <f>AE183-AE46</f>
        <v>5148.0825601368233</v>
      </c>
      <c r="AF185" s="52">
        <f>AF183-AF46</f>
        <v>5199.5633857381908</v>
      </c>
      <c r="AG185" s="52">
        <f>AG183-AG46</f>
        <v>5251.5590195955701</v>
      </c>
      <c r="AH185" s="52">
        <f>AH183-AH46</f>
        <v>5304.0746097915289</v>
      </c>
      <c r="AI185" s="52">
        <f>AI183-AI46</f>
        <v>5357.1153558894403</v>
      </c>
      <c r="AJ185" s="52">
        <f>AJ183-AJ46</f>
        <v>5410.6865094483364</v>
      </c>
      <c r="AK185" s="53">
        <f>AK183-AK46</f>
        <v>5464.7933745428199</v>
      </c>
    </row>
    <row r="186" spans="1:37" s="17" customFormat="1" ht="38.25" customHeight="1" x14ac:dyDescent="0.25">
      <c r="A186" s="5"/>
      <c r="B186" s="28"/>
      <c r="E186" s="36"/>
      <c r="F186" s="152"/>
      <c r="G186" s="221" t="s">
        <v>103</v>
      </c>
      <c r="H186" s="201">
        <f>H12-H19-H26-H185-H14-H184</f>
        <v>6967.3753901079835</v>
      </c>
      <c r="I186" s="201">
        <f>I12-I19-I26-I185-I14-I184</f>
        <v>7068.8823901079868</v>
      </c>
      <c r="J186" s="201">
        <f>J12-J19-J26-J185-J14-J184</f>
        <v>7171.4044601079877</v>
      </c>
      <c r="K186" s="201">
        <f>K12-K19-K26-K185-K14-K184</f>
        <v>7274.9517508079844</v>
      </c>
      <c r="L186" s="201">
        <f>L12-L19-L26-L185-L14-L184</f>
        <v>7379.5345144149887</v>
      </c>
      <c r="M186" s="201">
        <f>M12-M19-M26-M185-M14-M184</f>
        <v>7485.1631056580518</v>
      </c>
      <c r="N186" s="201">
        <f>N12-N19-N26-N185-N14-N184</f>
        <v>7591.8479828135569</v>
      </c>
      <c r="O186" s="201">
        <f>O12-O19-O26-O185-O14-O184</f>
        <v>7699.5997087406122</v>
      </c>
      <c r="P186" s="201">
        <f>P12-P19-P26-P185-P14-P184</f>
        <v>7808.4289519269405</v>
      </c>
      <c r="Q186" s="201">
        <f>Q12-Q19-Q26-Q185-Q14-Q184</f>
        <v>7777.2343128401781</v>
      </c>
      <c r="R186" s="201">
        <f>R12-R19-R26-R185-R14-R184</f>
        <v>7539.521981282347</v>
      </c>
      <c r="S186" s="201">
        <f>S12-S19-S26-S185-S14-S184</f>
        <v>7291.1268268138283</v>
      </c>
      <c r="T186" s="201">
        <f>T12-T19-T26-T185-T14-T184</f>
        <v>7031.6358978187873</v>
      </c>
      <c r="U186" s="201">
        <f>U12-U19-U26-U185-U14-U184</f>
        <v>6760.6206513677043</v>
      </c>
      <c r="V186" s="201">
        <f>V12-V19-V26-V185-V14-V184</f>
        <v>6477.6363623264233</v>
      </c>
      <c r="W186" s="201">
        <f>W12-W19-W26-W185-W14-W184</f>
        <v>6182.2215098620718</v>
      </c>
      <c r="X186" s="201">
        <f>X12-X19-X26-X185-X14-X184</f>
        <v>5873.897140473131</v>
      </c>
      <c r="Y186" s="201">
        <f>Y12-Y19-Y26-Y185-Y14-Y184</f>
        <v>5766.700838879533</v>
      </c>
      <c r="Z186" s="201">
        <f>Z12-Z19-Z26-Z185-Z14-Z184</f>
        <v>5856.2010933672518</v>
      </c>
      <c r="AA186" s="201">
        <f>AA12-AA19-AA26-AA185-AA14-AA184</f>
        <v>5946.5963503998455</v>
      </c>
      <c r="AB186" s="201">
        <f>AB12-AB19-AB26-AB185-AB14-AB184</f>
        <v>6037.8955600027602</v>
      </c>
      <c r="AC186" s="201">
        <f>AC12-AC19-AC26-AC185-AC14-AC184</f>
        <v>6130.107761701709</v>
      </c>
      <c r="AD186" s="201">
        <f>AD12-AD19-AD26-AD185-AD14-AD184</f>
        <v>6223.2420854176444</v>
      </c>
      <c r="AE186" s="201">
        <f>AE12-AE19-AE26-AE185-AE14-AE184</f>
        <v>6317.3077523707434</v>
      </c>
      <c r="AF186" s="201">
        <f>AF12-AF19-AF26-AF185-AF14-AF184</f>
        <v>6412.3140759933731</v>
      </c>
      <c r="AG186" s="201">
        <f>AG12-AG19-AG26-AG185-AG14-AG184</f>
        <v>9491.5950727442469</v>
      </c>
      <c r="AH186" s="201">
        <f>AH12-AH19-AH26-AH185-AH14-AH184</f>
        <v>9588.5110234716867</v>
      </c>
      <c r="AI186" s="201">
        <f>AI12-AI19-AI26-AI185-AI14-AI184</f>
        <v>9686.3961337063993</v>
      </c>
      <c r="AJ186" s="201">
        <f>AJ12-AJ19-AJ26-AJ185-AJ14-AJ184</f>
        <v>9785.2600950434644</v>
      </c>
      <c r="AK186" s="202">
        <f>AK12-AK19-AK26-AK185-AK14-AK184</f>
        <v>9885.1126959939029</v>
      </c>
    </row>
    <row r="187" spans="1:37" s="17" customFormat="1" ht="38.25" customHeight="1" x14ac:dyDescent="0.25">
      <c r="A187" s="5"/>
      <c r="B187" s="28"/>
      <c r="E187" s="36"/>
      <c r="F187" s="152"/>
      <c r="G187" s="221" t="s">
        <v>104</v>
      </c>
      <c r="H187" s="199">
        <f>IF(H10=1,H186,H186+G187)</f>
        <v>6967.3753901079835</v>
      </c>
      <c r="I187" s="199">
        <f>IF(I10=1,I186,I186+H187)</f>
        <v>14036.25778021597</v>
      </c>
      <c r="J187" s="199">
        <f>IF(J10=1,J186,J186+I187)</f>
        <v>21207.66224032396</v>
      </c>
      <c r="K187" s="199">
        <f>IF(K10=1,K186,K186+J187)</f>
        <v>28482.613991131944</v>
      </c>
      <c r="L187" s="199">
        <f>IF(L10=1,L186,L186+K187)</f>
        <v>35862.148505546931</v>
      </c>
      <c r="M187" s="199">
        <f>IF(M10=1,M186,M186+L187)</f>
        <v>43347.311611204983</v>
      </c>
      <c r="N187" s="199">
        <f>IF(N10=1,N186,N186+M187)</f>
        <v>50939.159594018536</v>
      </c>
      <c r="O187" s="199">
        <f>IF(O10=1,O186,O186+N187)</f>
        <v>58638.75930275915</v>
      </c>
      <c r="P187" s="199">
        <f>IF(P10=1,P186,P186+O187)</f>
        <v>66447.188254686087</v>
      </c>
      <c r="Q187" s="199">
        <f>IF(Q10=1,Q186,Q186+P187)</f>
        <v>74224.422567526271</v>
      </c>
      <c r="R187" s="199">
        <f>IF(R10=1,R186,R186+Q187)</f>
        <v>81763.94454880862</v>
      </c>
      <c r="S187" s="199">
        <f>IF(S10=1,S186,S186+R187)</f>
        <v>89055.071375622443</v>
      </c>
      <c r="T187" s="199">
        <f>IF(T10=1,T186,T186+S187)</f>
        <v>96086.707273441236</v>
      </c>
      <c r="U187" s="199">
        <f>IF(U10=1,U186,U186+T187)</f>
        <v>102847.32792480894</v>
      </c>
      <c r="V187" s="199">
        <f>IF(V10=1,V186,V186+U187)</f>
        <v>109324.96428713536</v>
      </c>
      <c r="W187" s="199">
        <f>IF(W10=1,W186,W186+V187)</f>
        <v>115507.18579699742</v>
      </c>
      <c r="X187" s="199">
        <f>IF(X10=1,X186,X186+W187)</f>
        <v>121381.08293747055</v>
      </c>
      <c r="Y187" s="199">
        <f>IF(Y10=1,Y186,Y186+X187)</f>
        <v>127147.78377635009</v>
      </c>
      <c r="Z187" s="199">
        <f>IF(Z10=1,Z186,Z186+Y187)</f>
        <v>133003.98486971733</v>
      </c>
      <c r="AA187" s="199">
        <f>IF(AA10=1,AA186,AA186+Z187)</f>
        <v>138950.58122011716</v>
      </c>
      <c r="AB187" s="199">
        <f>IF(AB10=1,AB186,AB186+AA187)</f>
        <v>144988.47678011993</v>
      </c>
      <c r="AC187" s="199">
        <f>IF(AC10=1,AC186,AC186+AB187)</f>
        <v>151118.58454182165</v>
      </c>
      <c r="AD187" s="199">
        <f>IF(AD10=1,AD186,AD186+AC187)</f>
        <v>157341.82662723929</v>
      </c>
      <c r="AE187" s="199">
        <f>IF(AE10=1,AE186,AE186+AD187)</f>
        <v>163659.13437961004</v>
      </c>
      <c r="AF187" s="199">
        <f>IF(AF10=1,AF186,AF186+AE187)</f>
        <v>170071.44845560341</v>
      </c>
      <c r="AG187" s="199">
        <f>IF(AG10=1,AG186,AG186+AF187)</f>
        <v>179563.04352834765</v>
      </c>
      <c r="AH187" s="199">
        <f>IF(AH10=1,AH186,AH186+AG187)</f>
        <v>189151.55455181934</v>
      </c>
      <c r="AI187" s="199">
        <f>IF(AI10=1,AI186,AI186+AH187)</f>
        <v>198837.95068552575</v>
      </c>
      <c r="AJ187" s="199">
        <f>IF(AJ10=1,AJ186,AJ186+AI187)</f>
        <v>208623.21078056921</v>
      </c>
      <c r="AK187" s="200">
        <f>IF(AK10=1,AK186,AK186+AJ187)</f>
        <v>218508.32347656312</v>
      </c>
    </row>
    <row r="188" spans="1:37" s="17" customFormat="1" ht="38.25" customHeight="1" x14ac:dyDescent="0.25">
      <c r="A188" s="5"/>
      <c r="B188" s="28"/>
      <c r="E188" s="36"/>
      <c r="F188" s="152"/>
      <c r="G188" s="189" t="s">
        <v>332</v>
      </c>
      <c r="H188" s="14">
        <f t="shared" ref="H188:AK188" si="148">IF(H$10&lt;5,$C$13,
IF(AND(H$10&gt;=5,$C$13&gt;$C$12*0.15),$C$13,
IF(AND(H$10&gt;=5,$C$13&lt;=$C$12*0.15),$C$12*0.15)))</f>
        <v>10000</v>
      </c>
      <c r="I188" s="14">
        <f t="shared" si="148"/>
        <v>10000</v>
      </c>
      <c r="J188" s="14">
        <f t="shared" si="148"/>
        <v>10000</v>
      </c>
      <c r="K188" s="14">
        <f t="shared" si="148"/>
        <v>10000</v>
      </c>
      <c r="L188" s="14">
        <f t="shared" si="148"/>
        <v>33000</v>
      </c>
      <c r="M188" s="14">
        <f t="shared" si="148"/>
        <v>33000</v>
      </c>
      <c r="N188" s="14">
        <f t="shared" si="148"/>
        <v>33000</v>
      </c>
      <c r="O188" s="14">
        <f t="shared" si="148"/>
        <v>33000</v>
      </c>
      <c r="P188" s="14">
        <f t="shared" si="148"/>
        <v>33000</v>
      </c>
      <c r="Q188" s="14">
        <f t="shared" si="148"/>
        <v>33000</v>
      </c>
      <c r="R188" s="14">
        <f t="shared" si="148"/>
        <v>33000</v>
      </c>
      <c r="S188" s="14">
        <f t="shared" si="148"/>
        <v>33000</v>
      </c>
      <c r="T188" s="14">
        <f t="shared" si="148"/>
        <v>33000</v>
      </c>
      <c r="U188" s="14">
        <f t="shared" si="148"/>
        <v>33000</v>
      </c>
      <c r="V188" s="14">
        <f t="shared" si="148"/>
        <v>33000</v>
      </c>
      <c r="W188" s="14">
        <f t="shared" si="148"/>
        <v>33000</v>
      </c>
      <c r="X188" s="14">
        <f t="shared" si="148"/>
        <v>33000</v>
      </c>
      <c r="Y188" s="14">
        <f t="shared" si="148"/>
        <v>33000</v>
      </c>
      <c r="Z188" s="14">
        <f t="shared" si="148"/>
        <v>33000</v>
      </c>
      <c r="AA188" s="14">
        <f t="shared" si="148"/>
        <v>33000</v>
      </c>
      <c r="AB188" s="14">
        <f t="shared" si="148"/>
        <v>33000</v>
      </c>
      <c r="AC188" s="14">
        <f t="shared" si="148"/>
        <v>33000</v>
      </c>
      <c r="AD188" s="14">
        <f t="shared" si="148"/>
        <v>33000</v>
      </c>
      <c r="AE188" s="14">
        <f t="shared" si="148"/>
        <v>33000</v>
      </c>
      <c r="AF188" s="14">
        <f t="shared" si="148"/>
        <v>33000</v>
      </c>
      <c r="AG188" s="14">
        <f t="shared" si="148"/>
        <v>33000</v>
      </c>
      <c r="AH188" s="14">
        <f t="shared" si="148"/>
        <v>33000</v>
      </c>
      <c r="AI188" s="14">
        <f t="shared" si="148"/>
        <v>33000</v>
      </c>
      <c r="AJ188" s="14">
        <f t="shared" si="148"/>
        <v>33000</v>
      </c>
      <c r="AK188" s="19">
        <f t="shared" si="148"/>
        <v>33000</v>
      </c>
    </row>
    <row r="189" spans="1:37" s="17" customFormat="1" ht="38.25" customHeight="1" x14ac:dyDescent="0.25">
      <c r="A189" s="5"/>
      <c r="B189" s="28"/>
      <c r="E189" s="36"/>
      <c r="F189" s="152"/>
      <c r="G189" s="189" t="s">
        <v>149</v>
      </c>
      <c r="H189" s="52">
        <f t="shared" ref="H189:AK189" si="149">IF(H$48-($C$12+$C$15*$C$12+H188)&lt;0,0,
IF(H$48-($C$12+$C$15*$C$12+H188)&gt;0,H$48-($C$12+$C$15*$C$12+H188)))</f>
        <v>0</v>
      </c>
      <c r="I189" s="52">
        <f t="shared" si="149"/>
        <v>0</v>
      </c>
      <c r="J189" s="52">
        <f t="shared" si="149"/>
        <v>0</v>
      </c>
      <c r="K189" s="52">
        <f t="shared" si="149"/>
        <v>0</v>
      </c>
      <c r="L189" s="52">
        <f t="shared" si="149"/>
        <v>0</v>
      </c>
      <c r="M189" s="52">
        <f t="shared" si="149"/>
        <v>0</v>
      </c>
      <c r="N189" s="52">
        <f t="shared" si="149"/>
        <v>0</v>
      </c>
      <c r="O189" s="52">
        <f t="shared" si="149"/>
        <v>0</v>
      </c>
      <c r="P189" s="52">
        <f t="shared" si="149"/>
        <v>0</v>
      </c>
      <c r="Q189" s="52">
        <f t="shared" si="149"/>
        <v>0</v>
      </c>
      <c r="R189" s="52">
        <f t="shared" si="149"/>
        <v>0</v>
      </c>
      <c r="S189" s="52">
        <f t="shared" si="149"/>
        <v>0</v>
      </c>
      <c r="T189" s="52">
        <f t="shared" si="149"/>
        <v>0</v>
      </c>
      <c r="U189" s="52">
        <f t="shared" si="149"/>
        <v>0</v>
      </c>
      <c r="V189" s="52">
        <f t="shared" si="149"/>
        <v>0</v>
      </c>
      <c r="W189" s="52">
        <f t="shared" si="149"/>
        <v>0</v>
      </c>
      <c r="X189" s="52">
        <f t="shared" si="149"/>
        <v>1790.0192157752463</v>
      </c>
      <c r="Y189" s="52">
        <f t="shared" si="149"/>
        <v>4513.9194079330191</v>
      </c>
      <c r="Z189" s="52">
        <f t="shared" si="149"/>
        <v>7265.0586020122864</v>
      </c>
      <c r="AA189" s="52">
        <f t="shared" si="149"/>
        <v>10043.70918803243</v>
      </c>
      <c r="AB189" s="52">
        <f t="shared" si="149"/>
        <v>12850.146279912733</v>
      </c>
      <c r="AC189" s="52">
        <f t="shared" si="149"/>
        <v>15684.647742711939</v>
      </c>
      <c r="AD189" s="52">
        <f t="shared" si="149"/>
        <v>18547.494220138993</v>
      </c>
      <c r="AE189" s="52">
        <f t="shared" si="149"/>
        <v>21438.969162340451</v>
      </c>
      <c r="AF189" s="52">
        <f t="shared" si="149"/>
        <v>24359.358853963902</v>
      </c>
      <c r="AG189" s="52">
        <f t="shared" si="149"/>
        <v>27308.952442503534</v>
      </c>
      <c r="AH189" s="52">
        <f t="shared" si="149"/>
        <v>30288.04196692846</v>
      </c>
      <c r="AI189" s="52">
        <f t="shared" si="149"/>
        <v>33296.922386597726</v>
      </c>
      <c r="AJ189" s="52">
        <f t="shared" si="149"/>
        <v>36335.891610463732</v>
      </c>
      <c r="AK189" s="53">
        <f t="shared" si="149"/>
        <v>39405.250526568445</v>
      </c>
    </row>
    <row r="190" spans="1:37" s="17" customFormat="1" ht="38.25" customHeight="1" x14ac:dyDescent="0.25">
      <c r="A190" s="5"/>
      <c r="B190" s="28"/>
      <c r="E190" s="36"/>
      <c r="F190" s="152"/>
      <c r="G190" s="189" t="s">
        <v>105</v>
      </c>
      <c r="H190" s="32">
        <f>IF(H$10&lt;=5,0,IF(AND(H$10&gt;5,H$10&lt;=21),(((H$10-5)*0.06)),IF(H$10&gt;21,1)))</f>
        <v>0</v>
      </c>
      <c r="I190" s="32">
        <f t="shared" ref="I190:AK190" si="150">IF(I$10&lt;=5,0,IF(AND(I$10&gt;5,I$10&lt;=21),(((I$10-5)*0.06)),IF(I$10&gt;21,1)))</f>
        <v>0</v>
      </c>
      <c r="J190" s="32">
        <f t="shared" si="150"/>
        <v>0</v>
      </c>
      <c r="K190" s="32">
        <f t="shared" si="150"/>
        <v>0</v>
      </c>
      <c r="L190" s="32">
        <f t="shared" si="150"/>
        <v>0</v>
      </c>
      <c r="M190" s="32">
        <f t="shared" si="150"/>
        <v>0.06</v>
      </c>
      <c r="N190" s="32">
        <f t="shared" si="150"/>
        <v>0.12</v>
      </c>
      <c r="O190" s="32">
        <f t="shared" si="150"/>
        <v>0.18</v>
      </c>
      <c r="P190" s="32">
        <f t="shared" si="150"/>
        <v>0.24</v>
      </c>
      <c r="Q190" s="32">
        <f t="shared" si="150"/>
        <v>0.3</v>
      </c>
      <c r="R190" s="32">
        <f t="shared" si="150"/>
        <v>0.36</v>
      </c>
      <c r="S190" s="32">
        <f t="shared" si="150"/>
        <v>0.42</v>
      </c>
      <c r="T190" s="32">
        <f t="shared" si="150"/>
        <v>0.48</v>
      </c>
      <c r="U190" s="32">
        <f t="shared" si="150"/>
        <v>0.54</v>
      </c>
      <c r="V190" s="32">
        <f t="shared" si="150"/>
        <v>0.6</v>
      </c>
      <c r="W190" s="32">
        <f t="shared" si="150"/>
        <v>0.65999999999999992</v>
      </c>
      <c r="X190" s="32">
        <f t="shared" si="150"/>
        <v>0.72</v>
      </c>
      <c r="Y190" s="32">
        <f t="shared" si="150"/>
        <v>0.78</v>
      </c>
      <c r="Z190" s="32">
        <f t="shared" si="150"/>
        <v>0.84</v>
      </c>
      <c r="AA190" s="32">
        <f t="shared" si="150"/>
        <v>0.89999999999999991</v>
      </c>
      <c r="AB190" s="32">
        <f t="shared" si="150"/>
        <v>0.96</v>
      </c>
      <c r="AC190" s="32">
        <f t="shared" si="150"/>
        <v>1</v>
      </c>
      <c r="AD190" s="32">
        <f t="shared" si="150"/>
        <v>1</v>
      </c>
      <c r="AE190" s="32">
        <f t="shared" si="150"/>
        <v>1</v>
      </c>
      <c r="AF190" s="32">
        <f t="shared" si="150"/>
        <v>1</v>
      </c>
      <c r="AG190" s="32">
        <f t="shared" si="150"/>
        <v>1</v>
      </c>
      <c r="AH190" s="32">
        <f t="shared" si="150"/>
        <v>1</v>
      </c>
      <c r="AI190" s="32">
        <f t="shared" si="150"/>
        <v>1</v>
      </c>
      <c r="AJ190" s="32">
        <f t="shared" si="150"/>
        <v>1</v>
      </c>
      <c r="AK190" s="33">
        <f t="shared" si="150"/>
        <v>1</v>
      </c>
    </row>
    <row r="191" spans="1:37" ht="38.25" customHeight="1" x14ac:dyDescent="0.25">
      <c r="F191" s="152"/>
      <c r="G191" s="189" t="s">
        <v>106</v>
      </c>
      <c r="H191" s="52">
        <f>H189*(1-H190)</f>
        <v>0</v>
      </c>
      <c r="I191" s="52">
        <f t="shared" ref="I191:AK191" si="151">I189*(1-I190)</f>
        <v>0</v>
      </c>
      <c r="J191" s="52">
        <f t="shared" si="151"/>
        <v>0</v>
      </c>
      <c r="K191" s="52">
        <f t="shared" si="151"/>
        <v>0</v>
      </c>
      <c r="L191" s="52">
        <f t="shared" si="151"/>
        <v>0</v>
      </c>
      <c r="M191" s="52">
        <f t="shared" si="151"/>
        <v>0</v>
      </c>
      <c r="N191" s="52">
        <f t="shared" si="151"/>
        <v>0</v>
      </c>
      <c r="O191" s="52">
        <f t="shared" si="151"/>
        <v>0</v>
      </c>
      <c r="P191" s="52">
        <f t="shared" si="151"/>
        <v>0</v>
      </c>
      <c r="Q191" s="52">
        <f t="shared" si="151"/>
        <v>0</v>
      </c>
      <c r="R191" s="52">
        <f t="shared" si="151"/>
        <v>0</v>
      </c>
      <c r="S191" s="52">
        <f t="shared" si="151"/>
        <v>0</v>
      </c>
      <c r="T191" s="52">
        <f t="shared" si="151"/>
        <v>0</v>
      </c>
      <c r="U191" s="52">
        <f t="shared" si="151"/>
        <v>0</v>
      </c>
      <c r="V191" s="52">
        <f t="shared" si="151"/>
        <v>0</v>
      </c>
      <c r="W191" s="52">
        <f t="shared" si="151"/>
        <v>0</v>
      </c>
      <c r="X191" s="52">
        <f t="shared" si="151"/>
        <v>501.20538041706902</v>
      </c>
      <c r="Y191" s="52">
        <f t="shared" si="151"/>
        <v>993.06226974526408</v>
      </c>
      <c r="Z191" s="52">
        <f t="shared" si="151"/>
        <v>1162.409376321966</v>
      </c>
      <c r="AA191" s="52">
        <f t="shared" si="151"/>
        <v>1004.3709188032439</v>
      </c>
      <c r="AB191" s="52">
        <f t="shared" si="151"/>
        <v>514.00585119650975</v>
      </c>
      <c r="AC191" s="52">
        <f t="shared" si="151"/>
        <v>0</v>
      </c>
      <c r="AD191" s="52">
        <f t="shared" si="151"/>
        <v>0</v>
      </c>
      <c r="AE191" s="52">
        <f t="shared" si="151"/>
        <v>0</v>
      </c>
      <c r="AF191" s="52">
        <f t="shared" si="151"/>
        <v>0</v>
      </c>
      <c r="AG191" s="52">
        <f t="shared" si="151"/>
        <v>0</v>
      </c>
      <c r="AH191" s="52">
        <f t="shared" si="151"/>
        <v>0</v>
      </c>
      <c r="AI191" s="52">
        <f t="shared" si="151"/>
        <v>0</v>
      </c>
      <c r="AJ191" s="52">
        <f t="shared" si="151"/>
        <v>0</v>
      </c>
      <c r="AK191" s="53">
        <f t="shared" si="151"/>
        <v>0</v>
      </c>
    </row>
    <row r="192" spans="1:37" ht="38.25" customHeight="1" x14ac:dyDescent="0.25">
      <c r="F192" s="152"/>
      <c r="G192" s="189" t="s">
        <v>107</v>
      </c>
      <c r="H192" s="14">
        <f t="shared" ref="H192:AK192" si="152">IF(AND($C$32=0,H191&lt;=50000),H191*0.19,
IF(AND($C$32&lt;&gt;0,H191&lt;=100000),H191*0.19,
IF(AND($C$32=0,H191&gt;50000,H191&lt;=100000),H191*0.21,
IF(AND($C$32=0,H191&gt;=100000,H191&lt;=150000),H191*0.22,
IF(AND($C$32=0,H191&gt;=150000,H191&lt;=200000),H191*0.23,
IF(AND($C$32=0,H191&gt;=200000,H191&lt;=250000),H191*0.24,
IF(AND($C$32=0,H191&gt;250000),H191*0.25,
IF(AND($C$32&lt;&gt;0,H191&gt;100000,H191&lt;=200000),H191*0.21,
IF(AND($C$32&lt;&gt;0,H191&gt;=200000,H191&lt;=300000),H191*0.22,
IF(AND($C$32&lt;&gt;0,H191&gt;=300000,H191&lt;=400000),H191*0.23,
IF(AND($C$32&lt;&gt;0,H191&gt;=400000,H191&lt;=500000),H191*0.24,
IF(AND($C$32&lt;&gt;0,H191&gt;500000),H191*0.25))))))))))))</f>
        <v>0</v>
      </c>
      <c r="I192" s="14">
        <f t="shared" si="152"/>
        <v>0</v>
      </c>
      <c r="J192" s="14">
        <f t="shared" si="152"/>
        <v>0</v>
      </c>
      <c r="K192" s="14">
        <f t="shared" si="152"/>
        <v>0</v>
      </c>
      <c r="L192" s="14">
        <f t="shared" si="152"/>
        <v>0</v>
      </c>
      <c r="M192" s="14">
        <f t="shared" si="152"/>
        <v>0</v>
      </c>
      <c r="N192" s="14">
        <f t="shared" si="152"/>
        <v>0</v>
      </c>
      <c r="O192" s="14">
        <f t="shared" si="152"/>
        <v>0</v>
      </c>
      <c r="P192" s="14">
        <f t="shared" si="152"/>
        <v>0</v>
      </c>
      <c r="Q192" s="14">
        <f t="shared" si="152"/>
        <v>0</v>
      </c>
      <c r="R192" s="14">
        <f t="shared" si="152"/>
        <v>0</v>
      </c>
      <c r="S192" s="14">
        <f t="shared" si="152"/>
        <v>0</v>
      </c>
      <c r="T192" s="14">
        <f t="shared" si="152"/>
        <v>0</v>
      </c>
      <c r="U192" s="14">
        <f t="shared" si="152"/>
        <v>0</v>
      </c>
      <c r="V192" s="14">
        <f t="shared" si="152"/>
        <v>0</v>
      </c>
      <c r="W192" s="14">
        <f t="shared" si="152"/>
        <v>0</v>
      </c>
      <c r="X192" s="14">
        <f t="shared" si="152"/>
        <v>95.229022279243111</v>
      </c>
      <c r="Y192" s="14">
        <f t="shared" si="152"/>
        <v>188.68183125160019</v>
      </c>
      <c r="Z192" s="14">
        <f t="shared" si="152"/>
        <v>220.85778150117355</v>
      </c>
      <c r="AA192" s="14">
        <f t="shared" si="152"/>
        <v>190.83047457261634</v>
      </c>
      <c r="AB192" s="14">
        <f t="shared" si="152"/>
        <v>97.661111727336859</v>
      </c>
      <c r="AC192" s="14">
        <f t="shared" si="152"/>
        <v>0</v>
      </c>
      <c r="AD192" s="14">
        <f t="shared" si="152"/>
        <v>0</v>
      </c>
      <c r="AE192" s="14">
        <f t="shared" si="152"/>
        <v>0</v>
      </c>
      <c r="AF192" s="14">
        <f t="shared" si="152"/>
        <v>0</v>
      </c>
      <c r="AG192" s="14">
        <f t="shared" si="152"/>
        <v>0</v>
      </c>
      <c r="AH192" s="14">
        <f t="shared" si="152"/>
        <v>0</v>
      </c>
      <c r="AI192" s="14">
        <f t="shared" si="152"/>
        <v>0</v>
      </c>
      <c r="AJ192" s="14">
        <f t="shared" si="152"/>
        <v>0</v>
      </c>
      <c r="AK192" s="19">
        <f t="shared" si="152"/>
        <v>0</v>
      </c>
    </row>
    <row r="193" spans="1:37" ht="38.25" customHeight="1" x14ac:dyDescent="0.25">
      <c r="F193" s="152"/>
      <c r="G193" s="189" t="s">
        <v>108</v>
      </c>
      <c r="H193" s="101">
        <f>IF(H$10&lt;=5,0%,IF(AND(H$10&gt;5,H$10&lt;=21),(((H$10-5)*0.0165)),IF(H$10=22,(0.28),IF(H$10&gt;22,(((H$10-22)*0.09+0.28))))))</f>
        <v>0</v>
      </c>
      <c r="I193" s="101">
        <f t="shared" ref="I193:AK193" si="153">IF(I$10&lt;=5,0%,IF(AND(I$10&gt;5,I$10&lt;=21),(((I$10-5)*0.0165)),IF(I$10=22,(0.28),IF(I$10&gt;22,(((I$10-22)*0.09+0.28))))))</f>
        <v>0</v>
      </c>
      <c r="J193" s="101">
        <f t="shared" si="153"/>
        <v>0</v>
      </c>
      <c r="K193" s="101">
        <f t="shared" si="153"/>
        <v>0</v>
      </c>
      <c r="L193" s="101">
        <f t="shared" si="153"/>
        <v>0</v>
      </c>
      <c r="M193" s="101">
        <f t="shared" si="153"/>
        <v>1.6500000000000001E-2</v>
      </c>
      <c r="N193" s="101">
        <f t="shared" si="153"/>
        <v>3.3000000000000002E-2</v>
      </c>
      <c r="O193" s="101">
        <f t="shared" si="153"/>
        <v>4.9500000000000002E-2</v>
      </c>
      <c r="P193" s="101">
        <f t="shared" si="153"/>
        <v>6.6000000000000003E-2</v>
      </c>
      <c r="Q193" s="101">
        <f t="shared" si="153"/>
        <v>8.2500000000000004E-2</v>
      </c>
      <c r="R193" s="101">
        <f t="shared" si="153"/>
        <v>9.9000000000000005E-2</v>
      </c>
      <c r="S193" s="101">
        <f t="shared" si="153"/>
        <v>0.11550000000000001</v>
      </c>
      <c r="T193" s="101">
        <f t="shared" si="153"/>
        <v>0.13200000000000001</v>
      </c>
      <c r="U193" s="101">
        <f t="shared" si="153"/>
        <v>0.14850000000000002</v>
      </c>
      <c r="V193" s="101">
        <f t="shared" si="153"/>
        <v>0.16500000000000001</v>
      </c>
      <c r="W193" s="101">
        <f t="shared" si="153"/>
        <v>0.18149999999999999</v>
      </c>
      <c r="X193" s="101">
        <f t="shared" si="153"/>
        <v>0.19800000000000001</v>
      </c>
      <c r="Y193" s="101">
        <f t="shared" si="153"/>
        <v>0.21450000000000002</v>
      </c>
      <c r="Z193" s="101">
        <f t="shared" si="153"/>
        <v>0.23100000000000001</v>
      </c>
      <c r="AA193" s="101">
        <f t="shared" si="153"/>
        <v>0.2475</v>
      </c>
      <c r="AB193" s="101">
        <f t="shared" si="153"/>
        <v>0.26400000000000001</v>
      </c>
      <c r="AC193" s="101">
        <f t="shared" si="153"/>
        <v>0.28000000000000003</v>
      </c>
      <c r="AD193" s="101">
        <f t="shared" si="153"/>
        <v>0.37</v>
      </c>
      <c r="AE193" s="101">
        <f t="shared" si="153"/>
        <v>0.46</v>
      </c>
      <c r="AF193" s="101">
        <f t="shared" si="153"/>
        <v>0.55000000000000004</v>
      </c>
      <c r="AG193" s="101">
        <f t="shared" si="153"/>
        <v>0.64</v>
      </c>
      <c r="AH193" s="101">
        <f t="shared" si="153"/>
        <v>0.73</v>
      </c>
      <c r="AI193" s="101">
        <f t="shared" si="153"/>
        <v>0.82000000000000006</v>
      </c>
      <c r="AJ193" s="101">
        <f t="shared" si="153"/>
        <v>0.91</v>
      </c>
      <c r="AK193" s="102">
        <f t="shared" si="153"/>
        <v>1</v>
      </c>
    </row>
    <row r="194" spans="1:37" ht="38.25" customHeight="1" x14ac:dyDescent="0.25">
      <c r="F194" s="152"/>
      <c r="G194" s="189" t="s">
        <v>109</v>
      </c>
      <c r="H194" s="14">
        <f>H189*(1-H193)</f>
        <v>0</v>
      </c>
      <c r="I194" s="14">
        <f t="shared" ref="I194:AK194" si="154">I189*(1-I193)</f>
        <v>0</v>
      </c>
      <c r="J194" s="14">
        <f t="shared" si="154"/>
        <v>0</v>
      </c>
      <c r="K194" s="14">
        <f t="shared" si="154"/>
        <v>0</v>
      </c>
      <c r="L194" s="14">
        <f t="shared" si="154"/>
        <v>0</v>
      </c>
      <c r="M194" s="14">
        <f t="shared" si="154"/>
        <v>0</v>
      </c>
      <c r="N194" s="14">
        <f t="shared" si="154"/>
        <v>0</v>
      </c>
      <c r="O194" s="14">
        <f t="shared" si="154"/>
        <v>0</v>
      </c>
      <c r="P194" s="14">
        <f t="shared" si="154"/>
        <v>0</v>
      </c>
      <c r="Q194" s="14">
        <f t="shared" si="154"/>
        <v>0</v>
      </c>
      <c r="R194" s="14">
        <f t="shared" si="154"/>
        <v>0</v>
      </c>
      <c r="S194" s="14">
        <f t="shared" si="154"/>
        <v>0</v>
      </c>
      <c r="T194" s="14">
        <f t="shared" si="154"/>
        <v>0</v>
      </c>
      <c r="U194" s="14">
        <f t="shared" si="154"/>
        <v>0</v>
      </c>
      <c r="V194" s="14">
        <f t="shared" si="154"/>
        <v>0</v>
      </c>
      <c r="W194" s="14">
        <f t="shared" si="154"/>
        <v>0</v>
      </c>
      <c r="X194" s="14">
        <f t="shared" si="154"/>
        <v>1435.5954110517475</v>
      </c>
      <c r="Y194" s="14">
        <f t="shared" si="154"/>
        <v>3545.6836949313865</v>
      </c>
      <c r="Z194" s="14">
        <f t="shared" si="154"/>
        <v>5586.8300649474486</v>
      </c>
      <c r="AA194" s="14">
        <f t="shared" si="154"/>
        <v>7557.8911639944026</v>
      </c>
      <c r="AB194" s="14">
        <f t="shared" si="154"/>
        <v>9457.7076620157713</v>
      </c>
      <c r="AC194" s="14">
        <f t="shared" si="154"/>
        <v>11292.946374752595</v>
      </c>
      <c r="AD194" s="14">
        <f t="shared" si="154"/>
        <v>11684.921358687565</v>
      </c>
      <c r="AE194" s="14">
        <f t="shared" si="154"/>
        <v>11577.043347663845</v>
      </c>
      <c r="AF194" s="14">
        <f t="shared" si="154"/>
        <v>10961.711484283755</v>
      </c>
      <c r="AG194" s="14">
        <f t="shared" si="154"/>
        <v>9831.2228793012728</v>
      </c>
      <c r="AH194" s="14">
        <f t="shared" si="154"/>
        <v>8177.7713310706849</v>
      </c>
      <c r="AI194" s="14">
        <f t="shared" si="154"/>
        <v>5993.4460295875888</v>
      </c>
      <c r="AJ194" s="14">
        <f t="shared" si="154"/>
        <v>3270.2302449417348</v>
      </c>
      <c r="AK194" s="19">
        <f t="shared" si="154"/>
        <v>0</v>
      </c>
    </row>
    <row r="195" spans="1:37" ht="38.25" customHeight="1" x14ac:dyDescent="0.25">
      <c r="F195" s="152"/>
      <c r="G195" s="189" t="s">
        <v>110</v>
      </c>
      <c r="H195" s="52">
        <f>H194*0.172</f>
        <v>0</v>
      </c>
      <c r="I195" s="52">
        <f t="shared" ref="I195:AK195" si="155">I194*0.172</f>
        <v>0</v>
      </c>
      <c r="J195" s="52">
        <f t="shared" si="155"/>
        <v>0</v>
      </c>
      <c r="K195" s="52">
        <f t="shared" si="155"/>
        <v>0</v>
      </c>
      <c r="L195" s="52">
        <f t="shared" si="155"/>
        <v>0</v>
      </c>
      <c r="M195" s="52">
        <f t="shared" si="155"/>
        <v>0</v>
      </c>
      <c r="N195" s="52">
        <f t="shared" si="155"/>
        <v>0</v>
      </c>
      <c r="O195" s="52">
        <f t="shared" si="155"/>
        <v>0</v>
      </c>
      <c r="P195" s="52">
        <f t="shared" si="155"/>
        <v>0</v>
      </c>
      <c r="Q195" s="52">
        <f t="shared" si="155"/>
        <v>0</v>
      </c>
      <c r="R195" s="52">
        <f t="shared" si="155"/>
        <v>0</v>
      </c>
      <c r="S195" s="52">
        <f t="shared" si="155"/>
        <v>0</v>
      </c>
      <c r="T195" s="52">
        <f t="shared" si="155"/>
        <v>0</v>
      </c>
      <c r="U195" s="52">
        <f t="shared" si="155"/>
        <v>0</v>
      </c>
      <c r="V195" s="52">
        <f t="shared" si="155"/>
        <v>0</v>
      </c>
      <c r="W195" s="52">
        <f t="shared" si="155"/>
        <v>0</v>
      </c>
      <c r="X195" s="52">
        <f t="shared" si="155"/>
        <v>246.92241070090054</v>
      </c>
      <c r="Y195" s="52">
        <f t="shared" si="155"/>
        <v>609.85759552819843</v>
      </c>
      <c r="Z195" s="52">
        <f t="shared" si="155"/>
        <v>960.93477117096108</v>
      </c>
      <c r="AA195" s="52">
        <f t="shared" si="155"/>
        <v>1299.9572802070372</v>
      </c>
      <c r="AB195" s="52">
        <f t="shared" si="155"/>
        <v>1626.7257178667126</v>
      </c>
      <c r="AC195" s="52">
        <f t="shared" si="155"/>
        <v>1942.3867764574461</v>
      </c>
      <c r="AD195" s="52">
        <f t="shared" si="155"/>
        <v>2009.8064736942611</v>
      </c>
      <c r="AE195" s="52">
        <f t="shared" si="155"/>
        <v>1991.251455798181</v>
      </c>
      <c r="AF195" s="52">
        <f t="shared" si="155"/>
        <v>1885.4143752968057</v>
      </c>
      <c r="AG195" s="52">
        <f t="shared" si="155"/>
        <v>1690.9703352398187</v>
      </c>
      <c r="AH195" s="52">
        <f t="shared" si="155"/>
        <v>1406.5766689441577</v>
      </c>
      <c r="AI195" s="52">
        <f t="shared" si="155"/>
        <v>1030.8727170890652</v>
      </c>
      <c r="AJ195" s="52">
        <f t="shared" si="155"/>
        <v>562.47960212997839</v>
      </c>
      <c r="AK195" s="53">
        <f t="shared" si="155"/>
        <v>0</v>
      </c>
    </row>
    <row r="196" spans="1:37" ht="38.25" customHeight="1" x14ac:dyDescent="0.25">
      <c r="F196" s="152"/>
      <c r="G196" s="189" t="s">
        <v>111</v>
      </c>
      <c r="H196" s="14">
        <f>H195+H192</f>
        <v>0</v>
      </c>
      <c r="I196" s="14">
        <f t="shared" ref="I196:AK196" si="156">I195+I192</f>
        <v>0</v>
      </c>
      <c r="J196" s="14">
        <f t="shared" si="156"/>
        <v>0</v>
      </c>
      <c r="K196" s="14">
        <f t="shared" si="156"/>
        <v>0</v>
      </c>
      <c r="L196" s="14">
        <f t="shared" si="156"/>
        <v>0</v>
      </c>
      <c r="M196" s="14">
        <f t="shared" si="156"/>
        <v>0</v>
      </c>
      <c r="N196" s="14">
        <f t="shared" si="156"/>
        <v>0</v>
      </c>
      <c r="O196" s="14">
        <f t="shared" si="156"/>
        <v>0</v>
      </c>
      <c r="P196" s="14">
        <f t="shared" si="156"/>
        <v>0</v>
      </c>
      <c r="Q196" s="14">
        <f t="shared" si="156"/>
        <v>0</v>
      </c>
      <c r="R196" s="14">
        <f t="shared" si="156"/>
        <v>0</v>
      </c>
      <c r="S196" s="14">
        <f t="shared" si="156"/>
        <v>0</v>
      </c>
      <c r="T196" s="14">
        <f t="shared" si="156"/>
        <v>0</v>
      </c>
      <c r="U196" s="14">
        <f t="shared" si="156"/>
        <v>0</v>
      </c>
      <c r="V196" s="14">
        <f t="shared" si="156"/>
        <v>0</v>
      </c>
      <c r="W196" s="14">
        <f t="shared" si="156"/>
        <v>0</v>
      </c>
      <c r="X196" s="14">
        <f t="shared" si="156"/>
        <v>342.15143298014368</v>
      </c>
      <c r="Y196" s="14">
        <f t="shared" si="156"/>
        <v>798.53942677979865</v>
      </c>
      <c r="Z196" s="14">
        <f t="shared" si="156"/>
        <v>1181.7925526721347</v>
      </c>
      <c r="AA196" s="14">
        <f t="shared" si="156"/>
        <v>1490.7877547796536</v>
      </c>
      <c r="AB196" s="14">
        <f t="shared" si="156"/>
        <v>1724.3868295940495</v>
      </c>
      <c r="AC196" s="14">
        <f t="shared" si="156"/>
        <v>1942.3867764574461</v>
      </c>
      <c r="AD196" s="14">
        <f t="shared" si="156"/>
        <v>2009.8064736942611</v>
      </c>
      <c r="AE196" s="14">
        <f t="shared" si="156"/>
        <v>1991.251455798181</v>
      </c>
      <c r="AF196" s="14">
        <f t="shared" si="156"/>
        <v>1885.4143752968057</v>
      </c>
      <c r="AG196" s="14">
        <f t="shared" si="156"/>
        <v>1690.9703352398187</v>
      </c>
      <c r="AH196" s="14">
        <f t="shared" si="156"/>
        <v>1406.5766689441577</v>
      </c>
      <c r="AI196" s="14">
        <f t="shared" si="156"/>
        <v>1030.8727170890652</v>
      </c>
      <c r="AJ196" s="14">
        <f t="shared" si="156"/>
        <v>562.47960212997839</v>
      </c>
      <c r="AK196" s="19">
        <f t="shared" si="156"/>
        <v>0</v>
      </c>
    </row>
    <row r="197" spans="1:37" ht="38.25" customHeight="1" x14ac:dyDescent="0.25">
      <c r="F197" s="152"/>
      <c r="G197" s="189" t="s">
        <v>112</v>
      </c>
      <c r="H197" s="52">
        <f t="shared" ref="H197" si="157">H$48-H196</f>
        <v>232300</v>
      </c>
      <c r="I197" s="52">
        <f t="shared" ref="I197:AK197" si="158">I$48-I196</f>
        <v>234623</v>
      </c>
      <c r="J197" s="52">
        <f t="shared" si="158"/>
        <v>236969.22999999998</v>
      </c>
      <c r="K197" s="52">
        <f t="shared" si="158"/>
        <v>239338.92230000001</v>
      </c>
      <c r="L197" s="52">
        <f t="shared" si="158"/>
        <v>241732.31152299998</v>
      </c>
      <c r="M197" s="52">
        <f t="shared" si="158"/>
        <v>244149.63463823003</v>
      </c>
      <c r="N197" s="52">
        <f t="shared" si="158"/>
        <v>246591.13098461227</v>
      </c>
      <c r="O197" s="52">
        <f t="shared" si="158"/>
        <v>249057.04229445846</v>
      </c>
      <c r="P197" s="52">
        <f t="shared" si="158"/>
        <v>251547.61271740304</v>
      </c>
      <c r="Q197" s="52">
        <f t="shared" si="158"/>
        <v>254063.08884457708</v>
      </c>
      <c r="R197" s="52">
        <f t="shared" si="158"/>
        <v>256603.71973302279</v>
      </c>
      <c r="S197" s="52">
        <f t="shared" si="158"/>
        <v>259169.75693035306</v>
      </c>
      <c r="T197" s="52">
        <f t="shared" si="158"/>
        <v>261761.4544996566</v>
      </c>
      <c r="U197" s="52">
        <f t="shared" si="158"/>
        <v>264379.06904465321</v>
      </c>
      <c r="V197" s="52">
        <f t="shared" si="158"/>
        <v>267022.85973509966</v>
      </c>
      <c r="W197" s="52">
        <f t="shared" si="158"/>
        <v>269693.08833245072</v>
      </c>
      <c r="X197" s="52">
        <f t="shared" si="158"/>
        <v>272047.8677827951</v>
      </c>
      <c r="Y197" s="52">
        <f t="shared" si="158"/>
        <v>274315.37998115324</v>
      </c>
      <c r="Z197" s="52">
        <f t="shared" si="158"/>
        <v>276683.26604934013</v>
      </c>
      <c r="AA197" s="52">
        <f t="shared" si="158"/>
        <v>279152.92143325275</v>
      </c>
      <c r="AB197" s="52">
        <f t="shared" si="158"/>
        <v>281725.7594503187</v>
      </c>
      <c r="AC197" s="52">
        <f t="shared" si="158"/>
        <v>284342.26096625451</v>
      </c>
      <c r="AD197" s="52">
        <f t="shared" si="158"/>
        <v>287137.68774644472</v>
      </c>
      <c r="AE197" s="52">
        <f t="shared" si="158"/>
        <v>290047.71770654229</v>
      </c>
      <c r="AF197" s="52">
        <f t="shared" si="158"/>
        <v>293073.94447866711</v>
      </c>
      <c r="AG197" s="52">
        <f t="shared" si="158"/>
        <v>296217.9821072637</v>
      </c>
      <c r="AH197" s="52">
        <f t="shared" si="158"/>
        <v>299481.46529798431</v>
      </c>
      <c r="AI197" s="52">
        <f t="shared" si="158"/>
        <v>302866.04966950865</v>
      </c>
      <c r="AJ197" s="52">
        <f t="shared" si="158"/>
        <v>306373.41200833378</v>
      </c>
      <c r="AK197" s="53">
        <f t="shared" si="158"/>
        <v>310005.25052656844</v>
      </c>
    </row>
    <row r="198" spans="1:37" ht="38.25" customHeight="1" x14ac:dyDescent="0.25">
      <c r="F198" s="152"/>
      <c r="G198" s="197" t="s">
        <v>307</v>
      </c>
      <c r="H198" s="201">
        <f t="shared" ref="H198" si="159">H197-H$16</f>
        <v>172772.59013239335</v>
      </c>
      <c r="I198" s="201">
        <f t="shared" ref="I198:AK198" si="160">I197-I$16</f>
        <v>177197.38344028787</v>
      </c>
      <c r="J198" s="201">
        <f t="shared" si="160"/>
        <v>181675.02140178814</v>
      </c>
      <c r="K198" s="201">
        <f t="shared" si="160"/>
        <v>186206.1535928009</v>
      </c>
      <c r="L198" s="201">
        <f t="shared" si="160"/>
        <v>190791.4377917269</v>
      </c>
      <c r="M198" s="201">
        <f t="shared" si="160"/>
        <v>195431.54008553433</v>
      </c>
      <c r="N198" s="201">
        <f t="shared" si="160"/>
        <v>200127.13497723115</v>
      </c>
      <c r="O198" s="201">
        <f t="shared" si="160"/>
        <v>204878.90549475676</v>
      </c>
      <c r="P198" s="201">
        <f t="shared" si="160"/>
        <v>209687.54330130978</v>
      </c>
      <c r="Q198" s="201">
        <f t="shared" si="160"/>
        <v>214553.74880713361</v>
      </c>
      <c r="R198" s="201">
        <f t="shared" si="160"/>
        <v>219478.2312827775</v>
      </c>
      <c r="S198" s="201">
        <f t="shared" si="160"/>
        <v>224461.70897385408</v>
      </c>
      <c r="T198" s="201">
        <f t="shared" si="160"/>
        <v>229504.9092173125</v>
      </c>
      <c r="U198" s="201">
        <f t="shared" si="160"/>
        <v>234608.56855924835</v>
      </c>
      <c r="V198" s="201">
        <f t="shared" si="160"/>
        <v>239773.43287427057</v>
      </c>
      <c r="W198" s="201">
        <f t="shared" si="160"/>
        <v>245000.25748644676</v>
      </c>
      <c r="X198" s="201">
        <f t="shared" si="160"/>
        <v>249947.65585886626</v>
      </c>
      <c r="Y198" s="201">
        <f t="shared" si="160"/>
        <v>254844.31745592662</v>
      </c>
      <c r="Z198" s="201">
        <f t="shared" si="160"/>
        <v>259878.39812056569</v>
      </c>
      <c r="AA198" s="201">
        <f t="shared" si="160"/>
        <v>265051.81527231832</v>
      </c>
      <c r="AB198" s="201">
        <f t="shared" si="160"/>
        <v>270366.51155695447</v>
      </c>
      <c r="AC198" s="201">
        <f t="shared" si="160"/>
        <v>275763.5046268666</v>
      </c>
      <c r="AD198" s="201">
        <f t="shared" si="160"/>
        <v>281378.60059753782</v>
      </c>
      <c r="AE198" s="201">
        <f t="shared" si="160"/>
        <v>287148.02940471272</v>
      </c>
      <c r="AF198" s="201">
        <f t="shared" si="160"/>
        <v>293073.94447866711</v>
      </c>
      <c r="AG198" s="201">
        <f t="shared" si="160"/>
        <v>296217.9821072637</v>
      </c>
      <c r="AH198" s="201">
        <f t="shared" si="160"/>
        <v>299481.46529798431</v>
      </c>
      <c r="AI198" s="201">
        <f t="shared" si="160"/>
        <v>302866.04966950865</v>
      </c>
      <c r="AJ198" s="201">
        <f t="shared" si="160"/>
        <v>306373.41200833378</v>
      </c>
      <c r="AK198" s="202">
        <f t="shared" si="160"/>
        <v>310005.25052656844</v>
      </c>
    </row>
    <row r="199" spans="1:37" ht="38.25" customHeight="1" x14ac:dyDescent="0.25">
      <c r="F199" s="152"/>
      <c r="G199" s="197" t="s">
        <v>271</v>
      </c>
      <c r="H199" s="199">
        <f>H$198+H187-$C$18</f>
        <v>-20260.034477498673</v>
      </c>
      <c r="I199" s="199">
        <f>I$198+I187-$C$18</f>
        <v>-8766.3587794961641</v>
      </c>
      <c r="J199" s="199">
        <f>J$198+J187-$C$18</f>
        <v>2882.683642112097</v>
      </c>
      <c r="K199" s="199">
        <f>K$198+K187-$C$18</f>
        <v>14688.767583932844</v>
      </c>
      <c r="L199" s="199">
        <f>L$198+L187-$C$18</f>
        <v>26653.58629727384</v>
      </c>
      <c r="M199" s="199">
        <f>M$198+M187-$C$18</f>
        <v>38778.851696739323</v>
      </c>
      <c r="N199" s="199">
        <f>N$198+N187-$C$18</f>
        <v>51066.294571249688</v>
      </c>
      <c r="O199" s="199">
        <f>O$198+O187-$C$18</f>
        <v>63517.664797515899</v>
      </c>
      <c r="P199" s="199">
        <f>P$198+P187-$C$18</f>
        <v>76134.731555995881</v>
      </c>
      <c r="Q199" s="199">
        <f>Q$198+Q187-$C$18</f>
        <v>88778.171374659869</v>
      </c>
      <c r="R199" s="199">
        <f>R$198+R187-$C$18</f>
        <v>101242.17583158612</v>
      </c>
      <c r="S199" s="199">
        <f>S$198+S187-$C$18</f>
        <v>113516.7803494765</v>
      </c>
      <c r="T199" s="199">
        <f>T$198+T187-$C$18</f>
        <v>125591.61649075372</v>
      </c>
      <c r="U199" s="199">
        <f>U$198+U187-$C$18</f>
        <v>137455.8964840573</v>
      </c>
      <c r="V199" s="199">
        <f>V$198+V187-$C$18</f>
        <v>149098.39716140594</v>
      </c>
      <c r="W199" s="199">
        <f>W$198+W187-$C$18</f>
        <v>160507.44328344415</v>
      </c>
      <c r="X199" s="199">
        <f>X$198+X187-$C$18</f>
        <v>171328.73879633681</v>
      </c>
      <c r="Y199" s="199">
        <f>Y$198+Y187-$C$18</f>
        <v>181992.10123227671</v>
      </c>
      <c r="Z199" s="199">
        <f>Z$198+Z187-$C$18</f>
        <v>192882.38299028302</v>
      </c>
      <c r="AA199" s="199">
        <f>AA$198+AA187-$C$18</f>
        <v>204002.39649243548</v>
      </c>
      <c r="AB199" s="199">
        <f>AB$198+AB187-$C$18</f>
        <v>215354.98833707441</v>
      </c>
      <c r="AC199" s="199">
        <f>AC$198+AC187-$C$18</f>
        <v>226882.08916868828</v>
      </c>
      <c r="AD199" s="199">
        <f>AD$198+AD187-$C$18</f>
        <v>238720.42722477712</v>
      </c>
      <c r="AE199" s="199">
        <f>AE$198+AE187-$C$18</f>
        <v>250807.16378432279</v>
      </c>
      <c r="AF199" s="199">
        <f>AF$198+AF187-$C$18</f>
        <v>263145.39293427055</v>
      </c>
      <c r="AG199" s="199">
        <f>AG$198+AG187-$C$18</f>
        <v>275781.02563561138</v>
      </c>
      <c r="AH199" s="199">
        <f>AH$198+AH187-$C$18</f>
        <v>288633.01984980365</v>
      </c>
      <c r="AI199" s="199">
        <f>AI$198+AI187-$C$18</f>
        <v>301704.00035503437</v>
      </c>
      <c r="AJ199" s="199">
        <f>AJ$198+AJ187-$C$18</f>
        <v>314996.62278890295</v>
      </c>
      <c r="AK199" s="200">
        <f>AK$198+AK187-$C$18</f>
        <v>328513.57400313159</v>
      </c>
    </row>
    <row r="200" spans="1:37" s="114" customFormat="1" ht="38.25" customHeight="1" x14ac:dyDescent="0.25">
      <c r="A200" s="45"/>
      <c r="B200" s="224"/>
      <c r="F200" s="152"/>
      <c r="G200" s="188" t="s">
        <v>354</v>
      </c>
      <c r="H200" s="20"/>
      <c r="I200" s="20"/>
      <c r="J200" s="20"/>
      <c r="K200" s="20"/>
      <c r="L200" s="20"/>
      <c r="M200" s="20"/>
      <c r="N200" s="20"/>
      <c r="O200" s="20"/>
      <c r="P200" s="20"/>
      <c r="Q200" s="20"/>
      <c r="R200" s="20"/>
      <c r="S200" s="20"/>
      <c r="T200" s="20"/>
      <c r="U200" s="20"/>
      <c r="V200" s="20"/>
      <c r="W200" s="20"/>
      <c r="X200" s="20"/>
      <c r="Y200" s="20"/>
      <c r="Z200" s="20"/>
      <c r="AA200" s="20"/>
      <c r="AB200" s="20"/>
      <c r="AC200" s="20"/>
      <c r="AD200" s="20"/>
      <c r="AE200" s="20"/>
      <c r="AF200" s="20"/>
      <c r="AG200" s="20"/>
      <c r="AH200" s="20"/>
      <c r="AI200" s="20"/>
      <c r="AJ200" s="20"/>
      <c r="AK200" s="20"/>
    </row>
    <row r="201" spans="1:37" ht="38.25" customHeight="1" x14ac:dyDescent="0.25">
      <c r="F201" s="152"/>
      <c r="G201" s="189" t="s">
        <v>267</v>
      </c>
      <c r="H201" s="52">
        <f>IF(H$10=1,($C$18*-1)+H186,H186)</f>
        <v>-193032.62460989202</v>
      </c>
      <c r="I201" s="52">
        <f>IF(I$10=1,($C$18*-1)+I186,I186)</f>
        <v>7068.8823901079868</v>
      </c>
      <c r="J201" s="52">
        <f>IF(J$10=1,($C$18*-1)+J186,J186)</f>
        <v>7171.4044601079877</v>
      </c>
      <c r="K201" s="52">
        <f>IF(K$10=1,($C$18*-1)+K186,K186)</f>
        <v>7274.9517508079844</v>
      </c>
      <c r="L201" s="52">
        <f>IF(L$10=1,($C$18*-1)+L186,L186)</f>
        <v>7379.5345144149887</v>
      </c>
      <c r="M201" s="52">
        <f>IF(M$10=1,($C$18*-1)+M186,M186)</f>
        <v>7485.1631056580518</v>
      </c>
      <c r="N201" s="52">
        <f>IF(N$10=1,($C$18*-1)+N186,N186)</f>
        <v>7591.8479828135569</v>
      </c>
      <c r="O201" s="52">
        <f>IF(O$10=1,($C$18*-1)+O186,O186)</f>
        <v>7699.5997087406122</v>
      </c>
      <c r="P201" s="52">
        <f>IF(P$10=1,($C$18*-1)+P186,P186)</f>
        <v>7808.4289519269405</v>
      </c>
      <c r="Q201" s="52">
        <f>IF(Q$10=1,($C$18*-1)+Q186,Q186)</f>
        <v>7777.2343128401781</v>
      </c>
      <c r="R201" s="52">
        <f>IF(R$10=1,($C$18*-1)+R186,R186)</f>
        <v>7539.521981282347</v>
      </c>
      <c r="S201" s="52">
        <f>IF(S$10=1,($C$18*-1)+S186,S186)</f>
        <v>7291.1268268138283</v>
      </c>
      <c r="T201" s="52">
        <f>IF(T$10=1,($C$18*-1)+T186,T186)</f>
        <v>7031.6358978187873</v>
      </c>
      <c r="U201" s="52">
        <f>IF(U$10=1,($C$18*-1)+U186,U186)</f>
        <v>6760.6206513677043</v>
      </c>
      <c r="V201" s="52">
        <f>IF(V$10=1,($C$18*-1)+V186,V186)</f>
        <v>6477.6363623264233</v>
      </c>
      <c r="W201" s="52">
        <f>IF(W$10=1,($C$18*-1)+W186,W186)</f>
        <v>6182.2215098620718</v>
      </c>
      <c r="X201" s="52">
        <f>IF(X$10=1,($C$18*-1)+X186,X186)</f>
        <v>5873.897140473131</v>
      </c>
      <c r="Y201" s="52">
        <f>IF(Y$10=1,($C$18*-1)+Y186,Y186)</f>
        <v>5766.700838879533</v>
      </c>
      <c r="Z201" s="52">
        <f>IF(Z$10=1,($C$18*-1)+Z186,Z186)</f>
        <v>5856.2010933672518</v>
      </c>
      <c r="AA201" s="52">
        <f>IF(AA$10=1,($C$18*-1)+AA186,AA186)</f>
        <v>5946.5963503998455</v>
      </c>
      <c r="AB201" s="52">
        <f>IF(AB$10=1,($C$18*-1)+AB186,AB186)</f>
        <v>6037.8955600027602</v>
      </c>
      <c r="AC201" s="52">
        <f>IF(AC$10=1,($C$18*-1)+AC186,AC186)</f>
        <v>6130.107761701709</v>
      </c>
      <c r="AD201" s="52">
        <f>IF(AD$10=1,($C$18*-1)+AD186,AD186)</f>
        <v>6223.2420854176444</v>
      </c>
      <c r="AE201" s="52">
        <f>IF(AE$10=1,($C$18*-1)+AE186,AE186)</f>
        <v>6317.3077523707434</v>
      </c>
      <c r="AF201" s="52">
        <f>IF(AF$10=1,($C$18*-1)+AF186,AF186)</f>
        <v>6412.3140759933731</v>
      </c>
      <c r="AG201" s="52">
        <f>IF(AG$10=1,($C$18*-1)+AG186,AG186)</f>
        <v>9491.5950727442469</v>
      </c>
      <c r="AH201" s="52">
        <f>IF(AH$10=1,($C$18*-1)+AH186,AH186)</f>
        <v>9588.5110234716867</v>
      </c>
      <c r="AI201" s="52">
        <f>IF(AI$10=1,($C$18*-1)+AI186,AI186)</f>
        <v>9686.3961337063993</v>
      </c>
      <c r="AJ201" s="52">
        <f>IF(AJ$10=1,($C$18*-1)+AJ186,AJ186)</f>
        <v>9785.2600950434644</v>
      </c>
      <c r="AK201" s="53">
        <f>IF(AK$10=1,($C$18*-1)+AK186,AK186)</f>
        <v>9885.1126959939029</v>
      </c>
    </row>
    <row r="202" spans="1:37" ht="38.25" customHeight="1" x14ac:dyDescent="0.25">
      <c r="F202" s="153"/>
      <c r="G202" s="194" t="s">
        <v>266</v>
      </c>
      <c r="H202" s="218" t="str">
        <f>TRI!C208</f>
        <v>N/A</v>
      </c>
      <c r="I202" s="218">
        <f>TRI!D208</f>
        <v>-4.5413871345387768E-2</v>
      </c>
      <c r="J202" s="218">
        <f>TRI!E208</f>
        <v>7.5768585791724519E-3</v>
      </c>
      <c r="K202" s="218">
        <f>TRI!F208</f>
        <v>2.5653198214088624E-2</v>
      </c>
      <c r="L202" s="218">
        <f>TRI!G208</f>
        <v>3.464326205698387E-2</v>
      </c>
      <c r="M202" s="218">
        <f>TRI!H208</f>
        <v>3.9945550074564018E-2</v>
      </c>
      <c r="N202" s="218">
        <f>TRI!I208</f>
        <v>4.3392599995264902E-2</v>
      </c>
      <c r="O202" s="218">
        <f>TRI!J208</f>
        <v>4.5777775744681115E-2</v>
      </c>
      <c r="P202" s="218">
        <f>TRI!K208</f>
        <v>4.7500257707563831E-2</v>
      </c>
      <c r="Q202" s="218">
        <f>TRI!L208</f>
        <v>4.8718941980320007E-2</v>
      </c>
      <c r="R202" s="218">
        <f>TRI!M208</f>
        <v>4.9509453672256232E-2</v>
      </c>
      <c r="S202" s="218">
        <f>TRI!N208</f>
        <v>4.9994022516165915E-2</v>
      </c>
      <c r="T202" s="218">
        <f>TRI!O208</f>
        <v>5.0253436745488989E-2</v>
      </c>
      <c r="U202" s="218">
        <f>TRI!P208</f>
        <v>5.0343093690313534E-2</v>
      </c>
      <c r="V202" s="218">
        <f>TRI!Q208</f>
        <v>5.0302133458047349E-2</v>
      </c>
      <c r="W202" s="218">
        <f>TRI!R208</f>
        <v>5.0158899569668236E-2</v>
      </c>
      <c r="X202" s="218">
        <f>TRI!S208</f>
        <v>4.9865918075006954E-2</v>
      </c>
      <c r="Y202" s="218">
        <f>TRI!T208</f>
        <v>4.9537474655801939E-2</v>
      </c>
      <c r="Z202" s="218">
        <f>TRI!U208</f>
        <v>4.9247351863328959E-2</v>
      </c>
      <c r="AA202" s="218">
        <f>TRI!V208</f>
        <v>4.8989110494827015E-2</v>
      </c>
      <c r="AB202" s="218">
        <f>TRI!W208</f>
        <v>4.8757587924730617E-2</v>
      </c>
      <c r="AC202" s="218">
        <f>TRI!X208</f>
        <v>4.8540595712548651E-2</v>
      </c>
      <c r="AD202" s="218">
        <f>TRI!Y208</f>
        <v>4.8352776555872667E-2</v>
      </c>
      <c r="AE202" s="218">
        <f>TRI!Z208</f>
        <v>4.8181797260605341E-2</v>
      </c>
      <c r="AF202" s="218">
        <f>TRI!AA208</f>
        <v>4.8025202488089835E-2</v>
      </c>
      <c r="AG202" s="218">
        <f>TRI!AB208</f>
        <v>4.7885116083360213E-2</v>
      </c>
      <c r="AH202" s="218">
        <f>TRI!AC208</f>
        <v>4.7764260663095248E-2</v>
      </c>
      <c r="AI202" s="218">
        <f>TRI!AD208</f>
        <v>4.765985554047969E-2</v>
      </c>
      <c r="AJ202" s="218">
        <f>TRI!AE208</f>
        <v>4.7569554094044175E-2</v>
      </c>
      <c r="AK202" s="219">
        <f>TRI!AF208</f>
        <v>4.7491365865407031E-2</v>
      </c>
    </row>
    <row r="203" spans="1:37" ht="30" customHeight="1" x14ac:dyDescent="0.25">
      <c r="F203" s="29"/>
      <c r="G203" s="29"/>
      <c r="H203" s="29"/>
      <c r="I203" s="29"/>
      <c r="J203" s="29"/>
      <c r="K203" s="29"/>
      <c r="L203" s="29"/>
      <c r="M203" s="29"/>
      <c r="N203" s="29"/>
      <c r="O203" s="29"/>
      <c r="P203" s="29"/>
      <c r="Q203" s="29"/>
    </row>
    <row r="204" spans="1:37" ht="30" customHeight="1" x14ac:dyDescent="0.25">
      <c r="F204" s="29"/>
      <c r="G204" s="29"/>
      <c r="H204" s="29"/>
      <c r="I204" s="29"/>
      <c r="J204" s="29"/>
      <c r="K204" s="29"/>
      <c r="L204" s="29"/>
      <c r="M204" s="29"/>
      <c r="N204" s="29"/>
      <c r="O204" s="29"/>
      <c r="P204" s="29"/>
      <c r="Q204" s="29"/>
    </row>
    <row r="205" spans="1:37" ht="30" customHeight="1" x14ac:dyDescent="0.25">
      <c r="F205" s="29"/>
      <c r="G205" s="29"/>
      <c r="H205" s="29"/>
      <c r="I205" s="29"/>
      <c r="J205" s="29"/>
      <c r="K205" s="29"/>
      <c r="L205" s="29"/>
      <c r="M205" s="29"/>
      <c r="N205" s="29"/>
      <c r="O205" s="29"/>
      <c r="P205" s="29"/>
      <c r="Q205" s="29"/>
    </row>
    <row r="206" spans="1:37" ht="30" customHeight="1" x14ac:dyDescent="0.25">
      <c r="F206" s="29"/>
      <c r="G206" s="29"/>
      <c r="H206" s="29"/>
      <c r="I206" s="29"/>
      <c r="J206" s="29"/>
      <c r="K206" s="29"/>
      <c r="L206" s="29"/>
      <c r="M206" s="29"/>
      <c r="N206" s="29"/>
      <c r="O206" s="29"/>
      <c r="P206" s="29"/>
      <c r="Q206" s="29"/>
    </row>
    <row r="207" spans="1:37" ht="28.5" customHeight="1" x14ac:dyDescent="0.25">
      <c r="F207" s="29"/>
      <c r="G207" s="29"/>
      <c r="H207" s="29"/>
      <c r="I207" s="29"/>
      <c r="J207" s="29"/>
      <c r="K207" s="29"/>
      <c r="L207" s="29"/>
      <c r="M207" s="29"/>
      <c r="N207" s="29"/>
      <c r="O207" s="29"/>
      <c r="P207" s="29"/>
      <c r="Q207" s="29"/>
    </row>
    <row r="208" spans="1:37" ht="33.75" customHeight="1" x14ac:dyDescent="0.25">
      <c r="F208" s="29"/>
      <c r="G208" s="29"/>
      <c r="H208" s="29"/>
      <c r="I208" s="29"/>
      <c r="J208" s="29"/>
      <c r="K208" s="29"/>
      <c r="L208" s="29"/>
      <c r="M208" s="29"/>
      <c r="N208" s="29"/>
      <c r="O208" s="29"/>
      <c r="P208" s="29"/>
      <c r="Q208" s="29"/>
    </row>
  </sheetData>
  <mergeCells count="11">
    <mergeCell ref="B4:G6"/>
    <mergeCell ref="F14:F19"/>
    <mergeCell ref="F21:F26"/>
    <mergeCell ref="F28:F32"/>
    <mergeCell ref="F34:F36"/>
    <mergeCell ref="F38:F46"/>
    <mergeCell ref="F50:F77"/>
    <mergeCell ref="F79:F110"/>
    <mergeCell ref="F112:F140"/>
    <mergeCell ref="F142:F173"/>
    <mergeCell ref="F175:F20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A7216-4B3E-43FB-B78E-670F002F316F}">
  <dimension ref="B2:D183"/>
  <sheetViews>
    <sheetView showGridLines="0" topLeftCell="A79" zoomScale="70" zoomScaleNormal="70" workbookViewId="0">
      <selection activeCell="C76" sqref="C76"/>
    </sheetView>
  </sheetViews>
  <sheetFormatPr baseColWidth="10" defaultRowHeight="15" x14ac:dyDescent="0.25"/>
  <cols>
    <col min="1" max="1" width="3.85546875" customWidth="1"/>
    <col min="2" max="2" width="19" style="6" customWidth="1"/>
    <col min="3" max="3" width="69.5703125" style="11" bestFit="1" customWidth="1"/>
    <col min="4" max="4" width="161.42578125" style="8" customWidth="1"/>
  </cols>
  <sheetData>
    <row r="2" spans="2:4" s="4" customFormat="1" ht="36.75" customHeight="1" x14ac:dyDescent="0.25">
      <c r="B2" s="160" t="s">
        <v>76</v>
      </c>
      <c r="C2" s="161"/>
      <c r="D2" s="162"/>
    </row>
    <row r="4" spans="2:4" ht="36" customHeight="1" x14ac:dyDescent="0.25">
      <c r="B4" s="58" t="s">
        <v>134</v>
      </c>
      <c r="C4" s="58" t="s">
        <v>12</v>
      </c>
      <c r="D4" s="59" t="s">
        <v>22</v>
      </c>
    </row>
    <row r="5" spans="2:4" ht="20.25" customHeight="1" x14ac:dyDescent="0.25"/>
    <row r="6" spans="2:4" s="45" customFormat="1" ht="42.75" customHeight="1" x14ac:dyDescent="0.25">
      <c r="B6" s="56" t="s">
        <v>77</v>
      </c>
      <c r="C6" s="9" t="s">
        <v>44</v>
      </c>
      <c r="D6" s="7" t="s">
        <v>239</v>
      </c>
    </row>
    <row r="7" spans="2:4" s="45" customFormat="1" ht="20.25" customHeight="1" x14ac:dyDescent="0.25">
      <c r="B7" s="55"/>
      <c r="C7" s="27"/>
      <c r="D7" s="44"/>
    </row>
    <row r="8" spans="2:4" ht="42.75" customHeight="1" x14ac:dyDescent="0.25">
      <c r="B8" s="154" t="s">
        <v>78</v>
      </c>
      <c r="C8" s="9" t="s">
        <v>47</v>
      </c>
      <c r="D8" s="7" t="s">
        <v>39</v>
      </c>
    </row>
    <row r="9" spans="2:4" ht="42.75" customHeight="1" x14ac:dyDescent="0.25">
      <c r="B9" s="155"/>
      <c r="C9" s="10" t="s">
        <v>75</v>
      </c>
      <c r="D9" s="7" t="s">
        <v>33</v>
      </c>
    </row>
    <row r="10" spans="2:4" ht="42.75" customHeight="1" x14ac:dyDescent="0.25">
      <c r="B10" s="155"/>
      <c r="C10" s="9" t="s">
        <v>45</v>
      </c>
      <c r="D10" s="7" t="s">
        <v>28</v>
      </c>
    </row>
    <row r="11" spans="2:4" ht="42.75" customHeight="1" x14ac:dyDescent="0.25">
      <c r="B11" s="155"/>
      <c r="C11" s="9" t="s">
        <v>48</v>
      </c>
      <c r="D11" s="7" t="s">
        <v>29</v>
      </c>
    </row>
    <row r="12" spans="2:4" ht="42.75" customHeight="1" x14ac:dyDescent="0.25">
      <c r="B12" s="156"/>
      <c r="C12" s="9" t="s">
        <v>61</v>
      </c>
      <c r="D12" s="7" t="s">
        <v>21</v>
      </c>
    </row>
    <row r="13" spans="2:4" s="45" customFormat="1" ht="20.25" customHeight="1" x14ac:dyDescent="0.25">
      <c r="B13" s="47"/>
      <c r="C13" s="27"/>
      <c r="D13" s="44"/>
    </row>
    <row r="14" spans="2:4" ht="42.75" customHeight="1" x14ac:dyDescent="0.25">
      <c r="B14" s="154" t="s">
        <v>54</v>
      </c>
      <c r="C14" s="9" t="s">
        <v>49</v>
      </c>
      <c r="D14" s="7" t="s">
        <v>243</v>
      </c>
    </row>
    <row r="15" spans="2:4" ht="42.75" customHeight="1" x14ac:dyDescent="0.25">
      <c r="B15" s="155"/>
      <c r="C15" s="9" t="s">
        <v>50</v>
      </c>
      <c r="D15" s="7" t="s">
        <v>240</v>
      </c>
    </row>
    <row r="16" spans="2:4" ht="42.75" customHeight="1" x14ac:dyDescent="0.25">
      <c r="B16" s="155"/>
      <c r="C16" s="9" t="s">
        <v>51</v>
      </c>
      <c r="D16" s="7" t="s">
        <v>241</v>
      </c>
    </row>
    <row r="17" spans="2:4" ht="42.75" customHeight="1" x14ac:dyDescent="0.25">
      <c r="B17" s="155"/>
      <c r="C17" s="9" t="s">
        <v>52</v>
      </c>
      <c r="D17" s="7" t="s">
        <v>242</v>
      </c>
    </row>
    <row r="18" spans="2:4" ht="42.75" customHeight="1" x14ac:dyDescent="0.25">
      <c r="B18" s="155"/>
      <c r="C18" s="9" t="s">
        <v>53</v>
      </c>
      <c r="D18" s="7" t="s">
        <v>40</v>
      </c>
    </row>
    <row r="19" spans="2:4" ht="42.75" customHeight="1" x14ac:dyDescent="0.25">
      <c r="B19" s="156"/>
      <c r="C19" s="9" t="s">
        <v>62</v>
      </c>
      <c r="D19" s="7" t="s">
        <v>38</v>
      </c>
    </row>
    <row r="20" spans="2:4" s="45" customFormat="1" ht="20.25" customHeight="1" x14ac:dyDescent="0.25">
      <c r="B20" s="47"/>
      <c r="C20" s="27"/>
      <c r="D20" s="44"/>
    </row>
    <row r="21" spans="2:4" ht="42.75" customHeight="1" x14ac:dyDescent="0.25">
      <c r="B21" s="154" t="s">
        <v>80</v>
      </c>
      <c r="C21" s="9" t="s">
        <v>55</v>
      </c>
      <c r="D21" s="7" t="s">
        <v>41</v>
      </c>
    </row>
    <row r="22" spans="2:4" ht="42.75" customHeight="1" x14ac:dyDescent="0.25">
      <c r="B22" s="155"/>
      <c r="C22" s="9" t="s">
        <v>56</v>
      </c>
      <c r="D22" s="7" t="s">
        <v>30</v>
      </c>
    </row>
    <row r="23" spans="2:4" ht="42.75" customHeight="1" x14ac:dyDescent="0.25">
      <c r="B23" s="156"/>
      <c r="C23" s="9" t="s">
        <v>57</v>
      </c>
      <c r="D23" s="7" t="s">
        <v>31</v>
      </c>
    </row>
    <row r="24" spans="2:4" s="45" customFormat="1" ht="20.25" customHeight="1" x14ac:dyDescent="0.25">
      <c r="B24" s="47"/>
      <c r="C24" s="27"/>
      <c r="D24" s="44"/>
    </row>
    <row r="25" spans="2:4" ht="42.75" customHeight="1" x14ac:dyDescent="0.25">
      <c r="B25" s="154" t="s">
        <v>79</v>
      </c>
      <c r="C25" s="9" t="s">
        <v>139</v>
      </c>
      <c r="D25" s="7" t="s">
        <v>244</v>
      </c>
    </row>
    <row r="26" spans="2:4" ht="42.75" customHeight="1" x14ac:dyDescent="0.25">
      <c r="B26" s="155"/>
      <c r="C26" s="9" t="s">
        <v>331</v>
      </c>
      <c r="D26" s="7" t="s">
        <v>337</v>
      </c>
    </row>
    <row r="27" spans="2:4" ht="42.75" customHeight="1" x14ac:dyDescent="0.25">
      <c r="B27" s="155"/>
      <c r="C27" s="9" t="s">
        <v>140</v>
      </c>
      <c r="D27" s="7" t="s">
        <v>42</v>
      </c>
    </row>
    <row r="28" spans="2:4" ht="42.75" customHeight="1" x14ac:dyDescent="0.25">
      <c r="B28" s="155"/>
      <c r="C28" s="9" t="s">
        <v>137</v>
      </c>
      <c r="D28" s="7" t="s">
        <v>143</v>
      </c>
    </row>
    <row r="29" spans="2:4" ht="42.75" customHeight="1" x14ac:dyDescent="0.25">
      <c r="B29" s="156"/>
      <c r="C29" s="9" t="s">
        <v>58</v>
      </c>
      <c r="D29" s="7" t="s">
        <v>43</v>
      </c>
    </row>
    <row r="30" spans="2:4" s="45" customFormat="1" ht="20.25" customHeight="1" x14ac:dyDescent="0.25">
      <c r="B30" s="47"/>
      <c r="C30" s="27"/>
      <c r="D30" s="44"/>
    </row>
    <row r="31" spans="2:4" ht="42.75" customHeight="1" x14ac:dyDescent="0.25">
      <c r="B31" s="154" t="s">
        <v>186</v>
      </c>
      <c r="C31" s="9" t="s">
        <v>59</v>
      </c>
      <c r="D31" s="7" t="s">
        <v>72</v>
      </c>
    </row>
    <row r="32" spans="2:4" ht="42.75" customHeight="1" x14ac:dyDescent="0.25">
      <c r="B32" s="155"/>
      <c r="C32" s="9" t="s">
        <v>15</v>
      </c>
      <c r="D32" s="7" t="s">
        <v>73</v>
      </c>
    </row>
    <row r="33" spans="2:4" ht="42.75" customHeight="1" x14ac:dyDescent="0.25">
      <c r="B33" s="155"/>
      <c r="C33" s="9" t="s">
        <v>16</v>
      </c>
      <c r="D33" s="7" t="s">
        <v>245</v>
      </c>
    </row>
    <row r="34" spans="2:4" ht="42.75" customHeight="1" x14ac:dyDescent="0.25">
      <c r="B34" s="155"/>
      <c r="C34" s="9" t="s">
        <v>17</v>
      </c>
      <c r="D34" s="7" t="s">
        <v>34</v>
      </c>
    </row>
    <row r="35" spans="2:4" ht="42.75" customHeight="1" x14ac:dyDescent="0.25">
      <c r="B35" s="155"/>
      <c r="C35" s="9" t="s">
        <v>63</v>
      </c>
      <c r="D35" s="7" t="s">
        <v>74</v>
      </c>
    </row>
    <row r="36" spans="2:4" ht="42.75" customHeight="1" x14ac:dyDescent="0.25">
      <c r="B36" s="155"/>
      <c r="C36" s="9" t="s">
        <v>18</v>
      </c>
      <c r="D36" s="7" t="s">
        <v>246</v>
      </c>
    </row>
    <row r="37" spans="2:4" ht="42.75" customHeight="1" x14ac:dyDescent="0.25">
      <c r="B37" s="155"/>
      <c r="C37" s="9" t="s">
        <v>19</v>
      </c>
      <c r="D37" s="7" t="s">
        <v>247</v>
      </c>
    </row>
    <row r="38" spans="2:4" ht="42.75" customHeight="1" x14ac:dyDescent="0.25">
      <c r="B38" s="155"/>
      <c r="C38" s="25" t="s">
        <v>20</v>
      </c>
      <c r="D38" s="40" t="s">
        <v>35</v>
      </c>
    </row>
    <row r="39" spans="2:4" ht="42.75" customHeight="1" x14ac:dyDescent="0.25">
      <c r="B39" s="156"/>
      <c r="C39" s="9" t="s">
        <v>60</v>
      </c>
      <c r="D39" s="7" t="s">
        <v>27</v>
      </c>
    </row>
    <row r="40" spans="2:4" s="45" customFormat="1" ht="20.25" customHeight="1" x14ac:dyDescent="0.25">
      <c r="B40" s="55"/>
      <c r="C40" s="27"/>
      <c r="D40" s="44"/>
    </row>
    <row r="41" spans="2:4" s="45" customFormat="1" ht="42.75" customHeight="1" x14ac:dyDescent="0.25">
      <c r="B41" s="56" t="s">
        <v>89</v>
      </c>
      <c r="C41" s="9" t="s">
        <v>81</v>
      </c>
      <c r="D41" s="7" t="s">
        <v>338</v>
      </c>
    </row>
    <row r="42" spans="2:4" ht="20.25" customHeight="1" x14ac:dyDescent="0.25">
      <c r="B42" s="47"/>
      <c r="C42" s="27"/>
      <c r="D42" s="39"/>
    </row>
    <row r="43" spans="2:4" ht="42.75" customHeight="1" x14ac:dyDescent="0.25">
      <c r="B43" s="149" t="s">
        <v>208</v>
      </c>
      <c r="C43" s="9" t="s">
        <v>151</v>
      </c>
      <c r="D43" s="12" t="s">
        <v>339</v>
      </c>
    </row>
    <row r="44" spans="2:4" ht="42.75" customHeight="1" x14ac:dyDescent="0.25">
      <c r="B44" s="149"/>
      <c r="C44" s="9" t="s">
        <v>152</v>
      </c>
      <c r="D44" s="7" t="s">
        <v>255</v>
      </c>
    </row>
    <row r="45" spans="2:4" ht="42.75" customHeight="1" x14ac:dyDescent="0.25">
      <c r="B45" s="149"/>
      <c r="C45" s="9" t="s">
        <v>145</v>
      </c>
      <c r="D45" s="7" t="s">
        <v>254</v>
      </c>
    </row>
    <row r="46" spans="2:4" ht="42.75" customHeight="1" x14ac:dyDescent="0.25">
      <c r="B46" s="149"/>
      <c r="C46" s="24" t="s">
        <v>274</v>
      </c>
      <c r="D46" s="42" t="s">
        <v>135</v>
      </c>
    </row>
    <row r="47" spans="2:4" ht="42.75" customHeight="1" x14ac:dyDescent="0.25">
      <c r="B47" s="149"/>
      <c r="C47" s="24" t="s">
        <v>144</v>
      </c>
      <c r="D47" s="42" t="s">
        <v>128</v>
      </c>
    </row>
    <row r="48" spans="2:4" ht="42.75" customHeight="1" x14ac:dyDescent="0.25">
      <c r="B48" s="149"/>
      <c r="C48" s="9" t="s">
        <v>282</v>
      </c>
      <c r="D48" s="7" t="s">
        <v>249</v>
      </c>
    </row>
    <row r="49" spans="2:4" ht="42.75" customHeight="1" x14ac:dyDescent="0.25">
      <c r="B49" s="149"/>
      <c r="C49" s="9" t="s">
        <v>283</v>
      </c>
      <c r="D49" s="7" t="s">
        <v>124</v>
      </c>
    </row>
    <row r="50" spans="2:4" ht="42.75" customHeight="1" x14ac:dyDescent="0.25">
      <c r="B50" s="149"/>
      <c r="C50" s="9" t="s">
        <v>284</v>
      </c>
      <c r="D50" s="7" t="s">
        <v>250</v>
      </c>
    </row>
    <row r="51" spans="2:4" ht="42.75" customHeight="1" x14ac:dyDescent="0.25">
      <c r="B51" s="149"/>
      <c r="C51" s="9" t="s">
        <v>285</v>
      </c>
      <c r="D51" s="7" t="s">
        <v>125</v>
      </c>
    </row>
    <row r="52" spans="2:4" ht="42.75" customHeight="1" x14ac:dyDescent="0.25">
      <c r="B52" s="149"/>
      <c r="C52" s="9" t="s">
        <v>184</v>
      </c>
      <c r="D52" s="7" t="s">
        <v>126</v>
      </c>
    </row>
    <row r="53" spans="2:4" ht="42.75" customHeight="1" x14ac:dyDescent="0.25">
      <c r="B53" s="149"/>
      <c r="C53" s="9" t="s">
        <v>292</v>
      </c>
      <c r="D53" s="7" t="s">
        <v>251</v>
      </c>
    </row>
    <row r="54" spans="2:4" ht="42.75" customHeight="1" x14ac:dyDescent="0.25">
      <c r="B54" s="149"/>
      <c r="C54" s="9" t="s">
        <v>293</v>
      </c>
      <c r="D54" s="7" t="s">
        <v>127</v>
      </c>
    </row>
    <row r="55" spans="2:4" ht="42.75" customHeight="1" x14ac:dyDescent="0.25">
      <c r="B55" s="149"/>
      <c r="C55" s="9" t="s">
        <v>146</v>
      </c>
      <c r="D55" s="7" t="s">
        <v>129</v>
      </c>
    </row>
    <row r="56" spans="2:4" ht="42.75" customHeight="1" x14ac:dyDescent="0.25">
      <c r="B56" s="149"/>
      <c r="C56" s="9" t="s">
        <v>273</v>
      </c>
      <c r="D56" s="7" t="s">
        <v>130</v>
      </c>
    </row>
    <row r="57" spans="2:4" ht="42.75" customHeight="1" x14ac:dyDescent="0.25">
      <c r="B57" s="149"/>
      <c r="C57" s="9" t="s">
        <v>275</v>
      </c>
      <c r="D57" s="7" t="s">
        <v>131</v>
      </c>
    </row>
    <row r="58" spans="2:4" ht="42.75" customHeight="1" x14ac:dyDescent="0.25">
      <c r="B58" s="149"/>
      <c r="C58" s="12" t="s">
        <v>298</v>
      </c>
      <c r="D58" s="40" t="s">
        <v>132</v>
      </c>
    </row>
    <row r="59" spans="2:4" ht="42.75" customHeight="1" x14ac:dyDescent="0.25">
      <c r="B59" s="149"/>
      <c r="C59" s="9" t="s">
        <v>294</v>
      </c>
      <c r="D59" s="7" t="s">
        <v>301</v>
      </c>
    </row>
    <row r="60" spans="2:4" s="45" customFormat="1" ht="42.75" customHeight="1" x14ac:dyDescent="0.25">
      <c r="B60" s="149"/>
      <c r="C60" s="9" t="s">
        <v>344</v>
      </c>
      <c r="D60" s="7" t="s">
        <v>299</v>
      </c>
    </row>
    <row r="61" spans="2:4" s="45" customFormat="1" ht="42.75" customHeight="1" x14ac:dyDescent="0.25">
      <c r="B61" s="149"/>
      <c r="C61" s="12" t="s">
        <v>303</v>
      </c>
      <c r="D61" s="7" t="s">
        <v>306</v>
      </c>
    </row>
    <row r="62" spans="2:4" s="45" customFormat="1" ht="42.75" customHeight="1" x14ac:dyDescent="0.25">
      <c r="B62" s="149"/>
      <c r="C62" s="9" t="s">
        <v>295</v>
      </c>
      <c r="D62" s="46" t="s">
        <v>133</v>
      </c>
    </row>
    <row r="63" spans="2:4" s="45" customFormat="1" ht="42.75" customHeight="1" x14ac:dyDescent="0.25">
      <c r="B63" s="149"/>
      <c r="C63" s="9" t="s">
        <v>296</v>
      </c>
      <c r="D63" s="7" t="s">
        <v>302</v>
      </c>
    </row>
    <row r="64" spans="2:4" s="45" customFormat="1" ht="42.75" customHeight="1" x14ac:dyDescent="0.25">
      <c r="B64" s="149"/>
      <c r="C64" s="9" t="s">
        <v>297</v>
      </c>
      <c r="D64" s="7" t="s">
        <v>299</v>
      </c>
    </row>
    <row r="65" spans="2:4" s="45" customFormat="1" ht="42.75" customHeight="1" x14ac:dyDescent="0.25">
      <c r="B65" s="149"/>
      <c r="C65" s="12" t="s">
        <v>304</v>
      </c>
      <c r="D65" s="7" t="s">
        <v>305</v>
      </c>
    </row>
    <row r="66" spans="2:4" s="45" customFormat="1" ht="20.25" customHeight="1" x14ac:dyDescent="0.25">
      <c r="B66" s="43"/>
      <c r="C66" s="27"/>
      <c r="D66" s="44"/>
    </row>
    <row r="67" spans="2:4" s="45" customFormat="1" ht="54.75" customHeight="1" x14ac:dyDescent="0.25">
      <c r="B67" s="148" t="s">
        <v>236</v>
      </c>
      <c r="C67" s="9" t="s">
        <v>209</v>
      </c>
      <c r="D67" s="46" t="s">
        <v>309</v>
      </c>
    </row>
    <row r="68" spans="2:4" s="45" customFormat="1" ht="42.75" customHeight="1" x14ac:dyDescent="0.25">
      <c r="B68" s="148"/>
      <c r="C68" s="9" t="s">
        <v>210</v>
      </c>
      <c r="D68" s="46" t="s">
        <v>248</v>
      </c>
    </row>
    <row r="69" spans="2:4" ht="42.75" customHeight="1" x14ac:dyDescent="0.25">
      <c r="B69" s="148"/>
      <c r="C69" s="9" t="s">
        <v>90</v>
      </c>
      <c r="D69" s="7" t="s">
        <v>308</v>
      </c>
    </row>
    <row r="70" spans="2:4" ht="42.75" customHeight="1" x14ac:dyDescent="0.25">
      <c r="B70" s="148"/>
      <c r="C70" s="9" t="s">
        <v>94</v>
      </c>
      <c r="D70" s="7" t="s">
        <v>196</v>
      </c>
    </row>
    <row r="71" spans="2:4" ht="42.75" customHeight="1" x14ac:dyDescent="0.25">
      <c r="B71" s="148"/>
      <c r="C71" s="9" t="s">
        <v>189</v>
      </c>
      <c r="D71" s="7" t="s">
        <v>212</v>
      </c>
    </row>
    <row r="72" spans="2:4" ht="42.75" customHeight="1" x14ac:dyDescent="0.25">
      <c r="B72" s="148"/>
      <c r="C72" s="9" t="s">
        <v>191</v>
      </c>
      <c r="D72" s="7" t="s">
        <v>213</v>
      </c>
    </row>
    <row r="73" spans="2:4" ht="42.75" customHeight="1" x14ac:dyDescent="0.25">
      <c r="B73" s="148"/>
      <c r="C73" s="9" t="s">
        <v>190</v>
      </c>
      <c r="D73" s="7" t="s">
        <v>214</v>
      </c>
    </row>
    <row r="74" spans="2:4" ht="42.75" customHeight="1" x14ac:dyDescent="0.25">
      <c r="B74" s="148"/>
      <c r="C74" s="9" t="s">
        <v>192</v>
      </c>
      <c r="D74" s="7" t="s">
        <v>215</v>
      </c>
    </row>
    <row r="75" spans="2:4" ht="42.75" customHeight="1" x14ac:dyDescent="0.25">
      <c r="B75" s="148"/>
      <c r="C75" s="9" t="s">
        <v>193</v>
      </c>
      <c r="D75" s="7" t="s">
        <v>216</v>
      </c>
    </row>
    <row r="76" spans="2:4" ht="42.75" customHeight="1" x14ac:dyDescent="0.25">
      <c r="B76" s="148"/>
      <c r="C76" s="9" t="s">
        <v>194</v>
      </c>
      <c r="D76" s="7" t="s">
        <v>217</v>
      </c>
    </row>
    <row r="77" spans="2:4" ht="42.75" customHeight="1" x14ac:dyDescent="0.25">
      <c r="B77" s="148"/>
      <c r="C77" s="9" t="s">
        <v>101</v>
      </c>
      <c r="D77" s="7" t="s">
        <v>218</v>
      </c>
    </row>
    <row r="78" spans="2:4" ht="42.75" customHeight="1" x14ac:dyDescent="0.25">
      <c r="B78" s="148"/>
      <c r="C78" s="9" t="s">
        <v>102</v>
      </c>
      <c r="D78" s="7" t="s">
        <v>204</v>
      </c>
    </row>
    <row r="79" spans="2:4" ht="42.75" customHeight="1" x14ac:dyDescent="0.25">
      <c r="B79" s="148"/>
      <c r="C79" s="12" t="s">
        <v>91</v>
      </c>
      <c r="D79" s="7" t="s">
        <v>205</v>
      </c>
    </row>
    <row r="80" spans="2:4" ht="42.75" customHeight="1" x14ac:dyDescent="0.25">
      <c r="B80" s="148"/>
      <c r="C80" s="78" t="s">
        <v>103</v>
      </c>
      <c r="D80" s="80" t="s">
        <v>211</v>
      </c>
    </row>
    <row r="81" spans="2:4" ht="42.75" customHeight="1" x14ac:dyDescent="0.25">
      <c r="B81" s="148"/>
      <c r="C81" s="78" t="s">
        <v>104</v>
      </c>
      <c r="D81" s="80" t="s">
        <v>113</v>
      </c>
    </row>
    <row r="82" spans="2:4" ht="57" customHeight="1" x14ac:dyDescent="0.25">
      <c r="B82" s="148"/>
      <c r="C82" s="23" t="s">
        <v>340</v>
      </c>
      <c r="D82" s="7" t="s">
        <v>234</v>
      </c>
    </row>
    <row r="83" spans="2:4" ht="42.75" customHeight="1" x14ac:dyDescent="0.25">
      <c r="B83" s="148"/>
      <c r="C83" s="9" t="s">
        <v>92</v>
      </c>
      <c r="D83" s="7" t="s">
        <v>121</v>
      </c>
    </row>
    <row r="84" spans="2:4" ht="42.75" customHeight="1" x14ac:dyDescent="0.25">
      <c r="B84" s="148"/>
      <c r="C84" s="9" t="s">
        <v>105</v>
      </c>
      <c r="D84" s="7" t="s">
        <v>114</v>
      </c>
    </row>
    <row r="85" spans="2:4" ht="42.75" customHeight="1" x14ac:dyDescent="0.25">
      <c r="B85" s="148"/>
      <c r="C85" s="9" t="s">
        <v>106</v>
      </c>
      <c r="D85" s="7" t="s">
        <v>118</v>
      </c>
    </row>
    <row r="86" spans="2:4" ht="42.75" customHeight="1" x14ac:dyDescent="0.25">
      <c r="B86" s="148"/>
      <c r="C86" s="9" t="s">
        <v>107</v>
      </c>
      <c r="D86" s="7" t="s">
        <v>115</v>
      </c>
    </row>
    <row r="87" spans="2:4" ht="42.75" customHeight="1" x14ac:dyDescent="0.25">
      <c r="B87" s="148"/>
      <c r="C87" s="9" t="s">
        <v>108</v>
      </c>
      <c r="D87" s="7" t="s">
        <v>119</v>
      </c>
    </row>
    <row r="88" spans="2:4" ht="42.75" customHeight="1" x14ac:dyDescent="0.25">
      <c r="B88" s="148"/>
      <c r="C88" s="9" t="s">
        <v>109</v>
      </c>
      <c r="D88" s="7" t="s">
        <v>117</v>
      </c>
    </row>
    <row r="89" spans="2:4" ht="42.75" customHeight="1" x14ac:dyDescent="0.25">
      <c r="B89" s="148"/>
      <c r="C89" s="9" t="s">
        <v>110</v>
      </c>
      <c r="D89" s="7" t="s">
        <v>116</v>
      </c>
    </row>
    <row r="90" spans="2:4" ht="42.75" customHeight="1" x14ac:dyDescent="0.25">
      <c r="B90" s="148"/>
      <c r="C90" s="9" t="s">
        <v>111</v>
      </c>
      <c r="D90" s="41" t="s">
        <v>120</v>
      </c>
    </row>
    <row r="91" spans="2:4" ht="42.75" customHeight="1" x14ac:dyDescent="0.25">
      <c r="B91" s="148"/>
      <c r="C91" s="9" t="s">
        <v>112</v>
      </c>
      <c r="D91" s="7" t="s">
        <v>122</v>
      </c>
    </row>
    <row r="92" spans="2:4" ht="42.75" customHeight="1" x14ac:dyDescent="0.25">
      <c r="B92" s="148"/>
      <c r="C92" s="9" t="s">
        <v>93</v>
      </c>
      <c r="D92" s="7" t="s">
        <v>141</v>
      </c>
    </row>
    <row r="93" spans="2:4" ht="42.75" customHeight="1" x14ac:dyDescent="0.25">
      <c r="B93" s="148"/>
      <c r="C93" s="9" t="s">
        <v>267</v>
      </c>
      <c r="D93" s="7" t="s">
        <v>289</v>
      </c>
    </row>
    <row r="94" spans="2:4" ht="42.75" customHeight="1" x14ac:dyDescent="0.25">
      <c r="B94" s="148"/>
      <c r="C94" s="78" t="s">
        <v>266</v>
      </c>
      <c r="D94" s="80" t="s">
        <v>290</v>
      </c>
    </row>
    <row r="95" spans="2:4" ht="42.75" customHeight="1" x14ac:dyDescent="0.25">
      <c r="B95" s="148"/>
      <c r="C95" s="79" t="s">
        <v>300</v>
      </c>
      <c r="D95" s="80" t="s">
        <v>123</v>
      </c>
    </row>
    <row r="96" spans="2:4" s="45" customFormat="1" ht="20.25" customHeight="1" x14ac:dyDescent="0.25">
      <c r="B96" s="43"/>
      <c r="C96" s="27"/>
      <c r="D96" s="44"/>
    </row>
    <row r="97" spans="2:4" ht="42.75" customHeight="1" x14ac:dyDescent="0.25">
      <c r="B97" s="157" t="s">
        <v>235</v>
      </c>
      <c r="C97" s="9" t="s">
        <v>90</v>
      </c>
      <c r="D97" s="7" t="s">
        <v>219</v>
      </c>
    </row>
    <row r="98" spans="2:4" ht="42.75" customHeight="1" x14ac:dyDescent="0.25">
      <c r="B98" s="158"/>
      <c r="C98" s="24" t="s">
        <v>94</v>
      </c>
      <c r="D98" s="42" t="s">
        <v>196</v>
      </c>
    </row>
    <row r="99" spans="2:4" ht="42.75" customHeight="1" x14ac:dyDescent="0.25">
      <c r="B99" s="158"/>
      <c r="C99" s="9" t="s">
        <v>189</v>
      </c>
      <c r="D99" s="7" t="s">
        <v>220</v>
      </c>
    </row>
    <row r="100" spans="2:4" ht="42.75" customHeight="1" x14ac:dyDescent="0.25">
      <c r="B100" s="158"/>
      <c r="C100" s="9" t="s">
        <v>191</v>
      </c>
      <c r="D100" s="7" t="s">
        <v>221</v>
      </c>
    </row>
    <row r="101" spans="2:4" ht="42.75" customHeight="1" x14ac:dyDescent="0.25">
      <c r="B101" s="158"/>
      <c r="C101" s="9" t="s">
        <v>190</v>
      </c>
      <c r="D101" s="7" t="s">
        <v>222</v>
      </c>
    </row>
    <row r="102" spans="2:4" ht="42.75" customHeight="1" x14ac:dyDescent="0.25">
      <c r="B102" s="158"/>
      <c r="C102" s="9" t="s">
        <v>192</v>
      </c>
      <c r="D102" s="7" t="s">
        <v>223</v>
      </c>
    </row>
    <row r="103" spans="2:4" ht="42.75" customHeight="1" x14ac:dyDescent="0.25">
      <c r="B103" s="158"/>
      <c r="C103" s="9" t="s">
        <v>193</v>
      </c>
      <c r="D103" s="7" t="s">
        <v>224</v>
      </c>
    </row>
    <row r="104" spans="2:4" ht="42.75" customHeight="1" x14ac:dyDescent="0.25">
      <c r="B104" s="158"/>
      <c r="C104" s="9" t="s">
        <v>194</v>
      </c>
      <c r="D104" s="7" t="s">
        <v>225</v>
      </c>
    </row>
    <row r="105" spans="2:4" ht="42.75" customHeight="1" x14ac:dyDescent="0.25">
      <c r="B105" s="158"/>
      <c r="C105" s="9" t="s">
        <v>101</v>
      </c>
      <c r="D105" s="7" t="s">
        <v>226</v>
      </c>
    </row>
    <row r="106" spans="2:4" ht="42.75" customHeight="1" x14ac:dyDescent="0.25">
      <c r="B106" s="158"/>
      <c r="C106" s="9" t="s">
        <v>102</v>
      </c>
      <c r="D106" s="7" t="s">
        <v>204</v>
      </c>
    </row>
    <row r="107" spans="2:4" ht="42.75" customHeight="1" x14ac:dyDescent="0.25">
      <c r="B107" s="158"/>
      <c r="C107" s="25" t="s">
        <v>91</v>
      </c>
      <c r="D107" s="40" t="s">
        <v>205</v>
      </c>
    </row>
    <row r="108" spans="2:4" ht="42.75" customHeight="1" x14ac:dyDescent="0.25">
      <c r="B108" s="158"/>
      <c r="C108" s="78" t="s">
        <v>103</v>
      </c>
      <c r="D108" s="80" t="s">
        <v>211</v>
      </c>
    </row>
    <row r="109" spans="2:4" ht="42.75" customHeight="1" x14ac:dyDescent="0.25">
      <c r="B109" s="158"/>
      <c r="C109" s="78" t="s">
        <v>104</v>
      </c>
      <c r="D109" s="80" t="s">
        <v>113</v>
      </c>
    </row>
    <row r="110" spans="2:4" ht="54.75" customHeight="1" x14ac:dyDescent="0.25">
      <c r="B110" s="158"/>
      <c r="C110" s="23" t="s">
        <v>332</v>
      </c>
      <c r="D110" s="7" t="s">
        <v>234</v>
      </c>
    </row>
    <row r="111" spans="2:4" ht="54.75" customHeight="1" x14ac:dyDescent="0.25">
      <c r="B111" s="158"/>
      <c r="C111" s="9" t="s">
        <v>92</v>
      </c>
      <c r="D111" s="7" t="s">
        <v>121</v>
      </c>
    </row>
    <row r="112" spans="2:4" ht="54.75" customHeight="1" x14ac:dyDescent="0.25">
      <c r="B112" s="158"/>
      <c r="C112" s="9" t="s">
        <v>105</v>
      </c>
      <c r="D112" s="7" t="s">
        <v>114</v>
      </c>
    </row>
    <row r="113" spans="2:4" ht="54.75" customHeight="1" x14ac:dyDescent="0.25">
      <c r="B113" s="158"/>
      <c r="C113" s="9" t="s">
        <v>106</v>
      </c>
      <c r="D113" s="7" t="s">
        <v>118</v>
      </c>
    </row>
    <row r="114" spans="2:4" ht="54.75" customHeight="1" x14ac:dyDescent="0.25">
      <c r="B114" s="158"/>
      <c r="C114" s="9" t="s">
        <v>107</v>
      </c>
      <c r="D114" s="7" t="s">
        <v>115</v>
      </c>
    </row>
    <row r="115" spans="2:4" ht="54.75" customHeight="1" x14ac:dyDescent="0.25">
      <c r="B115" s="158"/>
      <c r="C115" s="9" t="s">
        <v>108</v>
      </c>
      <c r="D115" s="7" t="s">
        <v>119</v>
      </c>
    </row>
    <row r="116" spans="2:4" ht="54.75" customHeight="1" x14ac:dyDescent="0.25">
      <c r="B116" s="158"/>
      <c r="C116" s="9" t="s">
        <v>109</v>
      </c>
      <c r="D116" s="7" t="s">
        <v>117</v>
      </c>
    </row>
    <row r="117" spans="2:4" ht="54.75" customHeight="1" x14ac:dyDescent="0.25">
      <c r="B117" s="158"/>
      <c r="C117" s="9" t="s">
        <v>110</v>
      </c>
      <c r="D117" s="7" t="s">
        <v>116</v>
      </c>
    </row>
    <row r="118" spans="2:4" ht="54.75" customHeight="1" x14ac:dyDescent="0.25">
      <c r="B118" s="158"/>
      <c r="C118" s="9" t="s">
        <v>111</v>
      </c>
      <c r="D118" s="41" t="s">
        <v>120</v>
      </c>
    </row>
    <row r="119" spans="2:4" ht="54.75" customHeight="1" x14ac:dyDescent="0.25">
      <c r="B119" s="158"/>
      <c r="C119" s="9" t="s">
        <v>112</v>
      </c>
      <c r="D119" s="7" t="s">
        <v>122</v>
      </c>
    </row>
    <row r="120" spans="2:4" ht="54.75" customHeight="1" x14ac:dyDescent="0.25">
      <c r="B120" s="158"/>
      <c r="C120" s="9" t="s">
        <v>93</v>
      </c>
      <c r="D120" s="7" t="s">
        <v>141</v>
      </c>
    </row>
    <row r="121" spans="2:4" ht="54.75" customHeight="1" x14ac:dyDescent="0.25">
      <c r="B121" s="158"/>
      <c r="C121" s="9" t="s">
        <v>267</v>
      </c>
      <c r="D121" s="7" t="s">
        <v>289</v>
      </c>
    </row>
    <row r="122" spans="2:4" ht="42.75" customHeight="1" x14ac:dyDescent="0.25">
      <c r="B122" s="158"/>
      <c r="C122" s="78" t="s">
        <v>266</v>
      </c>
      <c r="D122" s="80" t="s">
        <v>290</v>
      </c>
    </row>
    <row r="123" spans="2:4" ht="42.75" customHeight="1" x14ac:dyDescent="0.25">
      <c r="B123" s="159"/>
      <c r="C123" s="79" t="s">
        <v>300</v>
      </c>
      <c r="D123" s="80" t="s">
        <v>123</v>
      </c>
    </row>
    <row r="124" spans="2:4" s="45" customFormat="1" ht="20.25" customHeight="1" x14ac:dyDescent="0.25">
      <c r="B124" s="43"/>
      <c r="C124" s="27"/>
      <c r="D124" s="44"/>
    </row>
    <row r="125" spans="2:4" s="45" customFormat="1" ht="42.75" customHeight="1" x14ac:dyDescent="0.25">
      <c r="B125" s="150" t="s">
        <v>237</v>
      </c>
      <c r="C125" s="9" t="s">
        <v>138</v>
      </c>
      <c r="D125" s="7" t="s">
        <v>32</v>
      </c>
    </row>
    <row r="126" spans="2:4" s="45" customFormat="1" ht="42.75" customHeight="1" x14ac:dyDescent="0.25">
      <c r="B126" s="150"/>
      <c r="C126" s="9" t="s">
        <v>187</v>
      </c>
      <c r="D126" s="7" t="s">
        <v>70</v>
      </c>
    </row>
    <row r="127" spans="2:4" s="45" customFormat="1" ht="42.75" customHeight="1" x14ac:dyDescent="0.25">
      <c r="B127" s="150"/>
      <c r="C127" s="9" t="s">
        <v>188</v>
      </c>
      <c r="D127" s="7" t="s">
        <v>71</v>
      </c>
    </row>
    <row r="128" spans="2:4" ht="42.75" customHeight="1" x14ac:dyDescent="0.25">
      <c r="B128" s="150"/>
      <c r="C128" s="9" t="s">
        <v>90</v>
      </c>
      <c r="D128" s="7" t="s">
        <v>195</v>
      </c>
    </row>
    <row r="129" spans="2:4" ht="42.75" customHeight="1" x14ac:dyDescent="0.25">
      <c r="B129" s="150"/>
      <c r="C129" s="24" t="s">
        <v>94</v>
      </c>
      <c r="D129" s="42" t="s">
        <v>196</v>
      </c>
    </row>
    <row r="130" spans="2:4" ht="42.75" customHeight="1" x14ac:dyDescent="0.25">
      <c r="B130" s="150"/>
      <c r="C130" s="9" t="s">
        <v>189</v>
      </c>
      <c r="D130" s="7" t="s">
        <v>197</v>
      </c>
    </row>
    <row r="131" spans="2:4" ht="42.75" customHeight="1" x14ac:dyDescent="0.25">
      <c r="B131" s="150"/>
      <c r="C131" s="9" t="s">
        <v>191</v>
      </c>
      <c r="D131" s="7" t="s">
        <v>198</v>
      </c>
    </row>
    <row r="132" spans="2:4" ht="42.75" customHeight="1" x14ac:dyDescent="0.25">
      <c r="B132" s="150"/>
      <c r="C132" s="9" t="s">
        <v>190</v>
      </c>
      <c r="D132" s="7" t="s">
        <v>199</v>
      </c>
    </row>
    <row r="133" spans="2:4" ht="42.75" customHeight="1" x14ac:dyDescent="0.25">
      <c r="B133" s="150"/>
      <c r="C133" s="9" t="s">
        <v>192</v>
      </c>
      <c r="D133" s="7" t="s">
        <v>200</v>
      </c>
    </row>
    <row r="134" spans="2:4" ht="42.75" customHeight="1" x14ac:dyDescent="0.25">
      <c r="B134" s="150"/>
      <c r="C134" s="9" t="s">
        <v>193</v>
      </c>
      <c r="D134" s="7" t="s">
        <v>201</v>
      </c>
    </row>
    <row r="135" spans="2:4" ht="42.75" customHeight="1" x14ac:dyDescent="0.25">
      <c r="B135" s="150"/>
      <c r="C135" s="9" t="s">
        <v>194</v>
      </c>
      <c r="D135" s="7" t="s">
        <v>202</v>
      </c>
    </row>
    <row r="136" spans="2:4" ht="42.75" customHeight="1" x14ac:dyDescent="0.25">
      <c r="B136" s="150"/>
      <c r="C136" s="9" t="s">
        <v>101</v>
      </c>
      <c r="D136" s="7" t="s">
        <v>203</v>
      </c>
    </row>
    <row r="137" spans="2:4" ht="42.75" customHeight="1" x14ac:dyDescent="0.25">
      <c r="B137" s="150"/>
      <c r="C137" s="9" t="s">
        <v>102</v>
      </c>
      <c r="D137" s="7" t="s">
        <v>204</v>
      </c>
    </row>
    <row r="138" spans="2:4" ht="42.75" customHeight="1" x14ac:dyDescent="0.25">
      <c r="B138" s="150"/>
      <c r="C138" s="9" t="s">
        <v>91</v>
      </c>
      <c r="D138" s="7" t="s">
        <v>205</v>
      </c>
    </row>
    <row r="139" spans="2:4" ht="42.75" customHeight="1" x14ac:dyDescent="0.25">
      <c r="B139" s="150"/>
      <c r="C139" s="25" t="s">
        <v>136</v>
      </c>
      <c r="D139" s="40" t="s">
        <v>207</v>
      </c>
    </row>
    <row r="140" spans="2:4" ht="42.75" customHeight="1" x14ac:dyDescent="0.25">
      <c r="B140" s="150"/>
      <c r="C140" s="78" t="s">
        <v>103</v>
      </c>
      <c r="D140" s="80" t="s">
        <v>206</v>
      </c>
    </row>
    <row r="141" spans="2:4" ht="42.75" customHeight="1" x14ac:dyDescent="0.25">
      <c r="B141" s="150"/>
      <c r="C141" s="78" t="s">
        <v>104</v>
      </c>
      <c r="D141" s="80" t="s">
        <v>113</v>
      </c>
    </row>
    <row r="142" spans="2:4" ht="47.25" customHeight="1" x14ac:dyDescent="0.25">
      <c r="B142" s="150"/>
      <c r="C142" s="23" t="s">
        <v>332</v>
      </c>
      <c r="D142" s="7" t="s">
        <v>234</v>
      </c>
    </row>
    <row r="143" spans="2:4" ht="42.75" customHeight="1" x14ac:dyDescent="0.25">
      <c r="B143" s="150"/>
      <c r="C143" s="9" t="s">
        <v>92</v>
      </c>
      <c r="D143" s="7" t="s">
        <v>121</v>
      </c>
    </row>
    <row r="144" spans="2:4" ht="42.75" customHeight="1" x14ac:dyDescent="0.25">
      <c r="B144" s="150"/>
      <c r="C144" s="9" t="s">
        <v>105</v>
      </c>
      <c r="D144" s="7" t="s">
        <v>114</v>
      </c>
    </row>
    <row r="145" spans="2:4" ht="42.75" customHeight="1" x14ac:dyDescent="0.25">
      <c r="B145" s="150"/>
      <c r="C145" s="9" t="s">
        <v>106</v>
      </c>
      <c r="D145" s="7" t="s">
        <v>118</v>
      </c>
    </row>
    <row r="146" spans="2:4" ht="42.75" customHeight="1" x14ac:dyDescent="0.25">
      <c r="B146" s="150"/>
      <c r="C146" s="9" t="s">
        <v>107</v>
      </c>
      <c r="D146" s="7" t="s">
        <v>115</v>
      </c>
    </row>
    <row r="147" spans="2:4" ht="42.75" customHeight="1" x14ac:dyDescent="0.25">
      <c r="B147" s="150"/>
      <c r="C147" s="9" t="s">
        <v>108</v>
      </c>
      <c r="D147" s="7" t="s">
        <v>119</v>
      </c>
    </row>
    <row r="148" spans="2:4" ht="42.75" customHeight="1" x14ac:dyDescent="0.25">
      <c r="B148" s="150"/>
      <c r="C148" s="9" t="s">
        <v>109</v>
      </c>
      <c r="D148" s="7" t="s">
        <v>117</v>
      </c>
    </row>
    <row r="149" spans="2:4" ht="42.75" customHeight="1" x14ac:dyDescent="0.25">
      <c r="B149" s="150"/>
      <c r="C149" s="9" t="s">
        <v>110</v>
      </c>
      <c r="D149" s="7" t="s">
        <v>116</v>
      </c>
    </row>
    <row r="150" spans="2:4" ht="42.75" customHeight="1" x14ac:dyDescent="0.25">
      <c r="B150" s="150"/>
      <c r="C150" s="9" t="s">
        <v>111</v>
      </c>
      <c r="D150" s="41" t="s">
        <v>120</v>
      </c>
    </row>
    <row r="151" spans="2:4" ht="42.75" customHeight="1" x14ac:dyDescent="0.25">
      <c r="B151" s="150"/>
      <c r="C151" s="9" t="s">
        <v>112</v>
      </c>
      <c r="D151" s="7" t="s">
        <v>122</v>
      </c>
    </row>
    <row r="152" spans="2:4" ht="42.75" customHeight="1" x14ac:dyDescent="0.25">
      <c r="B152" s="150"/>
      <c r="C152" s="9" t="s">
        <v>93</v>
      </c>
      <c r="D152" s="7" t="s">
        <v>141</v>
      </c>
    </row>
    <row r="153" spans="2:4" ht="42.75" customHeight="1" x14ac:dyDescent="0.25">
      <c r="B153" s="150"/>
      <c r="C153" s="9" t="s">
        <v>267</v>
      </c>
      <c r="D153" s="7" t="s">
        <v>289</v>
      </c>
    </row>
    <row r="154" spans="2:4" ht="42.75" customHeight="1" x14ac:dyDescent="0.25">
      <c r="B154" s="150"/>
      <c r="C154" s="78" t="s">
        <v>266</v>
      </c>
      <c r="D154" s="80" t="s">
        <v>290</v>
      </c>
    </row>
    <row r="155" spans="2:4" ht="42.75" customHeight="1" x14ac:dyDescent="0.25">
      <c r="B155" s="150"/>
      <c r="C155" s="79" t="s">
        <v>300</v>
      </c>
      <c r="D155" s="80" t="s">
        <v>123</v>
      </c>
    </row>
    <row r="156" spans="2:4" s="45" customFormat="1" ht="20.25" customHeight="1" x14ac:dyDescent="0.25">
      <c r="B156" s="43"/>
      <c r="C156" s="27"/>
      <c r="D156" s="44"/>
    </row>
    <row r="157" spans="2:4" ht="42.75" customHeight="1" x14ac:dyDescent="0.25">
      <c r="B157" s="151" t="s">
        <v>238</v>
      </c>
      <c r="C157" s="9" t="s">
        <v>90</v>
      </c>
      <c r="D157" s="7" t="s">
        <v>227</v>
      </c>
    </row>
    <row r="158" spans="2:4" ht="42.75" customHeight="1" x14ac:dyDescent="0.25">
      <c r="B158" s="152"/>
      <c r="C158" s="24" t="s">
        <v>94</v>
      </c>
      <c r="D158" s="42" t="s">
        <v>196</v>
      </c>
    </row>
    <row r="159" spans="2:4" ht="42.75" customHeight="1" x14ac:dyDescent="0.25">
      <c r="B159" s="152"/>
      <c r="C159" s="9" t="s">
        <v>189</v>
      </c>
      <c r="D159" s="7" t="s">
        <v>228</v>
      </c>
    </row>
    <row r="160" spans="2:4" ht="42.75" customHeight="1" x14ac:dyDescent="0.25">
      <c r="B160" s="152"/>
      <c r="C160" s="9" t="s">
        <v>191</v>
      </c>
      <c r="D160" s="7" t="s">
        <v>229</v>
      </c>
    </row>
    <row r="161" spans="2:4" ht="42.75" customHeight="1" x14ac:dyDescent="0.25">
      <c r="B161" s="152"/>
      <c r="C161" s="9" t="s">
        <v>190</v>
      </c>
      <c r="D161" s="7" t="s">
        <v>230</v>
      </c>
    </row>
    <row r="162" spans="2:4" ht="42.75" customHeight="1" x14ac:dyDescent="0.25">
      <c r="B162" s="152"/>
      <c r="C162" s="9" t="s">
        <v>192</v>
      </c>
      <c r="D162" s="7" t="s">
        <v>231</v>
      </c>
    </row>
    <row r="163" spans="2:4" ht="42.75" customHeight="1" x14ac:dyDescent="0.25">
      <c r="B163" s="152"/>
      <c r="C163" s="9" t="s">
        <v>193</v>
      </c>
      <c r="D163" s="7" t="s">
        <v>232</v>
      </c>
    </row>
    <row r="164" spans="2:4" ht="42.75" customHeight="1" x14ac:dyDescent="0.25">
      <c r="B164" s="152"/>
      <c r="C164" s="9" t="s">
        <v>194</v>
      </c>
      <c r="D164" s="7" t="s">
        <v>233</v>
      </c>
    </row>
    <row r="165" spans="2:4" ht="42.75" customHeight="1" x14ac:dyDescent="0.25">
      <c r="B165" s="152"/>
      <c r="C165" s="9" t="s">
        <v>101</v>
      </c>
      <c r="D165" s="7" t="s">
        <v>203</v>
      </c>
    </row>
    <row r="166" spans="2:4" ht="42.75" customHeight="1" x14ac:dyDescent="0.25">
      <c r="B166" s="152"/>
      <c r="C166" s="9" t="s">
        <v>102</v>
      </c>
      <c r="D166" s="7" t="s">
        <v>204</v>
      </c>
    </row>
    <row r="167" spans="2:4" ht="42.75" customHeight="1" x14ac:dyDescent="0.25">
      <c r="B167" s="152"/>
      <c r="C167" s="9" t="s">
        <v>91</v>
      </c>
      <c r="D167" s="7" t="s">
        <v>205</v>
      </c>
    </row>
    <row r="168" spans="2:4" ht="42.75" customHeight="1" x14ac:dyDescent="0.25">
      <c r="B168" s="152"/>
      <c r="C168" s="78" t="s">
        <v>103</v>
      </c>
      <c r="D168" s="80" t="s">
        <v>211</v>
      </c>
    </row>
    <row r="169" spans="2:4" ht="42.75" customHeight="1" x14ac:dyDescent="0.25">
      <c r="B169" s="152"/>
      <c r="C169" s="78" t="s">
        <v>104</v>
      </c>
      <c r="D169" s="80" t="s">
        <v>113</v>
      </c>
    </row>
    <row r="170" spans="2:4" ht="42.75" customHeight="1" x14ac:dyDescent="0.25">
      <c r="B170" s="152"/>
      <c r="C170" s="23" t="s">
        <v>332</v>
      </c>
      <c r="D170" s="7" t="s">
        <v>234</v>
      </c>
    </row>
    <row r="171" spans="2:4" ht="42.75" customHeight="1" x14ac:dyDescent="0.25">
      <c r="B171" s="152"/>
      <c r="C171" s="9" t="s">
        <v>149</v>
      </c>
      <c r="D171" s="7" t="s">
        <v>121</v>
      </c>
    </row>
    <row r="172" spans="2:4" ht="42.75" customHeight="1" x14ac:dyDescent="0.25">
      <c r="B172" s="152"/>
      <c r="C172" s="9" t="s">
        <v>105</v>
      </c>
      <c r="D172" s="7" t="s">
        <v>114</v>
      </c>
    </row>
    <row r="173" spans="2:4" ht="42.75" customHeight="1" x14ac:dyDescent="0.25">
      <c r="B173" s="152"/>
      <c r="C173" s="9" t="s">
        <v>106</v>
      </c>
      <c r="D173" s="7" t="s">
        <v>118</v>
      </c>
    </row>
    <row r="174" spans="2:4" ht="42.75" customHeight="1" x14ac:dyDescent="0.25">
      <c r="B174" s="152"/>
      <c r="C174" s="9" t="s">
        <v>107</v>
      </c>
      <c r="D174" s="7" t="s">
        <v>115</v>
      </c>
    </row>
    <row r="175" spans="2:4" ht="42.75" customHeight="1" x14ac:dyDescent="0.25">
      <c r="B175" s="152"/>
      <c r="C175" s="9" t="s">
        <v>108</v>
      </c>
      <c r="D175" s="7" t="s">
        <v>119</v>
      </c>
    </row>
    <row r="176" spans="2:4" ht="42.75" customHeight="1" x14ac:dyDescent="0.25">
      <c r="B176" s="152"/>
      <c r="C176" s="9" t="s">
        <v>109</v>
      </c>
      <c r="D176" s="7" t="s">
        <v>117</v>
      </c>
    </row>
    <row r="177" spans="2:4" ht="42.75" customHeight="1" x14ac:dyDescent="0.25">
      <c r="B177" s="152"/>
      <c r="C177" s="9" t="s">
        <v>110</v>
      </c>
      <c r="D177" s="7" t="s">
        <v>116</v>
      </c>
    </row>
    <row r="178" spans="2:4" ht="42.75" customHeight="1" x14ac:dyDescent="0.25">
      <c r="B178" s="152"/>
      <c r="C178" s="9" t="s">
        <v>111</v>
      </c>
      <c r="D178" s="41" t="s">
        <v>120</v>
      </c>
    </row>
    <row r="179" spans="2:4" ht="42.75" customHeight="1" x14ac:dyDescent="0.25">
      <c r="B179" s="152"/>
      <c r="C179" s="9" t="s">
        <v>112</v>
      </c>
      <c r="D179" s="7" t="s">
        <v>122</v>
      </c>
    </row>
    <row r="180" spans="2:4" ht="42.75" customHeight="1" x14ac:dyDescent="0.25">
      <c r="B180" s="152"/>
      <c r="C180" s="9" t="s">
        <v>93</v>
      </c>
      <c r="D180" s="7" t="s">
        <v>141</v>
      </c>
    </row>
    <row r="181" spans="2:4" ht="42.75" customHeight="1" x14ac:dyDescent="0.25">
      <c r="B181" s="152"/>
      <c r="C181" s="9" t="s">
        <v>267</v>
      </c>
      <c r="D181" s="7" t="s">
        <v>289</v>
      </c>
    </row>
    <row r="182" spans="2:4" ht="44.25" customHeight="1" x14ac:dyDescent="0.25">
      <c r="B182" s="152"/>
      <c r="C182" s="78" t="s">
        <v>266</v>
      </c>
      <c r="D182" s="80" t="s">
        <v>142</v>
      </c>
    </row>
    <row r="183" spans="2:4" ht="44.25" customHeight="1" x14ac:dyDescent="0.25">
      <c r="B183" s="153"/>
      <c r="C183" s="79" t="s">
        <v>271</v>
      </c>
      <c r="D183" s="80" t="s">
        <v>123</v>
      </c>
    </row>
  </sheetData>
  <mergeCells count="11">
    <mergeCell ref="B8:B12"/>
    <mergeCell ref="B14:B19"/>
    <mergeCell ref="B21:B23"/>
    <mergeCell ref="B25:B29"/>
    <mergeCell ref="B2:D2"/>
    <mergeCell ref="B125:B155"/>
    <mergeCell ref="B67:B95"/>
    <mergeCell ref="B43:B65"/>
    <mergeCell ref="B157:B183"/>
    <mergeCell ref="B31:B39"/>
    <mergeCell ref="B97:B12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02F09-AD85-4B93-A23A-5602348898FD}">
  <dimension ref="B2:G25"/>
  <sheetViews>
    <sheetView showGridLines="0" topLeftCell="A19" zoomScale="85" zoomScaleNormal="85" workbookViewId="0">
      <selection activeCell="B20" sqref="B20:G25"/>
    </sheetView>
  </sheetViews>
  <sheetFormatPr baseColWidth="10" defaultRowHeight="15" x14ac:dyDescent="0.25"/>
  <cols>
    <col min="1" max="1" width="3.5703125" customWidth="1"/>
    <col min="2" max="2" width="32" customWidth="1"/>
    <col min="3" max="7" width="32" style="3" customWidth="1"/>
  </cols>
  <sheetData>
    <row r="2" spans="2:7" s="26" customFormat="1" ht="16.5" customHeight="1" x14ac:dyDescent="0.25">
      <c r="B2" s="166" t="s">
        <v>258</v>
      </c>
      <c r="C2" s="167"/>
      <c r="D2" s="167"/>
      <c r="E2" s="167"/>
      <c r="F2" s="167"/>
      <c r="G2" s="168"/>
    </row>
    <row r="3" spans="2:7" s="26" customFormat="1" ht="16.5" customHeight="1" x14ac:dyDescent="0.25">
      <c r="B3" s="68" t="s">
        <v>169</v>
      </c>
      <c r="C3" s="28" t="s">
        <v>170</v>
      </c>
      <c r="D3" s="73" t="s">
        <v>286</v>
      </c>
      <c r="E3" s="28"/>
      <c r="F3" s="28"/>
      <c r="G3" s="67"/>
    </row>
    <row r="4" spans="2:7" s="26" customFormat="1" ht="16.5" customHeight="1" x14ac:dyDescent="0.25">
      <c r="B4" s="68" t="s">
        <v>168</v>
      </c>
      <c r="C4" s="28" t="s">
        <v>257</v>
      </c>
      <c r="D4" s="73" t="s">
        <v>287</v>
      </c>
      <c r="E4" s="28"/>
      <c r="F4" s="28"/>
      <c r="G4" s="67"/>
    </row>
    <row r="5" spans="2:7" s="26" customFormat="1" ht="16.5" customHeight="1" x14ac:dyDescent="0.25">
      <c r="B5" s="75" t="s">
        <v>261</v>
      </c>
      <c r="C5" s="28"/>
      <c r="D5" s="73"/>
      <c r="E5" s="28"/>
      <c r="F5" s="28"/>
      <c r="G5" s="67"/>
    </row>
    <row r="6" spans="2:7" s="26" customFormat="1" ht="16.5" customHeight="1" x14ac:dyDescent="0.25">
      <c r="B6" s="69" t="s">
        <v>182</v>
      </c>
      <c r="C6" s="28"/>
      <c r="D6" s="28"/>
      <c r="E6" s="28"/>
      <c r="F6" s="28"/>
      <c r="G6" s="67"/>
    </row>
    <row r="7" spans="2:7" s="26" customFormat="1" ht="16.5" customHeight="1" x14ac:dyDescent="0.25">
      <c r="B7" s="70" t="s">
        <v>167</v>
      </c>
      <c r="C7" s="71" t="s">
        <v>92</v>
      </c>
      <c r="D7" s="74" t="s">
        <v>259</v>
      </c>
      <c r="E7" s="71"/>
      <c r="F7" s="71"/>
      <c r="G7" s="72"/>
    </row>
    <row r="9" spans="2:7" x14ac:dyDescent="0.25">
      <c r="B9" s="65" t="s">
        <v>288</v>
      </c>
      <c r="C9" s="66" t="s">
        <v>176</v>
      </c>
      <c r="D9" s="66" t="s">
        <v>177</v>
      </c>
      <c r="E9" s="66" t="s">
        <v>175</v>
      </c>
      <c r="F9" s="66" t="s">
        <v>161</v>
      </c>
      <c r="G9" s="66" t="s">
        <v>174</v>
      </c>
    </row>
    <row r="10" spans="2:7" x14ac:dyDescent="0.25">
      <c r="B10" s="63" t="s">
        <v>166</v>
      </c>
      <c r="C10" s="61" t="s">
        <v>168</v>
      </c>
      <c r="D10" s="61" t="s">
        <v>168</v>
      </c>
      <c r="E10" s="61" t="s">
        <v>163</v>
      </c>
      <c r="F10" s="61" t="s">
        <v>163</v>
      </c>
      <c r="G10" s="61" t="s">
        <v>163</v>
      </c>
    </row>
    <row r="11" spans="2:7" x14ac:dyDescent="0.25">
      <c r="B11" s="63" t="s">
        <v>181</v>
      </c>
      <c r="C11" s="61" t="s">
        <v>171</v>
      </c>
      <c r="D11" s="61" t="s">
        <v>171</v>
      </c>
      <c r="E11" s="61" t="s">
        <v>167</v>
      </c>
      <c r="F11" s="61" t="s">
        <v>333</v>
      </c>
      <c r="G11" s="61" t="s">
        <v>167</v>
      </c>
    </row>
    <row r="12" spans="2:7" x14ac:dyDescent="0.25">
      <c r="B12" s="63" t="s">
        <v>173</v>
      </c>
      <c r="C12" s="61" t="s">
        <v>171</v>
      </c>
      <c r="D12" s="61" t="s">
        <v>171</v>
      </c>
      <c r="E12" s="61" t="s">
        <v>163</v>
      </c>
      <c r="F12" s="61" t="s">
        <v>163</v>
      </c>
      <c r="G12" s="61" t="s">
        <v>163</v>
      </c>
    </row>
    <row r="13" spans="2:7" x14ac:dyDescent="0.25">
      <c r="B13" s="63" t="s">
        <v>178</v>
      </c>
      <c r="C13" s="61" t="s">
        <v>168</v>
      </c>
      <c r="D13" s="61" t="s">
        <v>180</v>
      </c>
      <c r="E13" s="61" t="s">
        <v>167</v>
      </c>
      <c r="F13" s="61" t="s">
        <v>167</v>
      </c>
      <c r="G13" s="61" t="s">
        <v>167</v>
      </c>
    </row>
    <row r="14" spans="2:7" x14ac:dyDescent="0.25">
      <c r="B14" s="63" t="s">
        <v>179</v>
      </c>
      <c r="C14" s="61" t="s">
        <v>168</v>
      </c>
      <c r="D14" s="61" t="s">
        <v>172</v>
      </c>
      <c r="E14" s="61" t="s">
        <v>167</v>
      </c>
      <c r="F14" s="61" t="s">
        <v>167</v>
      </c>
      <c r="G14" s="61" t="s">
        <v>167</v>
      </c>
    </row>
    <row r="15" spans="2:7" x14ac:dyDescent="0.25">
      <c r="B15" s="63" t="s">
        <v>162</v>
      </c>
      <c r="C15" s="61" t="s">
        <v>169</v>
      </c>
      <c r="D15" s="61" t="s">
        <v>169</v>
      </c>
      <c r="E15" s="61" t="s">
        <v>163</v>
      </c>
      <c r="F15" s="61" t="s">
        <v>169</v>
      </c>
      <c r="G15" s="61" t="s">
        <v>163</v>
      </c>
    </row>
    <row r="16" spans="2:7" x14ac:dyDescent="0.25">
      <c r="B16" s="63" t="s">
        <v>54</v>
      </c>
      <c r="C16" s="61" t="s">
        <v>169</v>
      </c>
      <c r="D16" s="61" t="s">
        <v>169</v>
      </c>
      <c r="E16" s="61" t="s">
        <v>163</v>
      </c>
      <c r="F16" s="61" t="s">
        <v>169</v>
      </c>
      <c r="G16" s="61" t="s">
        <v>163</v>
      </c>
    </row>
    <row r="17" spans="2:7" x14ac:dyDescent="0.25">
      <c r="B17" s="63" t="s">
        <v>164</v>
      </c>
      <c r="C17" s="61" t="s">
        <v>169</v>
      </c>
      <c r="D17" s="61" t="s">
        <v>169</v>
      </c>
      <c r="E17" s="61" t="s">
        <v>163</v>
      </c>
      <c r="F17" s="61" t="s">
        <v>169</v>
      </c>
      <c r="G17" s="61" t="s">
        <v>163</v>
      </c>
    </row>
    <row r="18" spans="2:7" x14ac:dyDescent="0.25">
      <c r="B18" s="64" t="s">
        <v>165</v>
      </c>
      <c r="C18" s="62" t="s">
        <v>163</v>
      </c>
      <c r="D18" s="62" t="s">
        <v>163</v>
      </c>
      <c r="E18" s="62" t="s">
        <v>163</v>
      </c>
      <c r="F18" s="62" t="s">
        <v>163</v>
      </c>
      <c r="G18" s="62" t="s">
        <v>163</v>
      </c>
    </row>
    <row r="20" spans="2:7" s="26" customFormat="1" ht="18" customHeight="1" x14ac:dyDescent="0.25">
      <c r="B20" s="166" t="s">
        <v>183</v>
      </c>
      <c r="C20" s="167"/>
      <c r="D20" s="167"/>
      <c r="E20" s="167"/>
      <c r="F20" s="167"/>
      <c r="G20" s="168"/>
    </row>
    <row r="21" spans="2:7" ht="96.75" customHeight="1" x14ac:dyDescent="0.25">
      <c r="B21" s="169" t="s">
        <v>334</v>
      </c>
      <c r="C21" s="170"/>
      <c r="D21" s="170"/>
      <c r="E21" s="170"/>
      <c r="F21" s="170"/>
      <c r="G21" s="171"/>
    </row>
    <row r="22" spans="2:7" ht="39.75" customHeight="1" x14ac:dyDescent="0.25">
      <c r="B22" s="169" t="s">
        <v>335</v>
      </c>
      <c r="C22" s="170"/>
      <c r="D22" s="170"/>
      <c r="E22" s="170"/>
      <c r="F22" s="170"/>
      <c r="G22" s="171"/>
    </row>
    <row r="23" spans="2:7" ht="55.5" customHeight="1" x14ac:dyDescent="0.25">
      <c r="B23" s="163" t="s">
        <v>260</v>
      </c>
      <c r="C23" s="164"/>
      <c r="D23" s="164"/>
      <c r="E23" s="164"/>
      <c r="F23" s="164"/>
      <c r="G23" s="165"/>
    </row>
    <row r="24" spans="2:7" ht="55.5" customHeight="1" x14ac:dyDescent="0.25">
      <c r="B24" s="163" t="s">
        <v>336</v>
      </c>
      <c r="C24" s="164"/>
      <c r="D24" s="164"/>
      <c r="E24" s="164"/>
      <c r="F24" s="164"/>
      <c r="G24" s="165"/>
    </row>
    <row r="25" spans="2:7" ht="40.5" customHeight="1" x14ac:dyDescent="0.25">
      <c r="B25" s="163" t="s">
        <v>256</v>
      </c>
      <c r="C25" s="164"/>
      <c r="D25" s="164"/>
      <c r="E25" s="164"/>
      <c r="F25" s="164"/>
      <c r="G25" s="165"/>
    </row>
  </sheetData>
  <mergeCells count="7">
    <mergeCell ref="B24:G24"/>
    <mergeCell ref="B25:G25"/>
    <mergeCell ref="B2:G2"/>
    <mergeCell ref="B20:G20"/>
    <mergeCell ref="B21:G21"/>
    <mergeCell ref="B22:G22"/>
    <mergeCell ref="B23:G23"/>
  </mergeCells>
  <hyperlinks>
    <hyperlink ref="B5" r:id="rId1" display="https://www.compta-facile.com/charge-ou-immobilisation/" xr:uid="{FE5C0C68-60D1-48DB-B837-5E426D3B4B12}"/>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4EFAA-0586-4C9A-9E6A-7813E1C32D0C}">
  <dimension ref="B2:AK239"/>
  <sheetViews>
    <sheetView showGridLines="0" zoomScale="55" zoomScaleNormal="55" workbookViewId="0">
      <selection activeCell="R12" sqref="R12"/>
    </sheetView>
  </sheetViews>
  <sheetFormatPr baseColWidth="10" defaultRowHeight="15" x14ac:dyDescent="0.25"/>
  <cols>
    <col min="1" max="1" width="3.42578125" style="103" customWidth="1"/>
    <col min="2" max="2" width="13" style="104" customWidth="1"/>
    <col min="3" max="32" width="10.85546875" style="29" customWidth="1"/>
    <col min="33" max="16384" width="11.42578125" style="103"/>
  </cols>
  <sheetData>
    <row r="2" spans="2:32" s="5" customFormat="1" ht="31.5" customHeight="1" x14ac:dyDescent="0.25">
      <c r="B2" s="172" t="s">
        <v>341</v>
      </c>
      <c r="C2" s="173"/>
      <c r="D2" s="173"/>
      <c r="E2" s="173"/>
      <c r="F2" s="173"/>
      <c r="G2" s="173"/>
      <c r="H2" s="173"/>
      <c r="I2" s="173"/>
      <c r="J2" s="173"/>
      <c r="K2" s="173"/>
      <c r="L2" s="173"/>
      <c r="M2" s="173"/>
      <c r="N2" s="173"/>
      <c r="O2" s="173"/>
      <c r="P2" s="173"/>
      <c r="Q2" s="173"/>
      <c r="R2" s="173"/>
      <c r="S2" s="173"/>
      <c r="T2" s="173"/>
      <c r="U2" s="173"/>
      <c r="V2" s="173"/>
      <c r="W2" s="173"/>
      <c r="X2" s="173"/>
      <c r="Y2" s="173"/>
      <c r="Z2" s="173"/>
      <c r="AA2" s="173"/>
      <c r="AB2" s="173"/>
      <c r="AC2" s="173"/>
      <c r="AD2" s="173"/>
      <c r="AE2" s="173"/>
      <c r="AF2" s="174"/>
    </row>
    <row r="3" spans="2:32" s="45" customFormat="1" ht="9.75" customHeight="1" x14ac:dyDescent="0.35">
      <c r="B3" s="81"/>
      <c r="C3" s="82"/>
      <c r="D3" s="82"/>
      <c r="E3" s="82"/>
      <c r="F3" s="82"/>
      <c r="G3" s="82"/>
      <c r="H3" s="82"/>
      <c r="I3" s="82"/>
      <c r="J3" s="82"/>
      <c r="K3" s="82"/>
      <c r="L3" s="82"/>
      <c r="M3" s="82"/>
      <c r="N3" s="82"/>
      <c r="O3" s="82"/>
      <c r="P3" s="82"/>
      <c r="Q3" s="82"/>
      <c r="R3" s="82"/>
      <c r="S3" s="82"/>
      <c r="T3" s="82"/>
      <c r="U3" s="82"/>
      <c r="V3" s="82"/>
      <c r="W3" s="82"/>
      <c r="X3" s="82"/>
      <c r="Y3" s="82"/>
      <c r="Z3" s="82"/>
      <c r="AA3" s="82"/>
      <c r="AB3" s="82"/>
      <c r="AC3" s="82"/>
      <c r="AD3" s="82"/>
      <c r="AE3" s="82"/>
      <c r="AF3" s="82"/>
    </row>
    <row r="4" spans="2:32" s="38" customFormat="1" ht="31.5" customHeight="1" x14ac:dyDescent="0.25">
      <c r="B4" s="175" t="s">
        <v>342</v>
      </c>
      <c r="C4" s="176"/>
      <c r="D4" s="176"/>
      <c r="E4" s="176"/>
      <c r="F4" s="176"/>
      <c r="G4" s="176"/>
      <c r="H4" s="176"/>
      <c r="I4" s="176"/>
      <c r="J4" s="176"/>
      <c r="K4" s="176"/>
      <c r="L4" s="176"/>
      <c r="M4" s="176"/>
      <c r="N4" s="176"/>
      <c r="O4" s="176"/>
      <c r="P4" s="176"/>
      <c r="Q4" s="176"/>
      <c r="R4" s="176"/>
      <c r="S4" s="176"/>
      <c r="T4" s="176"/>
      <c r="U4" s="176"/>
      <c r="V4" s="176"/>
      <c r="W4" s="176"/>
      <c r="X4" s="176"/>
      <c r="Y4" s="176"/>
      <c r="Z4" s="176"/>
      <c r="AA4" s="176"/>
      <c r="AB4" s="176"/>
      <c r="AC4" s="176"/>
      <c r="AD4" s="176"/>
      <c r="AE4" s="176"/>
      <c r="AF4" s="177"/>
    </row>
    <row r="5" spans="2:32" ht="9.75" customHeight="1" x14ac:dyDescent="0.25"/>
    <row r="6" spans="2:32" ht="26.25" customHeight="1" x14ac:dyDescent="0.35">
      <c r="B6" s="181" t="s">
        <v>347</v>
      </c>
    </row>
    <row r="7" spans="2:32" ht="26.25" customHeight="1" x14ac:dyDescent="0.35">
      <c r="B7" s="182" t="s">
        <v>348</v>
      </c>
    </row>
    <row r="8" spans="2:32" ht="26.25" customHeight="1" x14ac:dyDescent="0.35">
      <c r="B8" s="182" t="s">
        <v>349</v>
      </c>
    </row>
    <row r="9" spans="2:32" ht="26.25" customHeight="1" x14ac:dyDescent="0.35">
      <c r="B9" s="182" t="s">
        <v>350</v>
      </c>
    </row>
    <row r="11" spans="2:32" ht="21" x14ac:dyDescent="0.35">
      <c r="B11" s="180" t="s">
        <v>276</v>
      </c>
    </row>
    <row r="13" spans="2:32" s="184" customFormat="1" ht="15.75" x14ac:dyDescent="0.25">
      <c r="B13" s="183" t="s">
        <v>269</v>
      </c>
      <c r="C13" s="183">
        <v>1</v>
      </c>
      <c r="D13" s="183">
        <v>2</v>
      </c>
      <c r="E13" s="183">
        <v>3</v>
      </c>
      <c r="F13" s="183">
        <v>4</v>
      </c>
      <c r="G13" s="183">
        <v>5</v>
      </c>
      <c r="H13" s="183">
        <v>6</v>
      </c>
      <c r="I13" s="183">
        <v>7</v>
      </c>
      <c r="J13" s="183">
        <v>8</v>
      </c>
      <c r="K13" s="183">
        <v>9</v>
      </c>
      <c r="L13" s="183">
        <v>10</v>
      </c>
      <c r="M13" s="183">
        <v>11</v>
      </c>
      <c r="N13" s="183">
        <v>12</v>
      </c>
      <c r="O13" s="183">
        <v>13</v>
      </c>
      <c r="P13" s="183">
        <v>14</v>
      </c>
      <c r="Q13" s="183">
        <v>15</v>
      </c>
      <c r="R13" s="183">
        <v>16</v>
      </c>
      <c r="S13" s="183">
        <v>17</v>
      </c>
      <c r="T13" s="183">
        <v>18</v>
      </c>
      <c r="U13" s="183">
        <v>19</v>
      </c>
      <c r="V13" s="183">
        <v>20</v>
      </c>
      <c r="W13" s="183">
        <v>21</v>
      </c>
      <c r="X13" s="183">
        <v>22</v>
      </c>
      <c r="Y13" s="183">
        <v>23</v>
      </c>
      <c r="Z13" s="183">
        <v>24</v>
      </c>
      <c r="AA13" s="183">
        <v>25</v>
      </c>
      <c r="AB13" s="183">
        <v>26</v>
      </c>
      <c r="AC13" s="183">
        <v>27</v>
      </c>
      <c r="AD13" s="183">
        <v>28</v>
      </c>
      <c r="AE13" s="183">
        <v>29</v>
      </c>
      <c r="AF13" s="183">
        <v>30</v>
      </c>
    </row>
    <row r="14" spans="2:32" s="187" customFormat="1" ht="15.75" x14ac:dyDescent="0.25">
      <c r="B14" s="185" t="s">
        <v>268</v>
      </c>
      <c r="C14" s="186" t="str">
        <f>IFERROR(IRR(C16),"N/A")</f>
        <v>N/A</v>
      </c>
      <c r="D14" s="186">
        <f>IFERROR(IRR(C17:D17),"N/A")</f>
        <v>-2.7063777238403919E-2</v>
      </c>
      <c r="E14" s="186">
        <f>IFERROR(IRR(C18:E18),"N/A")</f>
        <v>1.7651727061008593E-2</v>
      </c>
      <c r="F14" s="186">
        <f>IFERROR(IRR(C19:F19),"N/A")</f>
        <v>3.293488256191579E-2</v>
      </c>
      <c r="G14" s="186">
        <f>IFERROR(IRR(C20:G20),"N/A")</f>
        <v>4.0596743898725141E-2</v>
      </c>
      <c r="H14" s="186">
        <f>IFERROR(IRR(C21:H21),"N/A")</f>
        <v>5.3037039100626293E-2</v>
      </c>
      <c r="I14" s="186">
        <f>IFERROR(IRR(C22:I22),"N/A")</f>
        <v>4.6552454837309076E-2</v>
      </c>
      <c r="J14" s="186">
        <f>IFERROR(IRR(C23:J23),"N/A")</f>
        <v>4.7853777118924246E-2</v>
      </c>
      <c r="K14" s="186">
        <f>IFERROR(IRR(C24:K24),"N/A")</f>
        <v>4.8960929562237077E-2</v>
      </c>
      <c r="L14" s="186">
        <f>IFERROR(IRR(C25:L25),"N/A")</f>
        <v>4.9840309769768165E-2</v>
      </c>
      <c r="M14" s="186">
        <f>IFERROR(IRR(C26:M26),"N/A")</f>
        <v>5.0558605761665598E-2</v>
      </c>
      <c r="N14" s="186">
        <f>IFERROR(IRR(C27:N27),"N/A")</f>
        <v>5.1202290914752258E-2</v>
      </c>
      <c r="O14" s="186">
        <f>IFERROR(IRR(C28:O28),"N/A")</f>
        <v>5.1743259745029357E-2</v>
      </c>
      <c r="P14" s="186">
        <f>IFERROR(IRR(C29:P29),"N/A")</f>
        <v>5.2204430750377728E-2</v>
      </c>
      <c r="Q14" s="186">
        <f>IFERROR(IRR(C30:Q30),"N/A")</f>
        <v>5.2602246666245689E-2</v>
      </c>
      <c r="R14" s="186">
        <f>IFERROR(IRR(C31:R31),"N/A")</f>
        <v>5.2948820591758317E-2</v>
      </c>
      <c r="S14" s="186">
        <f>IFERROR(IRR(C32:S32),"N/A")</f>
        <v>5.3253281349200154E-2</v>
      </c>
      <c r="T14" s="186">
        <f>IFERROR(IRR(C33:T33),"N/A")</f>
        <v>5.3522646232116111E-2</v>
      </c>
      <c r="U14" s="186">
        <f>IFERROR(IRR(C34:U34),"N/A")</f>
        <v>5.3762404113763207E-2</v>
      </c>
      <c r="V14" s="186">
        <f>IFERROR(IRR(C35:V35),"N/A")</f>
        <v>5.397691517687786E-2</v>
      </c>
      <c r="W14" s="186">
        <f>IFERROR(IRR(C36:W36),"N/A")</f>
        <v>5.4169691193494351E-2</v>
      </c>
      <c r="X14" s="186">
        <f>IFERROR(IRR(C37:X37),"N/A")</f>
        <v>5.4343596023203267E-2</v>
      </c>
      <c r="Y14" s="186">
        <f>IFERROR(IRR(C38:Y38),"N/A")</f>
        <v>5.4500991625941353E-2</v>
      </c>
      <c r="Z14" s="186">
        <f>IFERROR(IRR(C39:Z39),"N/A")</f>
        <v>5.4643846117220285E-2</v>
      </c>
      <c r="AA14" s="186">
        <f>IFERROR(IRR(C40:AA40),"N/A")</f>
        <v>5.4773814902598916E-2</v>
      </c>
      <c r="AB14" s="186">
        <f>IFERROR(IRR(C41:AB41),"N/A")</f>
        <v>5.4895196315529082E-2</v>
      </c>
      <c r="AC14" s="186">
        <f>IFERROR(IRR(C42:AC42),"N/A")</f>
        <v>5.501798944402303E-2</v>
      </c>
      <c r="AD14" s="186">
        <f>IFERROR(IRR(C43:AD43),"N/A")</f>
        <v>5.5140529569307706E-2</v>
      </c>
      <c r="AE14" s="186">
        <f>IFERROR(IRR(C44:AE44),"N/A")</f>
        <v>5.5262352801952019E-2</v>
      </c>
      <c r="AF14" s="186">
        <f>IFERROR(IRR(C45:AF45),"N/A")</f>
        <v>5.5383073650175696E-2</v>
      </c>
    </row>
    <row r="15" spans="2:32" x14ac:dyDescent="0.25">
      <c r="B15" s="106"/>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row>
    <row r="16" spans="2:32" x14ac:dyDescent="0.25">
      <c r="B16" s="105">
        <v>1</v>
      </c>
      <c r="C16" s="107">
        <f>SIMULIMO!H67</f>
        <v>181701.76552250134</v>
      </c>
      <c r="D16" s="1"/>
      <c r="E16" s="1"/>
      <c r="F16" s="1"/>
      <c r="G16" s="1"/>
      <c r="H16" s="1"/>
      <c r="I16" s="108"/>
      <c r="J16" s="1"/>
      <c r="K16" s="1"/>
      <c r="L16" s="1"/>
      <c r="M16" s="1"/>
      <c r="N16" s="1"/>
      <c r="O16" s="1"/>
      <c r="P16" s="1"/>
      <c r="Q16" s="1"/>
      <c r="R16" s="1"/>
      <c r="S16" s="1"/>
      <c r="T16" s="1"/>
      <c r="U16" s="1"/>
      <c r="V16" s="1"/>
      <c r="W16" s="1"/>
      <c r="X16" s="1"/>
      <c r="Y16" s="1"/>
      <c r="Z16" s="1"/>
      <c r="AA16" s="1"/>
      <c r="AB16" s="1"/>
      <c r="AC16" s="1"/>
      <c r="AD16" s="1"/>
      <c r="AE16" s="1"/>
      <c r="AF16" s="1"/>
    </row>
    <row r="17" spans="2:32" x14ac:dyDescent="0.25">
      <c r="B17" s="105">
        <v>2</v>
      </c>
      <c r="C17" s="1">
        <f>SIMULIMO!H72</f>
        <v>-191070.82460989201</v>
      </c>
      <c r="D17" s="107">
        <f>SIMULIMO!I67</f>
        <v>185899.72637589171</v>
      </c>
      <c r="E17" s="1"/>
      <c r="F17" s="1"/>
      <c r="H17" s="1"/>
      <c r="J17" s="1"/>
      <c r="K17" s="1"/>
      <c r="L17" s="1"/>
      <c r="M17" s="1"/>
      <c r="N17" s="1"/>
      <c r="O17" s="1"/>
      <c r="P17" s="1"/>
      <c r="Q17" s="1"/>
      <c r="R17" s="1"/>
      <c r="S17" s="1"/>
      <c r="T17" s="1"/>
      <c r="U17" s="1"/>
      <c r="V17" s="1"/>
      <c r="W17" s="1"/>
      <c r="X17" s="1"/>
      <c r="Y17" s="1"/>
      <c r="Z17" s="1"/>
      <c r="AA17" s="1"/>
      <c r="AB17" s="1"/>
      <c r="AC17" s="1"/>
      <c r="AD17" s="1"/>
      <c r="AE17" s="1"/>
      <c r="AF17" s="1"/>
    </row>
    <row r="18" spans="2:32" x14ac:dyDescent="0.25">
      <c r="B18" s="105">
        <v>3</v>
      </c>
      <c r="C18" s="1">
        <f>SIMULIMO!H72</f>
        <v>-191070.82460989201</v>
      </c>
      <c r="D18" s="1">
        <f>SIMULIMO!I72</f>
        <v>9011.7929356038403</v>
      </c>
      <c r="E18" s="107">
        <f>SIMULIMO!J67</f>
        <v>188704.95256594062</v>
      </c>
      <c r="F18" s="1"/>
      <c r="G18" s="109"/>
      <c r="H18" s="1"/>
      <c r="J18" s="1"/>
      <c r="K18" s="108"/>
      <c r="L18" s="1"/>
      <c r="M18" s="110"/>
      <c r="N18" s="1"/>
      <c r="O18" s="1"/>
      <c r="P18" s="1"/>
      <c r="Q18" s="111"/>
      <c r="R18" s="1"/>
      <c r="S18" s="1"/>
      <c r="T18" s="1"/>
      <c r="U18" s="1"/>
      <c r="V18" s="1"/>
      <c r="W18" s="1"/>
      <c r="X18" s="1"/>
      <c r="Y18" s="1"/>
      <c r="Z18" s="1"/>
      <c r="AA18" s="1"/>
      <c r="AB18" s="1"/>
      <c r="AC18" s="1"/>
      <c r="AD18" s="1"/>
      <c r="AE18" s="1"/>
      <c r="AF18" s="1"/>
    </row>
    <row r="19" spans="2:32" x14ac:dyDescent="0.25">
      <c r="B19" s="105">
        <v>4</v>
      </c>
      <c r="C19" s="1">
        <f>SIMULIMO!H72</f>
        <v>-191070.82460989201</v>
      </c>
      <c r="D19" s="1">
        <f>SIMULIMO!I72</f>
        <v>9011.7929356038403</v>
      </c>
      <c r="E19" s="1">
        <f>SIMULIMO!J72</f>
        <v>8819.3156641524602</v>
      </c>
      <c r="F19" s="107">
        <f>SIMULIMO!K67</f>
        <v>191853.15179315151</v>
      </c>
      <c r="G19" s="1"/>
      <c r="H19" s="1"/>
      <c r="J19" s="1"/>
      <c r="K19" s="109"/>
      <c r="L19" s="1"/>
      <c r="M19" s="1"/>
      <c r="N19" s="1"/>
      <c r="O19" s="1"/>
      <c r="P19" s="1"/>
      <c r="Q19" s="1"/>
      <c r="R19" s="1"/>
      <c r="S19" s="1"/>
      <c r="T19" s="1"/>
      <c r="U19" s="1"/>
      <c r="V19" s="1"/>
      <c r="W19" s="1"/>
      <c r="X19" s="1"/>
      <c r="Y19" s="1"/>
      <c r="Z19" s="1"/>
      <c r="AA19" s="1"/>
      <c r="AB19" s="1"/>
      <c r="AC19" s="1"/>
      <c r="AD19" s="1"/>
      <c r="AE19" s="1"/>
      <c r="AF19" s="1"/>
    </row>
    <row r="20" spans="2:32" x14ac:dyDescent="0.25">
      <c r="B20" s="105">
        <v>5</v>
      </c>
      <c r="C20" s="1">
        <f>SIMULIMO!H72</f>
        <v>-191070.82460989201</v>
      </c>
      <c r="D20" s="1">
        <f>SIMULIMO!I72</f>
        <v>9011.7929356038403</v>
      </c>
      <c r="E20" s="1">
        <f>SIMULIMO!J72</f>
        <v>8819.3156641524602</v>
      </c>
      <c r="F20" s="1">
        <f>SIMULIMO!K72</f>
        <v>8919.8365453505885</v>
      </c>
      <c r="G20" s="107">
        <f>SIMULIMO!L67</f>
        <v>195052.93527322178</v>
      </c>
      <c r="H20" s="1"/>
      <c r="J20" s="108"/>
      <c r="K20" s="1"/>
      <c r="L20" s="1"/>
      <c r="M20" s="1"/>
      <c r="N20" s="1"/>
      <c r="O20" s="1"/>
      <c r="P20" s="1"/>
      <c r="Q20" s="1"/>
      <c r="R20" s="1"/>
      <c r="S20" s="1"/>
      <c r="T20" s="1"/>
      <c r="U20" s="1"/>
      <c r="V20" s="1"/>
      <c r="W20" s="1"/>
      <c r="X20" s="1"/>
      <c r="Y20" s="1"/>
      <c r="Z20" s="1"/>
      <c r="AA20" s="1"/>
      <c r="AB20" s="1"/>
      <c r="AC20" s="1"/>
      <c r="AD20" s="1"/>
      <c r="AE20" s="1"/>
      <c r="AF20" s="1"/>
    </row>
    <row r="21" spans="2:32" x14ac:dyDescent="0.25">
      <c r="B21" s="105">
        <v>6</v>
      </c>
      <c r="C21" s="1">
        <f>SIMULIMO!H72</f>
        <v>-191070.82460989201</v>
      </c>
      <c r="D21" s="1">
        <f>SIMULIMO!I72</f>
        <v>9011.7929356038403</v>
      </c>
      <c r="E21" s="1">
        <f>SIMULIMO!J72</f>
        <v>8819.3156641524602</v>
      </c>
      <c r="F21" s="1">
        <f>SIMULIMO!K72</f>
        <v>8919.8365453505885</v>
      </c>
      <c r="G21" s="1">
        <f>SIMULIMO!L72</f>
        <v>9021.344209944853</v>
      </c>
      <c r="H21" s="107">
        <f>SIMULIMO!M67+SIMULIMO!M72</f>
        <v>206636.97741077983</v>
      </c>
      <c r="J21" s="1"/>
      <c r="K21" s="1"/>
      <c r="L21" s="1"/>
      <c r="M21" s="1"/>
      <c r="N21" s="1"/>
      <c r="O21" s="1"/>
      <c r="P21" s="1"/>
      <c r="Q21" s="1"/>
      <c r="R21" s="1"/>
      <c r="S21" s="1"/>
      <c r="T21" s="1"/>
      <c r="U21" s="1"/>
      <c r="V21" s="1"/>
      <c r="W21" s="1"/>
      <c r="X21" s="1"/>
      <c r="Y21" s="1"/>
      <c r="Z21" s="1"/>
      <c r="AA21" s="1"/>
      <c r="AB21" s="1"/>
      <c r="AC21" s="1"/>
      <c r="AD21" s="1"/>
      <c r="AE21" s="1"/>
      <c r="AF21" s="1"/>
    </row>
    <row r="22" spans="2:32" x14ac:dyDescent="0.25">
      <c r="B22" s="105">
        <v>7</v>
      </c>
      <c r="C22" s="1">
        <f>SIMULIMO!H72</f>
        <v>-191070.82460989201</v>
      </c>
      <c r="D22" s="1">
        <f>SIMULIMO!I72</f>
        <v>9011.7929356038403</v>
      </c>
      <c r="E22" s="1">
        <f>SIMULIMO!J72</f>
        <v>8819.3156641524602</v>
      </c>
      <c r="F22" s="1">
        <f>SIMULIMO!K72</f>
        <v>8919.8365453505885</v>
      </c>
      <c r="G22" s="1">
        <f>SIMULIMO!L72</f>
        <v>9021.344209944853</v>
      </c>
      <c r="H22" s="1">
        <f>SIMULIMO!M72</f>
        <v>9123.848266151701</v>
      </c>
      <c r="I22" s="107">
        <f>SIMULIMO!N67</f>
        <v>199502.3942231207</v>
      </c>
      <c r="J22" s="1"/>
      <c r="K22" s="1"/>
      <c r="L22" s="1"/>
      <c r="M22" s="1"/>
      <c r="N22" s="1"/>
      <c r="O22" s="1"/>
      <c r="P22" s="1"/>
      <c r="Q22" s="1"/>
      <c r="R22" s="1"/>
      <c r="S22" s="1"/>
      <c r="T22" s="1"/>
      <c r="U22" s="1"/>
      <c r="V22" s="1"/>
      <c r="W22" s="1"/>
      <c r="X22" s="1"/>
      <c r="Y22" s="1"/>
      <c r="Z22" s="1"/>
      <c r="AA22" s="1"/>
      <c r="AB22" s="1"/>
      <c r="AC22" s="1"/>
      <c r="AD22" s="1"/>
      <c r="AE22" s="1"/>
      <c r="AF22" s="1"/>
    </row>
    <row r="23" spans="2:32" x14ac:dyDescent="0.25">
      <c r="B23" s="105">
        <v>8</v>
      </c>
      <c r="C23" s="1">
        <f>SIMULIMO!H72</f>
        <v>-191070.82460989201</v>
      </c>
      <c r="D23" s="1">
        <f>SIMULIMO!I72</f>
        <v>9011.7929356038403</v>
      </c>
      <c r="E23" s="1">
        <f>SIMULIMO!J72</f>
        <v>8819.3156641524602</v>
      </c>
      <c r="F23" s="1">
        <f>SIMULIMO!K72</f>
        <v>8919.8365453505885</v>
      </c>
      <c r="G23" s="1">
        <f>SIMULIMO!L72</f>
        <v>9021.344209944853</v>
      </c>
      <c r="H23" s="1">
        <f>SIMULIMO!M72</f>
        <v>9123.848266151701</v>
      </c>
      <c r="I23" s="1">
        <f>SIMULIMO!N72</f>
        <v>9227.3584146117355</v>
      </c>
      <c r="J23" s="107">
        <f>SIMULIMO!O67</f>
        <v>201141.79176076117</v>
      </c>
      <c r="K23" s="1"/>
      <c r="L23" s="1"/>
      <c r="M23" s="1"/>
      <c r="N23" s="1"/>
      <c r="O23" s="1"/>
      <c r="P23" s="1"/>
      <c r="Q23" s="1"/>
      <c r="R23" s="1"/>
      <c r="S23" s="1"/>
      <c r="T23" s="1"/>
      <c r="U23" s="1"/>
      <c r="V23" s="1"/>
      <c r="W23" s="1"/>
      <c r="X23" s="1"/>
      <c r="Y23" s="1"/>
      <c r="Z23" s="1"/>
      <c r="AA23" s="1"/>
      <c r="AB23" s="1"/>
      <c r="AC23" s="1"/>
      <c r="AD23" s="1"/>
      <c r="AE23" s="1"/>
      <c r="AF23" s="1"/>
    </row>
    <row r="24" spans="2:32" x14ac:dyDescent="0.25">
      <c r="B24" s="105">
        <v>9</v>
      </c>
      <c r="C24" s="1">
        <f>SIMULIMO!H72</f>
        <v>-191070.82460989201</v>
      </c>
      <c r="D24" s="1">
        <f>SIMULIMO!I72</f>
        <v>9011.7929356038403</v>
      </c>
      <c r="E24" s="1">
        <f>SIMULIMO!J72</f>
        <v>8819.3156641524602</v>
      </c>
      <c r="F24" s="1">
        <f>SIMULIMO!K72</f>
        <v>8919.8365453505885</v>
      </c>
      <c r="G24" s="1">
        <f>SIMULIMO!L72</f>
        <v>9021.344209944853</v>
      </c>
      <c r="H24" s="1">
        <f>SIMULIMO!M72</f>
        <v>9123.848266151701</v>
      </c>
      <c r="I24" s="1">
        <f>SIMULIMO!N72</f>
        <v>9227.3584146117355</v>
      </c>
      <c r="J24" s="1">
        <f>SIMULIMO!O72</f>
        <v>9117.5987349766074</v>
      </c>
      <c r="K24" s="107">
        <f>SIMULIMO!P67</f>
        <v>203231.95248368679</v>
      </c>
      <c r="L24" s="1"/>
      <c r="M24" s="1"/>
      <c r="N24" s="1"/>
      <c r="O24" s="1"/>
      <c r="P24" s="1"/>
      <c r="Q24" s="1"/>
      <c r="R24" s="1"/>
      <c r="S24" s="1"/>
      <c r="T24" s="1"/>
      <c r="U24" s="1"/>
      <c r="V24" s="1"/>
      <c r="W24" s="1"/>
      <c r="X24" s="1"/>
      <c r="Y24" s="1"/>
      <c r="Z24" s="1"/>
      <c r="AA24" s="1"/>
      <c r="AB24" s="1"/>
      <c r="AC24" s="1"/>
      <c r="AD24" s="1"/>
      <c r="AE24" s="1"/>
      <c r="AF24" s="1"/>
    </row>
    <row r="25" spans="2:32" x14ac:dyDescent="0.25">
      <c r="B25" s="105">
        <v>10</v>
      </c>
      <c r="C25" s="1">
        <f>SIMULIMO!H72</f>
        <v>-191070.82460989201</v>
      </c>
      <c r="D25" s="1">
        <f>SIMULIMO!I72</f>
        <v>9011.7929356038403</v>
      </c>
      <c r="E25" s="1">
        <f>SIMULIMO!J72</f>
        <v>8819.3156641524602</v>
      </c>
      <c r="F25" s="1">
        <f>SIMULIMO!K72</f>
        <v>8919.8365453505885</v>
      </c>
      <c r="G25" s="1">
        <f>SIMULIMO!L72</f>
        <v>9021.344209944853</v>
      </c>
      <c r="H25" s="1">
        <f>SIMULIMO!M72</f>
        <v>9123.848266151701</v>
      </c>
      <c r="I25" s="1">
        <f>SIMULIMO!N72</f>
        <v>9227.3584146117355</v>
      </c>
      <c r="J25" s="1">
        <f>SIMULIMO!O72</f>
        <v>9117.5987349766074</v>
      </c>
      <c r="K25" s="1">
        <f>SIMULIMO!P72</f>
        <v>9223.1505439326284</v>
      </c>
      <c r="L25" s="107">
        <f>SIMULIMO!Q67</f>
        <v>205373.51524858814</v>
      </c>
      <c r="M25" s="1"/>
      <c r="N25" s="1"/>
      <c r="O25" s="1"/>
      <c r="P25" s="1"/>
      <c r="Q25" s="1"/>
      <c r="R25" s="1"/>
      <c r="S25" s="1"/>
      <c r="T25" s="1"/>
      <c r="U25" s="1"/>
      <c r="V25" s="1"/>
      <c r="W25" s="1"/>
      <c r="X25" s="1"/>
      <c r="Y25" s="1"/>
      <c r="Z25" s="1"/>
      <c r="AA25" s="1"/>
      <c r="AB25" s="1"/>
      <c r="AC25" s="1"/>
      <c r="AD25" s="1"/>
      <c r="AE25" s="1"/>
      <c r="AF25" s="1"/>
    </row>
    <row r="26" spans="2:32" x14ac:dyDescent="0.25">
      <c r="B26" s="105">
        <v>11</v>
      </c>
      <c r="C26" s="1">
        <f>SIMULIMO!H72</f>
        <v>-191070.82460989201</v>
      </c>
      <c r="D26" s="1">
        <f>SIMULIMO!I72</f>
        <v>9011.7929356038403</v>
      </c>
      <c r="E26" s="1">
        <f>SIMULIMO!J72</f>
        <v>8819.3156641524602</v>
      </c>
      <c r="F26" s="1">
        <f>SIMULIMO!K72</f>
        <v>8919.8365453505885</v>
      </c>
      <c r="G26" s="1">
        <f>SIMULIMO!L72</f>
        <v>9021.344209944853</v>
      </c>
      <c r="H26" s="1">
        <f>SIMULIMO!M72</f>
        <v>9123.848266151701</v>
      </c>
      <c r="I26" s="1">
        <f>SIMULIMO!N72</f>
        <v>9227.3584146117355</v>
      </c>
      <c r="J26" s="1">
        <f>SIMULIMO!O72</f>
        <v>9117.5987349766074</v>
      </c>
      <c r="K26" s="1">
        <f>SIMULIMO!P72</f>
        <v>9223.1505439326284</v>
      </c>
      <c r="L26" s="1">
        <f>SIMULIMO!Q72</f>
        <v>9329.7381103752414</v>
      </c>
      <c r="M26" s="107">
        <f>SIMULIMO!R67</f>
        <v>207567.12714970444</v>
      </c>
      <c r="N26" s="1"/>
      <c r="O26" s="1"/>
      <c r="P26" s="1"/>
      <c r="Q26" s="1"/>
      <c r="R26" s="1"/>
      <c r="S26" s="1"/>
      <c r="T26" s="1"/>
      <c r="U26" s="1"/>
      <c r="V26" s="1"/>
      <c r="W26" s="1"/>
      <c r="X26" s="1"/>
      <c r="Y26" s="1"/>
      <c r="Z26" s="1"/>
      <c r="AA26" s="1"/>
      <c r="AB26" s="1"/>
      <c r="AC26" s="1"/>
      <c r="AD26" s="1"/>
      <c r="AE26" s="1"/>
      <c r="AF26" s="1"/>
    </row>
    <row r="27" spans="2:32" x14ac:dyDescent="0.25">
      <c r="B27" s="105">
        <v>12</v>
      </c>
      <c r="C27" s="1">
        <f>SIMULIMO!H72</f>
        <v>-191070.82460989201</v>
      </c>
      <c r="D27" s="1">
        <f>SIMULIMO!I72</f>
        <v>9011.7929356038403</v>
      </c>
      <c r="E27" s="1">
        <f>SIMULIMO!J72</f>
        <v>8819.3156641524602</v>
      </c>
      <c r="F27" s="1">
        <f>SIMULIMO!K72</f>
        <v>8919.8365453505885</v>
      </c>
      <c r="G27" s="1">
        <f>SIMULIMO!L72</f>
        <v>9021.344209944853</v>
      </c>
      <c r="H27" s="1">
        <f>SIMULIMO!M72</f>
        <v>9123.848266151701</v>
      </c>
      <c r="I27" s="1">
        <f>SIMULIMO!N72</f>
        <v>9227.3584146117355</v>
      </c>
      <c r="J27" s="1">
        <f>SIMULIMO!O72</f>
        <v>9117.5987349766074</v>
      </c>
      <c r="K27" s="1">
        <f>SIMULIMO!P72</f>
        <v>9223.1505439326284</v>
      </c>
      <c r="L27" s="1">
        <f>SIMULIMO!Q72</f>
        <v>9329.7381103752414</v>
      </c>
      <c r="M27" s="1">
        <f>SIMULIMO!R72</f>
        <v>9287.3715134487975</v>
      </c>
      <c r="N27" s="107">
        <f>SIMULIMO!S67</f>
        <v>210093.44362725224</v>
      </c>
      <c r="O27" s="1"/>
      <c r="P27" s="1"/>
      <c r="Q27" s="1"/>
      <c r="R27" s="1"/>
      <c r="S27" s="1"/>
      <c r="T27" s="1"/>
      <c r="U27" s="1"/>
      <c r="V27" s="1"/>
      <c r="W27" s="1"/>
      <c r="X27" s="1"/>
      <c r="Y27" s="1"/>
      <c r="Z27" s="1"/>
      <c r="AA27" s="1"/>
      <c r="AB27" s="1"/>
      <c r="AC27" s="1"/>
      <c r="AD27" s="1"/>
      <c r="AE27" s="1"/>
      <c r="AF27" s="1"/>
    </row>
    <row r="28" spans="2:32" x14ac:dyDescent="0.25">
      <c r="B28" s="105">
        <v>13</v>
      </c>
      <c r="C28" s="1">
        <f>SIMULIMO!H72</f>
        <v>-191070.82460989201</v>
      </c>
      <c r="D28" s="1">
        <f>SIMULIMO!I72</f>
        <v>9011.7929356038403</v>
      </c>
      <c r="E28" s="1">
        <f>SIMULIMO!J72</f>
        <v>8819.3156641524602</v>
      </c>
      <c r="F28" s="1">
        <f>SIMULIMO!K72</f>
        <v>8919.8365453505885</v>
      </c>
      <c r="G28" s="1">
        <f>SIMULIMO!L72</f>
        <v>9021.344209944853</v>
      </c>
      <c r="H28" s="1">
        <f>SIMULIMO!M72</f>
        <v>9123.848266151701</v>
      </c>
      <c r="I28" s="1">
        <f>SIMULIMO!N72</f>
        <v>9227.3584146117355</v>
      </c>
      <c r="J28" s="1">
        <f>SIMULIMO!O72</f>
        <v>9117.5987349766074</v>
      </c>
      <c r="K28" s="1">
        <f>SIMULIMO!P72</f>
        <v>9223.1505439326284</v>
      </c>
      <c r="L28" s="1">
        <f>SIMULIMO!Q72</f>
        <v>9329.7381103752414</v>
      </c>
      <c r="M28" s="1">
        <f>SIMULIMO!R72</f>
        <v>9287.3715134487975</v>
      </c>
      <c r="N28" s="1">
        <f>SIMULIMO!S72</f>
        <v>9396.0609291659384</v>
      </c>
      <c r="O28" s="107">
        <f>SIMULIMO!T67</f>
        <v>212673.12857730396</v>
      </c>
      <c r="P28" s="1"/>
      <c r="Q28" s="1"/>
      <c r="R28" s="1"/>
      <c r="S28" s="1"/>
      <c r="T28" s="1"/>
      <c r="U28" s="1"/>
      <c r="V28" s="1"/>
      <c r="W28" s="1"/>
      <c r="X28" s="1"/>
      <c r="Y28" s="1"/>
      <c r="Z28" s="1"/>
      <c r="AA28" s="1"/>
      <c r="AB28" s="1"/>
      <c r="AC28" s="1"/>
      <c r="AD28" s="1"/>
      <c r="AE28" s="1"/>
      <c r="AF28" s="1"/>
    </row>
    <row r="29" spans="2:32" x14ac:dyDescent="0.25">
      <c r="B29" s="105">
        <v>14</v>
      </c>
      <c r="C29" s="1">
        <f>SIMULIMO!H72</f>
        <v>-191070.82460989201</v>
      </c>
      <c r="D29" s="1">
        <f>SIMULIMO!I72</f>
        <v>9011.7929356038403</v>
      </c>
      <c r="E29" s="1">
        <f>SIMULIMO!J72</f>
        <v>8819.3156641524602</v>
      </c>
      <c r="F29" s="1">
        <f>SIMULIMO!K72</f>
        <v>8919.8365453505885</v>
      </c>
      <c r="G29" s="1">
        <f>SIMULIMO!L72</f>
        <v>9021.344209944853</v>
      </c>
      <c r="H29" s="1">
        <f>SIMULIMO!M72</f>
        <v>9123.848266151701</v>
      </c>
      <c r="I29" s="1">
        <f>SIMULIMO!N72</f>
        <v>9227.3584146117355</v>
      </c>
      <c r="J29" s="1">
        <f>SIMULIMO!O72</f>
        <v>9117.5987349766074</v>
      </c>
      <c r="K29" s="1">
        <f>SIMULIMO!P72</f>
        <v>9223.1505439326284</v>
      </c>
      <c r="L29" s="1">
        <f>SIMULIMO!Q72</f>
        <v>9329.7381103752414</v>
      </c>
      <c r="M29" s="1">
        <f>SIMULIMO!R72</f>
        <v>9287.3715134487975</v>
      </c>
      <c r="N29" s="1">
        <f>SIMULIMO!S72</f>
        <v>9396.0609291659384</v>
      </c>
      <c r="O29" s="1">
        <f>SIMULIMO!T72</f>
        <v>9505.8166313210186</v>
      </c>
      <c r="P29" s="107">
        <f>SIMULIMO!U67</f>
        <v>215306.85446313891</v>
      </c>
      <c r="Q29" s="1"/>
      <c r="R29" s="1"/>
      <c r="S29" s="1"/>
      <c r="T29" s="1"/>
      <c r="U29" s="1"/>
      <c r="V29" s="1"/>
      <c r="W29" s="1"/>
      <c r="X29" s="1"/>
      <c r="Y29" s="1"/>
      <c r="Z29" s="1"/>
      <c r="AA29" s="1"/>
      <c r="AB29" s="1"/>
      <c r="AC29" s="1"/>
      <c r="AD29" s="1"/>
      <c r="AE29" s="1"/>
      <c r="AF29" s="1"/>
    </row>
    <row r="30" spans="2:32" x14ac:dyDescent="0.25">
      <c r="B30" s="105">
        <v>15</v>
      </c>
      <c r="C30" s="1">
        <f>SIMULIMO!H72</f>
        <v>-191070.82460989201</v>
      </c>
      <c r="D30" s="1">
        <f>SIMULIMO!I72</f>
        <v>9011.7929356038403</v>
      </c>
      <c r="E30" s="1">
        <f>SIMULIMO!J72</f>
        <v>8819.3156641524602</v>
      </c>
      <c r="F30" s="1">
        <f>SIMULIMO!K72</f>
        <v>8919.8365453505885</v>
      </c>
      <c r="G30" s="1">
        <f>SIMULIMO!L72</f>
        <v>9021.344209944853</v>
      </c>
      <c r="H30" s="1">
        <f>SIMULIMO!M72</f>
        <v>9123.848266151701</v>
      </c>
      <c r="I30" s="1">
        <f>SIMULIMO!N72</f>
        <v>9227.3584146117355</v>
      </c>
      <c r="J30" s="1">
        <f>SIMULIMO!O72</f>
        <v>9117.5987349766074</v>
      </c>
      <c r="K30" s="1">
        <f>SIMULIMO!P72</f>
        <v>9223.1505439326284</v>
      </c>
      <c r="L30" s="1">
        <f>SIMULIMO!Q72</f>
        <v>9329.7381103752414</v>
      </c>
      <c r="M30" s="1">
        <f>SIMULIMO!R72</f>
        <v>9287.3715134487975</v>
      </c>
      <c r="N30" s="1">
        <f>SIMULIMO!S72</f>
        <v>9396.0609291659384</v>
      </c>
      <c r="O30" s="1">
        <f>SIMULIMO!T72</f>
        <v>9505.8166313210186</v>
      </c>
      <c r="P30" s="1">
        <f>SIMULIMO!U72</f>
        <v>9616.648992411885</v>
      </c>
      <c r="Q30" s="107">
        <f>SIMULIMO!V67</f>
        <v>217995.30242808448</v>
      </c>
      <c r="R30" s="1"/>
      <c r="S30" s="1"/>
      <c r="T30" s="1"/>
      <c r="U30" s="1"/>
      <c r="V30" s="1"/>
      <c r="W30" s="1"/>
      <c r="X30" s="1"/>
      <c r="Y30" s="1"/>
      <c r="Z30" s="1"/>
      <c r="AA30" s="1"/>
      <c r="AB30" s="1"/>
      <c r="AC30" s="1"/>
      <c r="AD30" s="1"/>
      <c r="AE30" s="1"/>
      <c r="AF30" s="1"/>
    </row>
    <row r="31" spans="2:32" x14ac:dyDescent="0.25">
      <c r="B31" s="105">
        <v>16</v>
      </c>
      <c r="C31" s="1">
        <f>SIMULIMO!H72</f>
        <v>-191070.82460989201</v>
      </c>
      <c r="D31" s="1">
        <f>SIMULIMO!I72</f>
        <v>9011.7929356038403</v>
      </c>
      <c r="E31" s="1">
        <f>SIMULIMO!J72</f>
        <v>8819.3156641524602</v>
      </c>
      <c r="F31" s="1">
        <f>SIMULIMO!K72</f>
        <v>8919.8365453505885</v>
      </c>
      <c r="G31" s="1">
        <f>SIMULIMO!L72</f>
        <v>9021.344209944853</v>
      </c>
      <c r="H31" s="1">
        <f>SIMULIMO!M72</f>
        <v>9123.848266151701</v>
      </c>
      <c r="I31" s="1">
        <f>SIMULIMO!N72</f>
        <v>9227.3584146117355</v>
      </c>
      <c r="J31" s="1">
        <f>SIMULIMO!O72</f>
        <v>9117.5987349766074</v>
      </c>
      <c r="K31" s="1">
        <f>SIMULIMO!P72</f>
        <v>9223.1505439326284</v>
      </c>
      <c r="L31" s="1">
        <f>SIMULIMO!Q72</f>
        <v>9329.7381103752414</v>
      </c>
      <c r="M31" s="1">
        <f>SIMULIMO!R72</f>
        <v>9287.3715134487975</v>
      </c>
      <c r="N31" s="1">
        <f>SIMULIMO!S72</f>
        <v>9396.0609291659384</v>
      </c>
      <c r="O31" s="1">
        <f>SIMULIMO!T72</f>
        <v>9505.8166313210186</v>
      </c>
      <c r="P31" s="1">
        <f>SIMULIMO!U72</f>
        <v>9616.648992411885</v>
      </c>
      <c r="Q31" s="1">
        <f>SIMULIMO!V72</f>
        <v>9728.568484570018</v>
      </c>
      <c r="R31" s="107">
        <f>SIMULIMO!W67</f>
        <v>220739.16240986902</v>
      </c>
      <c r="S31" s="1"/>
      <c r="T31" s="1"/>
      <c r="U31" s="1"/>
      <c r="V31" s="1"/>
      <c r="W31" s="1"/>
      <c r="X31" s="1"/>
      <c r="Y31" s="1"/>
      <c r="Z31" s="1"/>
      <c r="AA31" s="1"/>
      <c r="AB31" s="1"/>
      <c r="AC31" s="1"/>
      <c r="AD31" s="1"/>
      <c r="AE31" s="1"/>
      <c r="AF31" s="1"/>
    </row>
    <row r="32" spans="2:32" x14ac:dyDescent="0.25">
      <c r="B32" s="105">
        <v>17</v>
      </c>
      <c r="C32" s="1">
        <f>SIMULIMO!H72</f>
        <v>-191070.82460989201</v>
      </c>
      <c r="D32" s="1">
        <f>SIMULIMO!I72</f>
        <v>9011.7929356038403</v>
      </c>
      <c r="E32" s="1">
        <f>SIMULIMO!J72</f>
        <v>8819.3156641524602</v>
      </c>
      <c r="F32" s="1">
        <f>SIMULIMO!K72</f>
        <v>8919.8365453505885</v>
      </c>
      <c r="G32" s="1">
        <f>SIMULIMO!L72</f>
        <v>9021.344209944853</v>
      </c>
      <c r="H32" s="1">
        <f>SIMULIMO!M72</f>
        <v>9123.848266151701</v>
      </c>
      <c r="I32" s="1">
        <f>SIMULIMO!N72</f>
        <v>9227.3584146117355</v>
      </c>
      <c r="J32" s="1">
        <f>SIMULIMO!O72</f>
        <v>9117.5987349766074</v>
      </c>
      <c r="K32" s="1">
        <f>SIMULIMO!P72</f>
        <v>9223.1505439326284</v>
      </c>
      <c r="L32" s="1">
        <f>SIMULIMO!Q72</f>
        <v>9329.7381103752414</v>
      </c>
      <c r="M32" s="1">
        <f>SIMULIMO!R72</f>
        <v>9287.3715134487975</v>
      </c>
      <c r="N32" s="1">
        <f>SIMULIMO!S72</f>
        <v>9396.0609291659384</v>
      </c>
      <c r="O32" s="1">
        <f>SIMULIMO!T72</f>
        <v>9505.8166313210186</v>
      </c>
      <c r="P32" s="1">
        <f>SIMULIMO!U72</f>
        <v>9616.648992411885</v>
      </c>
      <c r="Q32" s="1">
        <f>SIMULIMO!V72</f>
        <v>9728.568484570018</v>
      </c>
      <c r="R32" s="1">
        <f>SIMULIMO!W72</f>
        <v>9841.58568049926</v>
      </c>
      <c r="S32" s="107">
        <f>SIMULIMO!X67</f>
        <v>223539.13325650559</v>
      </c>
      <c r="T32" s="1"/>
      <c r="U32" s="1"/>
      <c r="V32" s="1"/>
      <c r="W32" s="1"/>
      <c r="X32" s="1"/>
      <c r="Y32" s="1"/>
      <c r="Z32" s="1"/>
      <c r="AA32" s="1"/>
      <c r="AB32" s="1"/>
      <c r="AC32" s="1"/>
      <c r="AD32" s="1"/>
      <c r="AE32" s="1"/>
      <c r="AF32" s="1"/>
    </row>
    <row r="33" spans="2:32" x14ac:dyDescent="0.25">
      <c r="B33" s="105">
        <v>18</v>
      </c>
      <c r="C33" s="1">
        <f>SIMULIMO!H72</f>
        <v>-191070.82460989201</v>
      </c>
      <c r="D33" s="1">
        <f>SIMULIMO!I72</f>
        <v>9011.7929356038403</v>
      </c>
      <c r="E33" s="1">
        <f>SIMULIMO!J72</f>
        <v>8819.3156641524602</v>
      </c>
      <c r="F33" s="1">
        <f>SIMULIMO!K72</f>
        <v>8919.8365453505885</v>
      </c>
      <c r="G33" s="1">
        <f>SIMULIMO!L72</f>
        <v>9021.344209944853</v>
      </c>
      <c r="H33" s="1">
        <f>SIMULIMO!M72</f>
        <v>9123.848266151701</v>
      </c>
      <c r="I33" s="1">
        <f>SIMULIMO!N72</f>
        <v>9227.3584146117355</v>
      </c>
      <c r="J33" s="1">
        <f>SIMULIMO!O72</f>
        <v>9117.5987349766074</v>
      </c>
      <c r="K33" s="1">
        <f>SIMULIMO!P72</f>
        <v>9223.1505439326284</v>
      </c>
      <c r="L33" s="1">
        <f>SIMULIMO!Q72</f>
        <v>9329.7381103752414</v>
      </c>
      <c r="M33" s="1">
        <f>SIMULIMO!R72</f>
        <v>9287.3715134487975</v>
      </c>
      <c r="N33" s="1">
        <f>SIMULIMO!S72</f>
        <v>9396.0609291659384</v>
      </c>
      <c r="O33" s="1">
        <f>SIMULIMO!T72</f>
        <v>9505.8166313210186</v>
      </c>
      <c r="P33" s="1">
        <f>SIMULIMO!U72</f>
        <v>9616.648992411885</v>
      </c>
      <c r="Q33" s="1">
        <f>SIMULIMO!V72</f>
        <v>9728.568484570018</v>
      </c>
      <c r="R33" s="1">
        <f>SIMULIMO!W72</f>
        <v>9841.58568049926</v>
      </c>
      <c r="S33" s="1">
        <f>SIMULIMO!X72</f>
        <v>9955.7112544230731</v>
      </c>
      <c r="T33" s="107">
        <f>SIMULIMO!Y67</f>
        <v>226395.92284372967</v>
      </c>
      <c r="U33" s="1"/>
      <c r="V33" s="1"/>
      <c r="W33" s="1"/>
      <c r="X33" s="1"/>
      <c r="Y33" s="1"/>
      <c r="Z33" s="1"/>
      <c r="AA33" s="1"/>
      <c r="AB33" s="1"/>
      <c r="AC33" s="1"/>
      <c r="AD33" s="1"/>
      <c r="AE33" s="1"/>
      <c r="AF33" s="1"/>
    </row>
    <row r="34" spans="2:32" x14ac:dyDescent="0.25">
      <c r="B34" s="105">
        <v>19</v>
      </c>
      <c r="C34" s="1">
        <f>SIMULIMO!H72</f>
        <v>-191070.82460989201</v>
      </c>
      <c r="D34" s="1">
        <f>SIMULIMO!I72</f>
        <v>9011.7929356038403</v>
      </c>
      <c r="E34" s="1">
        <f>SIMULIMO!J72</f>
        <v>8819.3156641524602</v>
      </c>
      <c r="F34" s="1">
        <f>SIMULIMO!K72</f>
        <v>8919.8365453505885</v>
      </c>
      <c r="G34" s="1">
        <f>SIMULIMO!L72</f>
        <v>9021.344209944853</v>
      </c>
      <c r="H34" s="1">
        <f>SIMULIMO!M72</f>
        <v>9123.848266151701</v>
      </c>
      <c r="I34" s="1">
        <f>SIMULIMO!N72</f>
        <v>9227.3584146117355</v>
      </c>
      <c r="J34" s="1">
        <f>SIMULIMO!O72</f>
        <v>9117.5987349766074</v>
      </c>
      <c r="K34" s="1">
        <f>SIMULIMO!P72</f>
        <v>9223.1505439326284</v>
      </c>
      <c r="L34" s="1">
        <f>SIMULIMO!Q72</f>
        <v>9329.7381103752414</v>
      </c>
      <c r="M34" s="1">
        <f>SIMULIMO!R72</f>
        <v>9287.3715134487975</v>
      </c>
      <c r="N34" s="1">
        <f>SIMULIMO!S72</f>
        <v>9396.0609291659384</v>
      </c>
      <c r="O34" s="1">
        <f>SIMULIMO!T72</f>
        <v>9505.8166313210186</v>
      </c>
      <c r="P34" s="1">
        <f>SIMULIMO!U72</f>
        <v>9616.648992411885</v>
      </c>
      <c r="Q34" s="1">
        <f>SIMULIMO!V72</f>
        <v>9728.568484570018</v>
      </c>
      <c r="R34" s="1">
        <f>SIMULIMO!W72</f>
        <v>9841.58568049926</v>
      </c>
      <c r="S34" s="1">
        <f>SIMULIMO!X72</f>
        <v>9955.7112544230731</v>
      </c>
      <c r="T34" s="1">
        <f>SIMULIMO!Y72</f>
        <v>10070.955983040434</v>
      </c>
      <c r="U34" s="107">
        <f>SIMULIMO!Z67</f>
        <v>229310.24819400898</v>
      </c>
      <c r="V34" s="1"/>
      <c r="W34" s="1"/>
      <c r="X34" s="1"/>
      <c r="Y34" s="1"/>
      <c r="Z34" s="1"/>
      <c r="AA34" s="1"/>
      <c r="AB34" s="1"/>
      <c r="AC34" s="1"/>
      <c r="AD34" s="1"/>
      <c r="AE34" s="1"/>
      <c r="AF34" s="1"/>
    </row>
    <row r="35" spans="2:32" x14ac:dyDescent="0.25">
      <c r="B35" s="105">
        <v>20</v>
      </c>
      <c r="C35" s="1">
        <f>SIMULIMO!H72</f>
        <v>-191070.82460989201</v>
      </c>
      <c r="D35" s="1">
        <f>SIMULIMO!I72</f>
        <v>9011.7929356038403</v>
      </c>
      <c r="E35" s="1">
        <f>SIMULIMO!J72</f>
        <v>8819.3156641524602</v>
      </c>
      <c r="F35" s="1">
        <f>SIMULIMO!K72</f>
        <v>8919.8365453505885</v>
      </c>
      <c r="G35" s="1">
        <f>SIMULIMO!L72</f>
        <v>9021.344209944853</v>
      </c>
      <c r="H35" s="1">
        <f>SIMULIMO!M72</f>
        <v>9123.848266151701</v>
      </c>
      <c r="I35" s="1">
        <f>SIMULIMO!N72</f>
        <v>9227.3584146117355</v>
      </c>
      <c r="J35" s="1">
        <f>SIMULIMO!O72</f>
        <v>9117.5987349766074</v>
      </c>
      <c r="K35" s="1">
        <f>SIMULIMO!P72</f>
        <v>9223.1505439326284</v>
      </c>
      <c r="L35" s="1">
        <f>SIMULIMO!Q72</f>
        <v>9329.7381103752414</v>
      </c>
      <c r="M35" s="1">
        <f>SIMULIMO!R72</f>
        <v>9287.3715134487975</v>
      </c>
      <c r="N35" s="1">
        <f>SIMULIMO!S72</f>
        <v>9396.0609291659384</v>
      </c>
      <c r="O35" s="1">
        <f>SIMULIMO!T72</f>
        <v>9505.8166313210186</v>
      </c>
      <c r="P35" s="1">
        <f>SIMULIMO!U72</f>
        <v>9616.648992411885</v>
      </c>
      <c r="Q35" s="1">
        <f>SIMULIMO!V72</f>
        <v>9728.568484570018</v>
      </c>
      <c r="R35" s="1">
        <f>SIMULIMO!W72</f>
        <v>9841.58568049926</v>
      </c>
      <c r="S35" s="1">
        <f>SIMULIMO!X72</f>
        <v>9955.7112544230731</v>
      </c>
      <c r="T35" s="1">
        <f>SIMULIMO!Y72</f>
        <v>10070.955983040434</v>
      </c>
      <c r="U35" s="1">
        <f>SIMULIMO!Z72</f>
        <v>10187.330746490486</v>
      </c>
      <c r="V35" s="107">
        <f>SIMULIMO!AA67</f>
        <v>232282.8355971495</v>
      </c>
      <c r="W35" s="1"/>
      <c r="X35" s="1"/>
      <c r="Y35" s="1"/>
      <c r="Z35" s="1"/>
      <c r="AA35" s="1"/>
      <c r="AB35" s="1"/>
      <c r="AC35" s="1"/>
      <c r="AD35" s="1"/>
      <c r="AE35" s="1"/>
      <c r="AF35" s="1"/>
    </row>
    <row r="36" spans="2:32" x14ac:dyDescent="0.25">
      <c r="B36" s="105">
        <v>21</v>
      </c>
      <c r="C36" s="1">
        <f>SIMULIMO!H72</f>
        <v>-191070.82460989201</v>
      </c>
      <c r="D36" s="1">
        <f>SIMULIMO!I72</f>
        <v>9011.7929356038403</v>
      </c>
      <c r="E36" s="1">
        <f>SIMULIMO!J72</f>
        <v>8819.3156641524602</v>
      </c>
      <c r="F36" s="1">
        <f>SIMULIMO!K72</f>
        <v>8919.8365453505885</v>
      </c>
      <c r="G36" s="1">
        <f>SIMULIMO!L72</f>
        <v>9021.344209944853</v>
      </c>
      <c r="H36" s="1">
        <f>SIMULIMO!M72</f>
        <v>9123.848266151701</v>
      </c>
      <c r="I36" s="1">
        <f>SIMULIMO!N72</f>
        <v>9227.3584146117355</v>
      </c>
      <c r="J36" s="1">
        <f>SIMULIMO!O72</f>
        <v>9117.5987349766074</v>
      </c>
      <c r="K36" s="1">
        <f>SIMULIMO!P72</f>
        <v>9223.1505439326284</v>
      </c>
      <c r="L36" s="1">
        <f>SIMULIMO!Q72</f>
        <v>9329.7381103752414</v>
      </c>
      <c r="M36" s="1">
        <f>SIMULIMO!R72</f>
        <v>9287.3715134487975</v>
      </c>
      <c r="N36" s="1">
        <f>SIMULIMO!S72</f>
        <v>9396.0609291659384</v>
      </c>
      <c r="O36" s="1">
        <f>SIMULIMO!T72</f>
        <v>9505.8166313210186</v>
      </c>
      <c r="P36" s="1">
        <f>SIMULIMO!U72</f>
        <v>9616.648992411885</v>
      </c>
      <c r="Q36" s="1">
        <f>SIMULIMO!V72</f>
        <v>9728.568484570018</v>
      </c>
      <c r="R36" s="1">
        <f>SIMULIMO!W72</f>
        <v>9841.58568049926</v>
      </c>
      <c r="S36" s="1">
        <f>SIMULIMO!X72</f>
        <v>9955.7112544230731</v>
      </c>
      <c r="T36" s="1">
        <f>SIMULIMO!Y72</f>
        <v>10070.955983040434</v>
      </c>
      <c r="U36" s="1">
        <f>SIMULIMO!Z72</f>
        <v>10187.330746490486</v>
      </c>
      <c r="V36" s="1">
        <f>SIMULIMO!AA72</f>
        <v>10304.846529325971</v>
      </c>
      <c r="W36" s="107">
        <f>SIMULIMO!AB67</f>
        <v>235314.42073251729</v>
      </c>
      <c r="X36" s="1"/>
      <c r="Y36" s="1"/>
      <c r="Z36" s="1"/>
      <c r="AA36" s="1"/>
      <c r="AB36" s="1"/>
      <c r="AC36" s="1"/>
      <c r="AD36" s="1"/>
      <c r="AE36" s="1"/>
      <c r="AF36" s="1"/>
    </row>
    <row r="37" spans="2:32" x14ac:dyDescent="0.25">
      <c r="B37" s="105">
        <v>22</v>
      </c>
      <c r="C37" s="1">
        <f>SIMULIMO!H72</f>
        <v>-191070.82460989201</v>
      </c>
      <c r="D37" s="1">
        <f>SIMULIMO!I72</f>
        <v>9011.7929356038403</v>
      </c>
      <c r="E37" s="1">
        <f>SIMULIMO!J72</f>
        <v>8819.3156641524602</v>
      </c>
      <c r="F37" s="1">
        <f>SIMULIMO!K72</f>
        <v>8919.8365453505885</v>
      </c>
      <c r="G37" s="1">
        <f>SIMULIMO!L72</f>
        <v>9021.344209944853</v>
      </c>
      <c r="H37" s="1">
        <f>SIMULIMO!M72</f>
        <v>9123.848266151701</v>
      </c>
      <c r="I37" s="1">
        <f>SIMULIMO!N72</f>
        <v>9227.3584146117355</v>
      </c>
      <c r="J37" s="1">
        <f>SIMULIMO!O72</f>
        <v>9117.5987349766074</v>
      </c>
      <c r="K37" s="1">
        <f>SIMULIMO!P72</f>
        <v>9223.1505439326284</v>
      </c>
      <c r="L37" s="1">
        <f>SIMULIMO!Q72</f>
        <v>9329.7381103752414</v>
      </c>
      <c r="M37" s="1">
        <f>SIMULIMO!R72</f>
        <v>9287.3715134487975</v>
      </c>
      <c r="N37" s="1">
        <f>SIMULIMO!S72</f>
        <v>9396.0609291659384</v>
      </c>
      <c r="O37" s="1">
        <f>SIMULIMO!T72</f>
        <v>9505.8166313210186</v>
      </c>
      <c r="P37" s="1">
        <f>SIMULIMO!U72</f>
        <v>9616.648992411885</v>
      </c>
      <c r="Q37" s="1">
        <f>SIMULIMO!V72</f>
        <v>9728.568484570018</v>
      </c>
      <c r="R37" s="1">
        <f>SIMULIMO!W72</f>
        <v>9841.58568049926</v>
      </c>
      <c r="S37" s="1">
        <f>SIMULIMO!X72</f>
        <v>9955.7112544230731</v>
      </c>
      <c r="T37" s="1">
        <f>SIMULIMO!Y72</f>
        <v>10070.955983040434</v>
      </c>
      <c r="U37" s="1">
        <f>SIMULIMO!Z72</f>
        <v>10187.330746490486</v>
      </c>
      <c r="V37" s="1">
        <f>SIMULIMO!AA72</f>
        <v>10304.846529325971</v>
      </c>
      <c r="W37" s="1">
        <f>SIMULIMO!AB72</f>
        <v>10423.51442149554</v>
      </c>
      <c r="X37" s="107">
        <f>SIMULIMO!AC67</f>
        <v>238405.74879289916</v>
      </c>
      <c r="Y37" s="1"/>
      <c r="Z37" s="1"/>
      <c r="AA37" s="1"/>
      <c r="AB37" s="1"/>
      <c r="AC37" s="1"/>
      <c r="AD37" s="1"/>
      <c r="AE37" s="1"/>
      <c r="AF37" s="1"/>
    </row>
    <row r="38" spans="2:32" x14ac:dyDescent="0.25">
      <c r="B38" s="105">
        <v>23</v>
      </c>
      <c r="C38" s="1">
        <f>SIMULIMO!H72</f>
        <v>-191070.82460989201</v>
      </c>
      <c r="D38" s="1">
        <f>SIMULIMO!I72</f>
        <v>9011.7929356038403</v>
      </c>
      <c r="E38" s="1">
        <f>SIMULIMO!J72</f>
        <v>8819.3156641524602</v>
      </c>
      <c r="F38" s="1">
        <f>SIMULIMO!K72</f>
        <v>8919.8365453505885</v>
      </c>
      <c r="G38" s="1">
        <f>SIMULIMO!L72</f>
        <v>9021.344209944853</v>
      </c>
      <c r="H38" s="1">
        <f>SIMULIMO!M72</f>
        <v>9123.848266151701</v>
      </c>
      <c r="I38" s="1">
        <f>SIMULIMO!N72</f>
        <v>9227.3584146117355</v>
      </c>
      <c r="J38" s="1">
        <f>SIMULIMO!O72</f>
        <v>9117.5987349766074</v>
      </c>
      <c r="K38" s="1">
        <f>SIMULIMO!P72</f>
        <v>9223.1505439326284</v>
      </c>
      <c r="L38" s="1">
        <f>SIMULIMO!Q72</f>
        <v>9329.7381103752414</v>
      </c>
      <c r="M38" s="1">
        <f>SIMULIMO!R72</f>
        <v>9287.3715134487975</v>
      </c>
      <c r="N38" s="1">
        <f>SIMULIMO!S72</f>
        <v>9396.0609291659384</v>
      </c>
      <c r="O38" s="1">
        <f>SIMULIMO!T72</f>
        <v>9505.8166313210186</v>
      </c>
      <c r="P38" s="1">
        <f>SIMULIMO!U72</f>
        <v>9616.648992411885</v>
      </c>
      <c r="Q38" s="1">
        <f>SIMULIMO!V72</f>
        <v>9728.568484570018</v>
      </c>
      <c r="R38" s="1">
        <f>SIMULIMO!W72</f>
        <v>9841.58568049926</v>
      </c>
      <c r="S38" s="1">
        <f>SIMULIMO!X72</f>
        <v>9955.7112544230731</v>
      </c>
      <c r="T38" s="1">
        <f>SIMULIMO!Y72</f>
        <v>10070.955983040434</v>
      </c>
      <c r="U38" s="1">
        <f>SIMULIMO!Z72</f>
        <v>10187.330746490486</v>
      </c>
      <c r="V38" s="1">
        <f>SIMULIMO!AA72</f>
        <v>10304.846529325971</v>
      </c>
      <c r="W38" s="1">
        <f>SIMULIMO!AB72</f>
        <v>10423.51442149554</v>
      </c>
      <c r="X38" s="1">
        <f>SIMULIMO!AC72</f>
        <v>10543.345619335021</v>
      </c>
      <c r="Y38" s="107">
        <f>SIMULIMO!AD67</f>
        <v>241557.57461002402</v>
      </c>
      <c r="Z38" s="1"/>
      <c r="AA38" s="1"/>
      <c r="AB38" s="1"/>
      <c r="AC38" s="1"/>
      <c r="AD38" s="1"/>
      <c r="AE38" s="1"/>
      <c r="AF38" s="1"/>
    </row>
    <row r="39" spans="2:32" x14ac:dyDescent="0.25">
      <c r="B39" s="105">
        <v>24</v>
      </c>
      <c r="C39" s="1">
        <f>SIMULIMO!H72</f>
        <v>-191070.82460989201</v>
      </c>
      <c r="D39" s="1">
        <f>SIMULIMO!I72</f>
        <v>9011.7929356038403</v>
      </c>
      <c r="E39" s="1">
        <f>SIMULIMO!J72</f>
        <v>8819.3156641524602</v>
      </c>
      <c r="F39" s="1">
        <f>SIMULIMO!K72</f>
        <v>8919.8365453505885</v>
      </c>
      <c r="G39" s="1">
        <f>SIMULIMO!L72</f>
        <v>9021.344209944853</v>
      </c>
      <c r="H39" s="1">
        <f>SIMULIMO!M72</f>
        <v>9123.848266151701</v>
      </c>
      <c r="I39" s="1">
        <f>SIMULIMO!N72</f>
        <v>9227.3584146117355</v>
      </c>
      <c r="J39" s="1">
        <f>SIMULIMO!O72</f>
        <v>9117.5987349766074</v>
      </c>
      <c r="K39" s="1">
        <f>SIMULIMO!P72</f>
        <v>9223.1505439326284</v>
      </c>
      <c r="L39" s="1">
        <f>SIMULIMO!Q72</f>
        <v>9329.7381103752414</v>
      </c>
      <c r="M39" s="1">
        <f>SIMULIMO!R72</f>
        <v>9287.3715134487975</v>
      </c>
      <c r="N39" s="1">
        <f>SIMULIMO!S72</f>
        <v>9396.0609291659384</v>
      </c>
      <c r="O39" s="1">
        <f>SIMULIMO!T72</f>
        <v>9505.8166313210186</v>
      </c>
      <c r="P39" s="1">
        <f>SIMULIMO!U72</f>
        <v>9616.648992411885</v>
      </c>
      <c r="Q39" s="1">
        <f>SIMULIMO!V72</f>
        <v>9728.568484570018</v>
      </c>
      <c r="R39" s="1">
        <f>SIMULIMO!W72</f>
        <v>9841.58568049926</v>
      </c>
      <c r="S39" s="1">
        <f>SIMULIMO!X72</f>
        <v>9955.7112544230731</v>
      </c>
      <c r="T39" s="1">
        <f>SIMULIMO!Y72</f>
        <v>10070.955983040434</v>
      </c>
      <c r="U39" s="1">
        <f>SIMULIMO!Z72</f>
        <v>10187.330746490486</v>
      </c>
      <c r="V39" s="1">
        <f>SIMULIMO!AA72</f>
        <v>10304.846529325971</v>
      </c>
      <c r="W39" s="1">
        <f>SIMULIMO!AB72</f>
        <v>10423.51442149554</v>
      </c>
      <c r="X39" s="1">
        <f>SIMULIMO!AC72</f>
        <v>10543.345619335021</v>
      </c>
      <c r="Y39" s="1">
        <f>SIMULIMO!AD72</f>
        <v>10664.351426567708</v>
      </c>
      <c r="Z39" s="107">
        <f>SIMULIMO!AE67</f>
        <v>244770.66278176827</v>
      </c>
      <c r="AA39" s="1"/>
      <c r="AB39" s="1"/>
      <c r="AC39" s="1"/>
      <c r="AD39" s="1"/>
      <c r="AE39" s="1"/>
      <c r="AF39" s="1"/>
    </row>
    <row r="40" spans="2:32" x14ac:dyDescent="0.25">
      <c r="B40" s="105">
        <v>25</v>
      </c>
      <c r="C40" s="1">
        <f>SIMULIMO!H72</f>
        <v>-191070.82460989201</v>
      </c>
      <c r="D40" s="1">
        <f>SIMULIMO!I72</f>
        <v>9011.7929356038403</v>
      </c>
      <c r="E40" s="1">
        <f>SIMULIMO!J72</f>
        <v>8819.3156641524602</v>
      </c>
      <c r="F40" s="1">
        <f>SIMULIMO!K72</f>
        <v>8919.8365453505885</v>
      </c>
      <c r="G40" s="1">
        <f>SIMULIMO!L72</f>
        <v>9021.344209944853</v>
      </c>
      <c r="H40" s="1">
        <f>SIMULIMO!M72</f>
        <v>9123.848266151701</v>
      </c>
      <c r="I40" s="1">
        <f>SIMULIMO!N72</f>
        <v>9227.3584146117355</v>
      </c>
      <c r="J40" s="1">
        <f>SIMULIMO!O72</f>
        <v>9117.5987349766074</v>
      </c>
      <c r="K40" s="1">
        <f>SIMULIMO!P72</f>
        <v>9223.1505439326284</v>
      </c>
      <c r="L40" s="1">
        <f>SIMULIMO!Q72</f>
        <v>9329.7381103752414</v>
      </c>
      <c r="M40" s="1">
        <f>SIMULIMO!R72</f>
        <v>9287.3715134487975</v>
      </c>
      <c r="N40" s="1">
        <f>SIMULIMO!S72</f>
        <v>9396.0609291659384</v>
      </c>
      <c r="O40" s="1">
        <f>SIMULIMO!T72</f>
        <v>9505.8166313210186</v>
      </c>
      <c r="P40" s="1">
        <f>SIMULIMO!U72</f>
        <v>9616.648992411885</v>
      </c>
      <c r="Q40" s="1">
        <f>SIMULIMO!V72</f>
        <v>9728.568484570018</v>
      </c>
      <c r="R40" s="1">
        <f>SIMULIMO!W72</f>
        <v>9841.58568049926</v>
      </c>
      <c r="S40" s="1">
        <f>SIMULIMO!X72</f>
        <v>9955.7112544230731</v>
      </c>
      <c r="T40" s="1">
        <f>SIMULIMO!Y72</f>
        <v>10070.955983040434</v>
      </c>
      <c r="U40" s="1">
        <f>SIMULIMO!Z72</f>
        <v>10187.330746490486</v>
      </c>
      <c r="V40" s="1">
        <f>SIMULIMO!AA72</f>
        <v>10304.846529325971</v>
      </c>
      <c r="W40" s="1">
        <f>SIMULIMO!AB72</f>
        <v>10423.51442149554</v>
      </c>
      <c r="X40" s="1">
        <f>SIMULIMO!AC72</f>
        <v>10543.345619335021</v>
      </c>
      <c r="Y40" s="1">
        <f>SIMULIMO!AD72</f>
        <v>10664.351426567708</v>
      </c>
      <c r="Z40" s="1">
        <f>SIMULIMO!AE72</f>
        <v>10786.543255313749</v>
      </c>
      <c r="AA40" s="107">
        <f>SIMULIMO!AF67</f>
        <v>248045.78780106633</v>
      </c>
      <c r="AB40" s="1"/>
      <c r="AC40" s="1"/>
      <c r="AD40" s="1"/>
      <c r="AE40" s="1"/>
      <c r="AF40" s="1"/>
    </row>
    <row r="41" spans="2:32" x14ac:dyDescent="0.25">
      <c r="B41" s="105">
        <v>26</v>
      </c>
      <c r="C41" s="1">
        <f>SIMULIMO!H72</f>
        <v>-191070.82460989201</v>
      </c>
      <c r="D41" s="1">
        <f>SIMULIMO!I72</f>
        <v>9011.7929356038403</v>
      </c>
      <c r="E41" s="1">
        <f>SIMULIMO!J72</f>
        <v>8819.3156641524602</v>
      </c>
      <c r="F41" s="1">
        <f>SIMULIMO!K72</f>
        <v>8919.8365453505885</v>
      </c>
      <c r="G41" s="1">
        <f>SIMULIMO!L72</f>
        <v>9021.344209944853</v>
      </c>
      <c r="H41" s="1">
        <f>SIMULIMO!M72</f>
        <v>9123.848266151701</v>
      </c>
      <c r="I41" s="1">
        <f>SIMULIMO!N72</f>
        <v>9227.3584146117355</v>
      </c>
      <c r="J41" s="1">
        <f>SIMULIMO!O72</f>
        <v>9117.5987349766074</v>
      </c>
      <c r="K41" s="1">
        <f>SIMULIMO!P72</f>
        <v>9223.1505439326284</v>
      </c>
      <c r="L41" s="1">
        <f>SIMULIMO!Q72</f>
        <v>9329.7381103752414</v>
      </c>
      <c r="M41" s="1">
        <f>SIMULIMO!R72</f>
        <v>9287.3715134487975</v>
      </c>
      <c r="N41" s="1">
        <f>SIMULIMO!S72</f>
        <v>9396.0609291659384</v>
      </c>
      <c r="O41" s="1">
        <f>SIMULIMO!T72</f>
        <v>9505.8166313210186</v>
      </c>
      <c r="P41" s="1">
        <f>SIMULIMO!U72</f>
        <v>9616.648992411885</v>
      </c>
      <c r="Q41" s="1">
        <f>SIMULIMO!V72</f>
        <v>9728.568484570018</v>
      </c>
      <c r="R41" s="1">
        <f>SIMULIMO!W72</f>
        <v>9841.58568049926</v>
      </c>
      <c r="S41" s="1">
        <f>SIMULIMO!X72</f>
        <v>9955.7112544230731</v>
      </c>
      <c r="T41" s="1">
        <f>SIMULIMO!Y72</f>
        <v>10070.955983040434</v>
      </c>
      <c r="U41" s="1">
        <f>SIMULIMO!Z72</f>
        <v>10187.330746490486</v>
      </c>
      <c r="V41" s="1">
        <f>SIMULIMO!AA72</f>
        <v>10304.846529325971</v>
      </c>
      <c r="W41" s="1">
        <f>SIMULIMO!AB72</f>
        <v>10423.51442149554</v>
      </c>
      <c r="X41" s="1">
        <f>SIMULIMO!AC72</f>
        <v>10543.345619335021</v>
      </c>
      <c r="Y41" s="1">
        <f>SIMULIMO!AD72</f>
        <v>10664.351426567708</v>
      </c>
      <c r="Z41" s="1">
        <f>SIMULIMO!AE72</f>
        <v>10786.543255313749</v>
      </c>
      <c r="AA41" s="1">
        <f>SIMULIMO!AF72</f>
        <v>10909.93262710875</v>
      </c>
      <c r="AB41" s="107">
        <f>SIMULIMO!AG67</f>
        <v>251414.53518714785</v>
      </c>
      <c r="AC41" s="1"/>
      <c r="AD41" s="1"/>
      <c r="AE41" s="1"/>
      <c r="AF41" s="1"/>
    </row>
    <row r="42" spans="2:32" x14ac:dyDescent="0.25">
      <c r="B42" s="105">
        <v>27</v>
      </c>
      <c r="C42" s="1">
        <f>SIMULIMO!H72</f>
        <v>-191070.82460989201</v>
      </c>
      <c r="D42" s="1">
        <f>SIMULIMO!I72</f>
        <v>9011.7929356038403</v>
      </c>
      <c r="E42" s="1">
        <f>SIMULIMO!J72</f>
        <v>8819.3156641524602</v>
      </c>
      <c r="F42" s="1">
        <f>SIMULIMO!K72</f>
        <v>8919.8365453505885</v>
      </c>
      <c r="G42" s="1">
        <f>SIMULIMO!L72</f>
        <v>9021.344209944853</v>
      </c>
      <c r="H42" s="1">
        <f>SIMULIMO!M72</f>
        <v>9123.848266151701</v>
      </c>
      <c r="I42" s="1">
        <f>SIMULIMO!N72</f>
        <v>9227.3584146117355</v>
      </c>
      <c r="J42" s="1">
        <f>SIMULIMO!O72</f>
        <v>9117.5987349766074</v>
      </c>
      <c r="K42" s="1">
        <f>SIMULIMO!P72</f>
        <v>9223.1505439326284</v>
      </c>
      <c r="L42" s="1">
        <f>SIMULIMO!Q72</f>
        <v>9329.7381103752414</v>
      </c>
      <c r="M42" s="1">
        <f>SIMULIMO!R72</f>
        <v>9287.3715134487975</v>
      </c>
      <c r="N42" s="1">
        <f>SIMULIMO!S72</f>
        <v>9396.0609291659384</v>
      </c>
      <c r="O42" s="1">
        <f>SIMULIMO!T72</f>
        <v>9505.8166313210186</v>
      </c>
      <c r="P42" s="1">
        <f>SIMULIMO!U72</f>
        <v>9616.648992411885</v>
      </c>
      <c r="Q42" s="1">
        <f>SIMULIMO!V72</f>
        <v>9728.568484570018</v>
      </c>
      <c r="R42" s="1">
        <f>SIMULIMO!W72</f>
        <v>9841.58568049926</v>
      </c>
      <c r="S42" s="1">
        <f>SIMULIMO!X72</f>
        <v>9955.7112544230731</v>
      </c>
      <c r="T42" s="1">
        <f>SIMULIMO!Y72</f>
        <v>10070.955983040434</v>
      </c>
      <c r="U42" s="1">
        <f>SIMULIMO!Z72</f>
        <v>10187.330746490486</v>
      </c>
      <c r="V42" s="1">
        <f>SIMULIMO!AA72</f>
        <v>10304.846529325971</v>
      </c>
      <c r="W42" s="1">
        <f>SIMULIMO!AB72</f>
        <v>10423.51442149554</v>
      </c>
      <c r="X42" s="1">
        <f>SIMULIMO!AC72</f>
        <v>10543.345619335021</v>
      </c>
      <c r="Y42" s="1">
        <f>SIMULIMO!AD72</f>
        <v>10664.351426567708</v>
      </c>
      <c r="Z42" s="1">
        <f>SIMULIMO!AE72</f>
        <v>10786.543255313749</v>
      </c>
      <c r="AA42" s="1">
        <f>SIMULIMO!AF72</f>
        <v>10909.93262710875</v>
      </c>
      <c r="AB42" s="1">
        <f>SIMULIMO!AG72</f>
        <v>14011.438908699312</v>
      </c>
      <c r="AC42" s="107">
        <f>SIMULIMO!AH67</f>
        <v>251845.72053901921</v>
      </c>
      <c r="AD42" s="1"/>
      <c r="AE42" s="1"/>
      <c r="AF42" s="1"/>
    </row>
    <row r="43" spans="2:32" x14ac:dyDescent="0.25">
      <c r="B43" s="105">
        <v>28</v>
      </c>
      <c r="C43" s="1">
        <f>SIMULIMO!H72</f>
        <v>-191070.82460989201</v>
      </c>
      <c r="D43" s="1">
        <f>SIMULIMO!I72</f>
        <v>9011.7929356038403</v>
      </c>
      <c r="E43" s="1">
        <f>SIMULIMO!J72</f>
        <v>8819.3156641524602</v>
      </c>
      <c r="F43" s="1">
        <f>SIMULIMO!K72</f>
        <v>8919.8365453505885</v>
      </c>
      <c r="G43" s="1">
        <f>SIMULIMO!L72</f>
        <v>9021.344209944853</v>
      </c>
      <c r="H43" s="1">
        <f>SIMULIMO!M72</f>
        <v>9123.848266151701</v>
      </c>
      <c r="I43" s="1">
        <f>SIMULIMO!N72</f>
        <v>9227.3584146117355</v>
      </c>
      <c r="J43" s="1">
        <f>SIMULIMO!O72</f>
        <v>9117.5987349766074</v>
      </c>
      <c r="K43" s="1">
        <f>SIMULIMO!P72</f>
        <v>9223.1505439326284</v>
      </c>
      <c r="L43" s="1">
        <f>SIMULIMO!Q72</f>
        <v>9329.7381103752414</v>
      </c>
      <c r="M43" s="1">
        <f>SIMULIMO!R72</f>
        <v>9287.3715134487975</v>
      </c>
      <c r="N43" s="1">
        <f>SIMULIMO!S72</f>
        <v>9396.0609291659384</v>
      </c>
      <c r="O43" s="1">
        <f>SIMULIMO!T72</f>
        <v>9505.8166313210186</v>
      </c>
      <c r="P43" s="1">
        <f>SIMULIMO!U72</f>
        <v>9616.648992411885</v>
      </c>
      <c r="Q43" s="1">
        <f>SIMULIMO!V72</f>
        <v>9728.568484570018</v>
      </c>
      <c r="R43" s="1">
        <f>SIMULIMO!W72</f>
        <v>9841.58568049926</v>
      </c>
      <c r="S43" s="1">
        <f>SIMULIMO!X72</f>
        <v>9955.7112544230731</v>
      </c>
      <c r="T43" s="1">
        <f>SIMULIMO!Y72</f>
        <v>10070.955983040434</v>
      </c>
      <c r="U43" s="1">
        <f>SIMULIMO!Z72</f>
        <v>10187.330746490486</v>
      </c>
      <c r="V43" s="1">
        <f>SIMULIMO!AA72</f>
        <v>10304.846529325971</v>
      </c>
      <c r="W43" s="1">
        <f>SIMULIMO!AB72</f>
        <v>10423.51442149554</v>
      </c>
      <c r="X43" s="1">
        <f>SIMULIMO!AC72</f>
        <v>10543.345619335021</v>
      </c>
      <c r="Y43" s="1">
        <f>SIMULIMO!AD72</f>
        <v>10664.351426567708</v>
      </c>
      <c r="Z43" s="1">
        <f>SIMULIMO!AE72</f>
        <v>10786.543255313749</v>
      </c>
      <c r="AA43" s="1">
        <f>SIMULIMO!AF72</f>
        <v>10909.93262710875</v>
      </c>
      <c r="AB43" s="1">
        <f>SIMULIMO!AG72</f>
        <v>14011.438908699312</v>
      </c>
      <c r="AC43" s="1">
        <f>SIMULIMO!AH72</f>
        <v>14143.473297786302</v>
      </c>
      <c r="AD43" s="107">
        <f>SIMULIMO!AI67</f>
        <v>252299.47374440942</v>
      </c>
      <c r="AE43" s="1"/>
      <c r="AF43" s="1"/>
    </row>
    <row r="44" spans="2:32" x14ac:dyDescent="0.25">
      <c r="B44" s="105">
        <v>29</v>
      </c>
      <c r="C44" s="1">
        <f>SIMULIMO!H72</f>
        <v>-191070.82460989201</v>
      </c>
      <c r="D44" s="1">
        <f>SIMULIMO!I72</f>
        <v>9011.7929356038403</v>
      </c>
      <c r="E44" s="1">
        <f>SIMULIMO!J72</f>
        <v>8819.3156641524602</v>
      </c>
      <c r="F44" s="1">
        <f>SIMULIMO!K72</f>
        <v>8919.8365453505885</v>
      </c>
      <c r="G44" s="1">
        <f>SIMULIMO!L72</f>
        <v>9021.344209944853</v>
      </c>
      <c r="H44" s="1">
        <f>SIMULIMO!M72</f>
        <v>9123.848266151701</v>
      </c>
      <c r="I44" s="1">
        <f>SIMULIMO!N72</f>
        <v>9227.3584146117355</v>
      </c>
      <c r="J44" s="1">
        <f>SIMULIMO!O72</f>
        <v>9117.5987349766074</v>
      </c>
      <c r="K44" s="1">
        <f>SIMULIMO!P72</f>
        <v>9223.1505439326284</v>
      </c>
      <c r="L44" s="1">
        <f>SIMULIMO!Q72</f>
        <v>9329.7381103752414</v>
      </c>
      <c r="M44" s="1">
        <f>SIMULIMO!R72</f>
        <v>9287.3715134487975</v>
      </c>
      <c r="N44" s="1">
        <f>SIMULIMO!S72</f>
        <v>9396.0609291659384</v>
      </c>
      <c r="O44" s="1">
        <f>SIMULIMO!T72</f>
        <v>9505.8166313210186</v>
      </c>
      <c r="P44" s="1">
        <f>SIMULIMO!U72</f>
        <v>9616.648992411885</v>
      </c>
      <c r="Q44" s="1">
        <f>SIMULIMO!V72</f>
        <v>9728.568484570018</v>
      </c>
      <c r="R44" s="1">
        <f>SIMULIMO!W72</f>
        <v>9841.58568049926</v>
      </c>
      <c r="S44" s="1">
        <f>SIMULIMO!X72</f>
        <v>9955.7112544230731</v>
      </c>
      <c r="T44" s="1">
        <f>SIMULIMO!Y72</f>
        <v>10070.955983040434</v>
      </c>
      <c r="U44" s="1">
        <f>SIMULIMO!Z72</f>
        <v>10187.330746490486</v>
      </c>
      <c r="V44" s="1">
        <f>SIMULIMO!AA72</f>
        <v>10304.846529325971</v>
      </c>
      <c r="W44" s="1">
        <f>SIMULIMO!AB72</f>
        <v>10423.51442149554</v>
      </c>
      <c r="X44" s="1">
        <f>SIMULIMO!AC72</f>
        <v>10543.345619335021</v>
      </c>
      <c r="Y44" s="1">
        <f>SIMULIMO!AD72</f>
        <v>10664.351426567708</v>
      </c>
      <c r="Z44" s="1">
        <f>SIMULIMO!AE72</f>
        <v>10786.543255313749</v>
      </c>
      <c r="AA44" s="1">
        <f>SIMULIMO!AF72</f>
        <v>10909.93262710875</v>
      </c>
      <c r="AB44" s="1">
        <f>SIMULIMO!AG72</f>
        <v>14011.438908699312</v>
      </c>
      <c r="AC44" s="1">
        <f>SIMULIMO!AH72</f>
        <v>14143.473297786302</v>
      </c>
      <c r="AD44" s="1">
        <f>SIMULIMO!AI72</f>
        <v>14276.828030764162</v>
      </c>
      <c r="AE44" s="107">
        <f>SIMULIMO!AJ67</f>
        <v>252776.02048185357</v>
      </c>
      <c r="AF44" s="1"/>
    </row>
    <row r="45" spans="2:32" x14ac:dyDescent="0.25">
      <c r="B45" s="105">
        <v>30</v>
      </c>
      <c r="C45" s="1">
        <f>SIMULIMO!H72</f>
        <v>-191070.82460989201</v>
      </c>
      <c r="D45" s="1">
        <f>SIMULIMO!I72</f>
        <v>9011.7929356038403</v>
      </c>
      <c r="E45" s="1">
        <f>SIMULIMO!J72</f>
        <v>8819.3156641524602</v>
      </c>
      <c r="F45" s="1">
        <f>SIMULIMO!K72</f>
        <v>8919.8365453505885</v>
      </c>
      <c r="G45" s="1">
        <f>SIMULIMO!L72</f>
        <v>9021.344209944853</v>
      </c>
      <c r="H45" s="1">
        <f>SIMULIMO!M72</f>
        <v>9123.848266151701</v>
      </c>
      <c r="I45" s="1">
        <f>SIMULIMO!N72</f>
        <v>9227.3584146117355</v>
      </c>
      <c r="J45" s="1">
        <f>SIMULIMO!O72</f>
        <v>9117.5987349766074</v>
      </c>
      <c r="K45" s="1">
        <f>SIMULIMO!P72</f>
        <v>9223.1505439326284</v>
      </c>
      <c r="L45" s="1">
        <f>SIMULIMO!Q72</f>
        <v>9329.7381103752414</v>
      </c>
      <c r="M45" s="1">
        <f>SIMULIMO!R72</f>
        <v>9287.3715134487975</v>
      </c>
      <c r="N45" s="1">
        <f>SIMULIMO!S72</f>
        <v>9396.0609291659384</v>
      </c>
      <c r="O45" s="1">
        <f>SIMULIMO!T72</f>
        <v>9505.8166313210186</v>
      </c>
      <c r="P45" s="1">
        <f>SIMULIMO!U72</f>
        <v>9616.648992411885</v>
      </c>
      <c r="Q45" s="1">
        <f>SIMULIMO!V72</f>
        <v>9728.568484570018</v>
      </c>
      <c r="R45" s="1">
        <f>SIMULIMO!W72</f>
        <v>9841.58568049926</v>
      </c>
      <c r="S45" s="1">
        <f>SIMULIMO!X72</f>
        <v>9955.7112544230731</v>
      </c>
      <c r="T45" s="1">
        <f>SIMULIMO!Y72</f>
        <v>10070.955983040434</v>
      </c>
      <c r="U45" s="1">
        <f>SIMULIMO!Z72</f>
        <v>10187.330746490486</v>
      </c>
      <c r="V45" s="1">
        <f>SIMULIMO!AA72</f>
        <v>10304.846529325971</v>
      </c>
      <c r="W45" s="1">
        <f>SIMULIMO!AB72</f>
        <v>10423.51442149554</v>
      </c>
      <c r="X45" s="1">
        <f>SIMULIMO!AC72</f>
        <v>10543.345619335021</v>
      </c>
      <c r="Y45" s="1">
        <f>SIMULIMO!AD72</f>
        <v>10664.351426567708</v>
      </c>
      <c r="Z45" s="1">
        <f>SIMULIMO!AE72</f>
        <v>10786.543255313749</v>
      </c>
      <c r="AA45" s="1">
        <f>SIMULIMO!AF72</f>
        <v>10909.93262710875</v>
      </c>
      <c r="AB45" s="1">
        <f>SIMULIMO!AG72</f>
        <v>14011.438908699312</v>
      </c>
      <c r="AC45" s="1">
        <f>SIMULIMO!AH72</f>
        <v>14143.473297786302</v>
      </c>
      <c r="AD45" s="1">
        <f>SIMULIMO!AI72</f>
        <v>14276.828030764162</v>
      </c>
      <c r="AE45" s="1">
        <f>SIMULIMO!AJ72</f>
        <v>14411.516311071802</v>
      </c>
      <c r="AF45" s="107">
        <f>SIMULIMO!AK67</f>
        <v>253275.58868667207</v>
      </c>
    </row>
    <row r="46" spans="2:32" x14ac:dyDescent="0.25">
      <c r="B46" s="105"/>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row>
    <row r="48" spans="2:32" x14ac:dyDescent="0.25">
      <c r="B48" s="105"/>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row>
    <row r="49" spans="2:37" ht="21" x14ac:dyDescent="0.35">
      <c r="B49" s="180" t="s">
        <v>272</v>
      </c>
    </row>
    <row r="51" spans="2:37" ht="15.75" x14ac:dyDescent="0.25">
      <c r="B51" s="183" t="s">
        <v>269</v>
      </c>
      <c r="C51" s="183">
        <v>1</v>
      </c>
      <c r="D51" s="183">
        <v>2</v>
      </c>
      <c r="E51" s="183">
        <v>3</v>
      </c>
      <c r="F51" s="183">
        <v>4</v>
      </c>
      <c r="G51" s="183">
        <v>5</v>
      </c>
      <c r="H51" s="183">
        <v>6</v>
      </c>
      <c r="I51" s="183">
        <v>7</v>
      </c>
      <c r="J51" s="183">
        <v>8</v>
      </c>
      <c r="K51" s="183">
        <v>9</v>
      </c>
      <c r="L51" s="183">
        <v>10</v>
      </c>
      <c r="M51" s="183">
        <v>11</v>
      </c>
      <c r="N51" s="183">
        <v>12</v>
      </c>
      <c r="O51" s="183">
        <v>13</v>
      </c>
      <c r="P51" s="183">
        <v>14</v>
      </c>
      <c r="Q51" s="183">
        <v>15</v>
      </c>
      <c r="R51" s="183">
        <v>16</v>
      </c>
      <c r="S51" s="183">
        <v>17</v>
      </c>
      <c r="T51" s="183">
        <v>18</v>
      </c>
      <c r="U51" s="183">
        <v>19</v>
      </c>
      <c r="V51" s="183">
        <v>20</v>
      </c>
      <c r="W51" s="183">
        <v>21</v>
      </c>
      <c r="X51" s="183">
        <v>22</v>
      </c>
      <c r="Y51" s="183">
        <v>23</v>
      </c>
      <c r="Z51" s="183">
        <v>24</v>
      </c>
      <c r="AA51" s="183">
        <v>25</v>
      </c>
      <c r="AB51" s="183">
        <v>26</v>
      </c>
      <c r="AC51" s="183">
        <v>27</v>
      </c>
      <c r="AD51" s="183">
        <v>28</v>
      </c>
      <c r="AE51" s="183">
        <v>29</v>
      </c>
      <c r="AF51" s="183">
        <v>30</v>
      </c>
    </row>
    <row r="52" spans="2:37" s="187" customFormat="1" ht="15.75" x14ac:dyDescent="0.25">
      <c r="B52" s="185" t="s">
        <v>268</v>
      </c>
      <c r="C52" s="186" t="str">
        <f>IFERROR(IRR(C54),"N/A")</f>
        <v>N/A</v>
      </c>
      <c r="D52" s="186">
        <f>IFERROR(IRR(C55:D55),"N/A")</f>
        <v>-4.0515447638054591E-2</v>
      </c>
      <c r="E52" s="186">
        <f>IFERROR(IRR(C56:E56),"N/A")</f>
        <v>3.3093876101899511E-3</v>
      </c>
      <c r="F52" s="186">
        <f>IFERROR(IRR(C57:F57),"N/A")</f>
        <v>1.8468941389298887E-2</v>
      </c>
      <c r="G52" s="186">
        <f>IFERROR(IRR(C58:G58),"N/A")</f>
        <v>2.6090179167897354E-2</v>
      </c>
      <c r="H52" s="186">
        <f>IFERROR(IRR(C59:H59),"N/A")</f>
        <v>2.9881570351442788E-2</v>
      </c>
      <c r="I52" s="186">
        <f>IFERROR(IRR(C60:I60),"N/A")</f>
        <v>2.8625989886896797E-2</v>
      </c>
      <c r="J52" s="186">
        <f>IFERROR(IRR(C61:J61),"N/A")</f>
        <v>3.3063695794129266E-2</v>
      </c>
      <c r="K52" s="186">
        <f>IFERROR(IRR(C62:K62),"N/A")</f>
        <v>3.3873328801331315E-2</v>
      </c>
      <c r="L52" s="186">
        <f>IFERROR(IRR(C63:L63),"N/A")</f>
        <v>3.4529353844254151E-2</v>
      </c>
      <c r="M52" s="186">
        <f>IFERROR(IRR(C64:M64),"N/A")</f>
        <v>3.5076809983581869E-2</v>
      </c>
      <c r="N52" s="186">
        <f>IFERROR(IRR(C65:N65),"N/A")</f>
        <v>3.5578080046887894E-2</v>
      </c>
      <c r="O52" s="186">
        <f>IFERROR(IRR(C66:O66),"N/A")</f>
        <v>3.6010194298935039E-2</v>
      </c>
      <c r="P52" s="186">
        <f>IFERROR(IRR(C67:P67),"N/A")</f>
        <v>3.6388461053067589E-2</v>
      </c>
      <c r="Q52" s="186">
        <f>IFERROR(IRR(C68:Q68),"N/A")</f>
        <v>3.6723843848675664E-2</v>
      </c>
      <c r="R52" s="186">
        <f>IFERROR(IRR(C69:R69),"N/A")</f>
        <v>3.7024404481500017E-2</v>
      </c>
      <c r="S52" s="186">
        <f>IFERROR(IRR(C70:S70),"N/A")</f>
        <v>3.7296206810771615E-2</v>
      </c>
      <c r="T52" s="186">
        <f>IFERROR(IRR(C71:T71),"N/A")</f>
        <v>3.7543902621103964E-2</v>
      </c>
      <c r="U52" s="186">
        <f>IFERROR(IRR(C72:U72),"N/A")</f>
        <v>3.7771122789562739E-2</v>
      </c>
      <c r="V52" s="186">
        <f>IFERROR(IRR(C73:V73),"N/A")</f>
        <v>3.798074527081452E-2</v>
      </c>
      <c r="W52" s="186">
        <f>IFERROR(IRR(C74:W74),"N/A")</f>
        <v>3.8175082891440004E-2</v>
      </c>
      <c r="X52" s="186">
        <f>IFERROR(IRR(C75:X75),"N/A")</f>
        <v>3.8356017611593352E-2</v>
      </c>
      <c r="Y52" s="186">
        <f>IFERROR(IRR(C76:Y76),"N/A")</f>
        <v>3.8525098243789024E-2</v>
      </c>
      <c r="Z52" s="186">
        <f>IFERROR(IRR(C77:Z77),"N/A")</f>
        <v>3.8683612723700245E-2</v>
      </c>
      <c r="AA52" s="186">
        <f>IFERROR(IRR(C78:AA78),"N/A")</f>
        <v>3.8832642339081458E-2</v>
      </c>
      <c r="AB52" s="186">
        <f>IFERROR(IRR(C79:AB79),"N/A")</f>
        <v>3.8975627122742607E-2</v>
      </c>
      <c r="AC52" s="186">
        <f>IFERROR(IRR(C80:AC80),"N/A")</f>
        <v>4.0185382652977664E-2</v>
      </c>
      <c r="AD52" s="186">
        <f>IFERROR(IRR(C81:AD81),"N/A")</f>
        <v>4.0266700431418778E-2</v>
      </c>
      <c r="AE52" s="186">
        <f>IFERROR(IRR(C82:AE82),"N/A")</f>
        <v>3.9395134444166535E-2</v>
      </c>
      <c r="AF52" s="186">
        <f>IFERROR(IRR(C83:AF83),"N/A")</f>
        <v>3.9530675967489159E-2</v>
      </c>
    </row>
    <row r="53" spans="2:37" x14ac:dyDescent="0.25">
      <c r="B53" s="106"/>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row>
    <row r="54" spans="2:37" x14ac:dyDescent="0.25">
      <c r="B54" s="105">
        <v>1</v>
      </c>
      <c r="C54" s="107">
        <f>SIMULIMO!H69</f>
        <v>181701.76552250134</v>
      </c>
      <c r="D54" s="1"/>
      <c r="E54" s="1"/>
      <c r="F54" s="1"/>
      <c r="G54" s="1"/>
      <c r="H54" s="1"/>
      <c r="I54" s="108"/>
      <c r="J54" s="1"/>
      <c r="K54" s="1"/>
      <c r="L54" s="1"/>
      <c r="M54" s="1"/>
      <c r="N54" s="1"/>
      <c r="O54" s="1"/>
      <c r="P54" s="1"/>
      <c r="Q54" s="1"/>
      <c r="R54" s="1"/>
      <c r="S54" s="1"/>
      <c r="T54" s="1"/>
      <c r="U54" s="1"/>
      <c r="V54" s="1"/>
      <c r="W54" s="1"/>
      <c r="X54" s="1"/>
      <c r="Y54" s="1"/>
      <c r="Z54" s="1"/>
      <c r="AA54" s="1"/>
      <c r="AB54" s="1"/>
      <c r="AC54" s="1"/>
      <c r="AD54" s="1"/>
      <c r="AE54" s="1"/>
      <c r="AF54" s="1"/>
    </row>
    <row r="55" spans="2:37" x14ac:dyDescent="0.25">
      <c r="B55" s="105">
        <v>2</v>
      </c>
      <c r="C55" s="1">
        <f>SIMULIMO!H75</f>
        <v>-193749.57722692442</v>
      </c>
      <c r="D55" s="107">
        <f>SIMULIMO!I69</f>
        <v>185899.72637589171</v>
      </c>
      <c r="E55" s="1"/>
      <c r="F55" s="1"/>
      <c r="H55" s="1"/>
      <c r="J55" s="1"/>
      <c r="K55" s="1"/>
      <c r="L55" s="1"/>
      <c r="M55" s="1"/>
      <c r="N55" s="1"/>
      <c r="O55" s="1"/>
      <c r="P55" s="1"/>
      <c r="Q55" s="1"/>
      <c r="R55" s="1"/>
      <c r="S55" s="1"/>
      <c r="T55" s="1"/>
      <c r="U55" s="1"/>
      <c r="V55" s="1"/>
      <c r="W55" s="1"/>
      <c r="X55" s="1"/>
      <c r="Y55" s="1"/>
      <c r="Z55" s="1"/>
      <c r="AA55" s="1"/>
      <c r="AB55" s="1"/>
      <c r="AC55" s="1"/>
      <c r="AD55" s="1"/>
      <c r="AE55" s="1"/>
      <c r="AF55" s="1"/>
    </row>
    <row r="56" spans="2:37" x14ac:dyDescent="0.25">
      <c r="B56" s="105">
        <v>3</v>
      </c>
      <c r="C56" s="1">
        <f>SIMULIMO!H75</f>
        <v>-193749.57722692442</v>
      </c>
      <c r="D56" s="1">
        <f>SIMULIMO!I75</f>
        <v>6308.255054922688</v>
      </c>
      <c r="E56" s="107">
        <f>SIMULIMO!J69</f>
        <v>188704.95256594062</v>
      </c>
      <c r="F56" s="1"/>
      <c r="G56" s="109"/>
      <c r="H56" s="1"/>
      <c r="J56" s="1"/>
      <c r="K56" s="108"/>
      <c r="L56" s="1"/>
      <c r="M56" s="1"/>
      <c r="N56" s="1"/>
      <c r="O56" s="1"/>
      <c r="P56" s="1"/>
      <c r="Q56" s="1"/>
      <c r="R56" s="1"/>
      <c r="S56" s="1"/>
      <c r="T56" s="1"/>
      <c r="U56" s="1"/>
      <c r="V56" s="1"/>
      <c r="W56" s="1"/>
      <c r="X56" s="1"/>
      <c r="Y56" s="1"/>
      <c r="Z56" s="1"/>
      <c r="AA56" s="1"/>
      <c r="AB56" s="1"/>
      <c r="AC56" s="1"/>
      <c r="AD56" s="1"/>
      <c r="AE56" s="1"/>
      <c r="AF56" s="1"/>
    </row>
    <row r="57" spans="2:37" x14ac:dyDescent="0.25">
      <c r="B57" s="105">
        <v>4</v>
      </c>
      <c r="C57" s="1">
        <f>SIMULIMO!H75</f>
        <v>-193749.57722692442</v>
      </c>
      <c r="D57" s="1">
        <f>SIMULIMO!I75</f>
        <v>6308.255054922688</v>
      </c>
      <c r="E57" s="1">
        <f>SIMULIMO!J75</f>
        <v>6173.5209649067219</v>
      </c>
      <c r="F57" s="107">
        <f>SIMULIMO!K69</f>
        <v>191853.15179315151</v>
      </c>
      <c r="G57" s="1"/>
      <c r="H57" s="1"/>
      <c r="J57" s="1"/>
      <c r="K57" s="109"/>
      <c r="L57" s="1"/>
      <c r="M57" s="1"/>
      <c r="N57" s="1"/>
      <c r="O57" s="1"/>
      <c r="P57" s="1"/>
      <c r="Q57" s="1"/>
      <c r="R57" s="1"/>
      <c r="S57" s="1"/>
      <c r="T57" s="1"/>
      <c r="U57" s="1"/>
      <c r="V57" s="1"/>
      <c r="W57" s="1"/>
      <c r="X57" s="1"/>
      <c r="Y57" s="1"/>
      <c r="Z57" s="1"/>
      <c r="AA57" s="1"/>
      <c r="AB57" s="1"/>
      <c r="AC57" s="1"/>
      <c r="AD57" s="1"/>
      <c r="AE57" s="1"/>
      <c r="AF57" s="1"/>
    </row>
    <row r="58" spans="2:37" x14ac:dyDescent="0.25">
      <c r="B58" s="105">
        <v>5</v>
      </c>
      <c r="C58" s="1">
        <f>SIMULIMO!H75</f>
        <v>-193749.57722692442</v>
      </c>
      <c r="D58" s="1">
        <f>SIMULIMO!I75</f>
        <v>6308.255054922688</v>
      </c>
      <c r="E58" s="1">
        <f>SIMULIMO!J75</f>
        <v>6173.5209649067219</v>
      </c>
      <c r="F58" s="1">
        <f>SIMULIMO!K75</f>
        <v>6243.8855817454114</v>
      </c>
      <c r="G58" s="107">
        <f>SIMULIMO!L69</f>
        <v>195052.93527322178</v>
      </c>
      <c r="H58" s="1"/>
      <c r="J58" s="108"/>
      <c r="K58" s="1"/>
      <c r="L58" s="1"/>
      <c r="M58" s="1"/>
      <c r="N58" s="1"/>
      <c r="O58" s="1"/>
      <c r="P58" s="1"/>
      <c r="Q58" s="1"/>
      <c r="R58" s="1"/>
      <c r="S58" s="1"/>
      <c r="T58" s="1"/>
      <c r="U58" s="1"/>
      <c r="V58" s="1"/>
      <c r="W58" s="1"/>
      <c r="X58" s="1"/>
      <c r="Y58" s="1"/>
      <c r="Z58" s="1"/>
      <c r="AA58" s="1"/>
      <c r="AB58" s="1"/>
      <c r="AC58" s="1"/>
      <c r="AD58" s="1"/>
      <c r="AE58" s="1"/>
      <c r="AF58" s="1"/>
    </row>
    <row r="59" spans="2:37" x14ac:dyDescent="0.25">
      <c r="B59" s="105">
        <v>6</v>
      </c>
      <c r="C59" s="1">
        <f>SIMULIMO!H75</f>
        <v>-193749.57722692442</v>
      </c>
      <c r="D59" s="1">
        <f>SIMULIMO!I75</f>
        <v>6308.255054922688</v>
      </c>
      <c r="E59" s="1">
        <f>SIMULIMO!J75</f>
        <v>6173.5209649067219</v>
      </c>
      <c r="F59" s="1">
        <f>SIMULIMO!K75</f>
        <v>6243.8855817454114</v>
      </c>
      <c r="G59" s="1">
        <f>SIMULIMO!L75</f>
        <v>6314.9409469613965</v>
      </c>
      <c r="H59" s="107">
        <f>SIMULIMO!M69</f>
        <v>197513.12914462812</v>
      </c>
      <c r="J59" s="1"/>
      <c r="K59" s="1"/>
      <c r="L59" s="1"/>
      <c r="M59" s="1"/>
      <c r="N59" s="1"/>
      <c r="O59" s="1"/>
      <c r="P59" s="1"/>
      <c r="Q59" s="1"/>
      <c r="R59" s="1"/>
      <c r="S59" s="1"/>
      <c r="T59" s="1"/>
      <c r="U59" s="1"/>
      <c r="V59" s="1"/>
      <c r="W59" s="1"/>
      <c r="X59" s="1"/>
      <c r="Y59" s="1"/>
      <c r="Z59" s="1"/>
      <c r="AA59" s="1"/>
      <c r="AB59" s="1"/>
      <c r="AC59" s="1"/>
      <c r="AD59" s="1"/>
      <c r="AE59" s="1"/>
      <c r="AF59" s="1"/>
    </row>
    <row r="60" spans="2:37" x14ac:dyDescent="0.25">
      <c r="B60" s="105">
        <v>7</v>
      </c>
      <c r="C60" s="1">
        <f>SIMULIMO!H75</f>
        <v>-193749.57722692442</v>
      </c>
      <c r="D60" s="1">
        <f>SIMULIMO!I75</f>
        <v>6308.255054922688</v>
      </c>
      <c r="E60" s="1">
        <f>SIMULIMO!J75</f>
        <v>6173.5209649067219</v>
      </c>
      <c r="F60" s="1">
        <f>SIMULIMO!K75</f>
        <v>6243.8855817454114</v>
      </c>
      <c r="G60" s="1">
        <f>SIMULIMO!L75</f>
        <v>6314.9409469613965</v>
      </c>
      <c r="H60" s="1">
        <f>H28*0.25</f>
        <v>2280.9620665379252</v>
      </c>
      <c r="I60" s="107">
        <f>SIMULIMO!N69</f>
        <v>199502.3942231207</v>
      </c>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row>
    <row r="61" spans="2:37" x14ac:dyDescent="0.25">
      <c r="B61" s="105">
        <v>8</v>
      </c>
      <c r="C61" s="1">
        <f>SIMULIMO!H75</f>
        <v>-193749.57722692442</v>
      </c>
      <c r="D61" s="1">
        <f>SIMULIMO!I75</f>
        <v>6308.255054922688</v>
      </c>
      <c r="E61" s="1">
        <f>SIMULIMO!J75</f>
        <v>6173.5209649067219</v>
      </c>
      <c r="F61" s="1">
        <f>SIMULIMO!K75</f>
        <v>6243.8855817454114</v>
      </c>
      <c r="G61" s="1">
        <f>SIMULIMO!L75</f>
        <v>6314.9409469613965</v>
      </c>
      <c r="H61" s="1">
        <f>SIMULIMO!M75</f>
        <v>6386.6937863061903</v>
      </c>
      <c r="I61" s="1">
        <f>SIMULIMO!N75</f>
        <v>6459.1508902282148</v>
      </c>
      <c r="J61" s="107">
        <f>SIMULIMO!O69</f>
        <v>200799.25423253281</v>
      </c>
      <c r="K61" s="1"/>
      <c r="L61" s="1"/>
      <c r="M61" s="1"/>
      <c r="N61" s="1"/>
      <c r="O61" s="1"/>
      <c r="P61" s="1"/>
      <c r="Q61" s="1"/>
      <c r="R61" s="1"/>
      <c r="S61" s="1"/>
      <c r="T61" s="1"/>
      <c r="U61" s="1"/>
      <c r="V61" s="1"/>
      <c r="W61" s="1"/>
      <c r="X61" s="1"/>
      <c r="Y61" s="1"/>
      <c r="Z61" s="1"/>
      <c r="AA61" s="1"/>
      <c r="AB61" s="1"/>
      <c r="AC61" s="1"/>
      <c r="AD61" s="1"/>
      <c r="AE61" s="1"/>
      <c r="AF61" s="1"/>
    </row>
    <row r="62" spans="2:37" x14ac:dyDescent="0.25">
      <c r="B62" s="105">
        <v>9</v>
      </c>
      <c r="C62" s="1">
        <f>SIMULIMO!H75</f>
        <v>-193749.57722692442</v>
      </c>
      <c r="D62" s="1">
        <f>SIMULIMO!I75</f>
        <v>6308.255054922688</v>
      </c>
      <c r="E62" s="1">
        <f>SIMULIMO!J75</f>
        <v>6173.5209649067219</v>
      </c>
      <c r="F62" s="1">
        <f>SIMULIMO!K75</f>
        <v>6243.8855817454114</v>
      </c>
      <c r="G62" s="1">
        <f>SIMULIMO!L75</f>
        <v>6314.9409469613965</v>
      </c>
      <c r="H62" s="1">
        <f>SIMULIMO!M75</f>
        <v>6386.6937863061903</v>
      </c>
      <c r="I62" s="1">
        <f>SIMULIMO!N75</f>
        <v>6459.1508902282148</v>
      </c>
      <c r="J62" s="1">
        <f>SIMULIMO!O75</f>
        <v>6382.3191144836246</v>
      </c>
      <c r="K62" s="107">
        <f>SIMULIMO!P69</f>
        <v>202262.36673858075</v>
      </c>
      <c r="L62" s="1"/>
      <c r="M62" s="1"/>
      <c r="N62" s="1"/>
      <c r="O62" s="1"/>
      <c r="P62" s="1"/>
      <c r="Q62" s="1"/>
      <c r="R62" s="1"/>
      <c r="S62" s="1"/>
      <c r="T62" s="1"/>
      <c r="U62" s="1"/>
      <c r="V62" s="1"/>
      <c r="W62" s="1"/>
      <c r="X62" s="1"/>
      <c r="Y62" s="1"/>
      <c r="Z62" s="1"/>
      <c r="AA62" s="1"/>
      <c r="AB62" s="1"/>
      <c r="AC62" s="1"/>
      <c r="AD62" s="1"/>
      <c r="AE62" s="1"/>
      <c r="AF62" s="1"/>
    </row>
    <row r="63" spans="2:37" x14ac:dyDescent="0.25">
      <c r="B63" s="105">
        <v>10</v>
      </c>
      <c r="C63" s="1">
        <f>SIMULIMO!H75</f>
        <v>-193749.57722692442</v>
      </c>
      <c r="D63" s="1">
        <f>SIMULIMO!I75</f>
        <v>6308.255054922688</v>
      </c>
      <c r="E63" s="1">
        <f>SIMULIMO!J75</f>
        <v>6173.5209649067219</v>
      </c>
      <c r="F63" s="1">
        <f>SIMULIMO!K75</f>
        <v>6243.8855817454114</v>
      </c>
      <c r="G63" s="1">
        <f>SIMULIMO!L75</f>
        <v>6314.9409469613965</v>
      </c>
      <c r="H63" s="1">
        <f>SIMULIMO!M75</f>
        <v>6386.6937863061903</v>
      </c>
      <c r="I63" s="1">
        <f>SIMULIMO!N75</f>
        <v>6459.1508902282148</v>
      </c>
      <c r="J63" s="1">
        <f>SIMULIMO!O75</f>
        <v>6382.3191144836246</v>
      </c>
      <c r="K63" s="1">
        <f>SIMULIMO!P75</f>
        <v>6456.2053807528391</v>
      </c>
      <c r="L63" s="107">
        <f>SIMULIMO!Q69</f>
        <v>203761.4606740117</v>
      </c>
      <c r="M63" s="1"/>
      <c r="N63" s="1"/>
      <c r="O63" s="1"/>
      <c r="P63" s="1"/>
      <c r="Q63" s="1"/>
      <c r="R63" s="1"/>
      <c r="S63" s="1"/>
      <c r="T63" s="1"/>
      <c r="U63" s="1"/>
      <c r="V63" s="1"/>
      <c r="W63" s="1"/>
      <c r="X63" s="1"/>
      <c r="Y63" s="1"/>
      <c r="Z63" s="1"/>
      <c r="AA63" s="1"/>
      <c r="AB63" s="1"/>
      <c r="AC63" s="1"/>
      <c r="AD63" s="1"/>
      <c r="AE63" s="1"/>
      <c r="AF63" s="1"/>
    </row>
    <row r="64" spans="2:37" x14ac:dyDescent="0.25">
      <c r="B64" s="105">
        <v>11</v>
      </c>
      <c r="C64" s="1">
        <f>SIMULIMO!H75</f>
        <v>-193749.57722692442</v>
      </c>
      <c r="D64" s="1">
        <f>SIMULIMO!I75</f>
        <v>6308.255054922688</v>
      </c>
      <c r="E64" s="1">
        <f>SIMULIMO!J75</f>
        <v>6173.5209649067219</v>
      </c>
      <c r="F64" s="1">
        <f>SIMULIMO!K75</f>
        <v>6243.8855817454114</v>
      </c>
      <c r="G64" s="1">
        <f>SIMULIMO!L75</f>
        <v>6314.9409469613965</v>
      </c>
      <c r="H64" s="1">
        <f>SIMULIMO!M75</f>
        <v>6386.6937863061903</v>
      </c>
      <c r="I64" s="1">
        <f>SIMULIMO!N75</f>
        <v>6459.1508902282148</v>
      </c>
      <c r="J64" s="1">
        <f>SIMULIMO!O75</f>
        <v>6382.3191144836246</v>
      </c>
      <c r="K64" s="1">
        <f>SIMULIMO!P75</f>
        <v>6456.2053807528391</v>
      </c>
      <c r="L64" s="1">
        <f>SIMULIMO!Q75</f>
        <v>6530.8166772626682</v>
      </c>
      <c r="M64" s="107">
        <f>SIMULIMO!R69</f>
        <v>205296.98900479311</v>
      </c>
      <c r="N64" s="1"/>
      <c r="O64" s="1"/>
      <c r="P64" s="1"/>
      <c r="Q64" s="1"/>
      <c r="R64" s="1"/>
      <c r="S64" s="1"/>
      <c r="T64" s="1"/>
      <c r="U64" s="1"/>
      <c r="V64" s="1"/>
      <c r="W64" s="1"/>
      <c r="X64" s="1"/>
      <c r="Y64" s="1"/>
      <c r="Z64" s="1"/>
      <c r="AA64" s="1"/>
      <c r="AB64" s="1"/>
      <c r="AC64" s="1"/>
      <c r="AD64" s="1"/>
      <c r="AE64" s="1"/>
      <c r="AF64" s="1"/>
    </row>
    <row r="65" spans="2:32" x14ac:dyDescent="0.25">
      <c r="B65" s="105">
        <v>12</v>
      </c>
      <c r="C65" s="1">
        <f>SIMULIMO!H75</f>
        <v>-193749.57722692442</v>
      </c>
      <c r="D65" s="1">
        <f>SIMULIMO!I75</f>
        <v>6308.255054922688</v>
      </c>
      <c r="E65" s="1">
        <f>SIMULIMO!J75</f>
        <v>6173.5209649067219</v>
      </c>
      <c r="F65" s="1">
        <f>SIMULIMO!K75</f>
        <v>6243.8855817454114</v>
      </c>
      <c r="G65" s="1">
        <f>SIMULIMO!L75</f>
        <v>6314.9409469613965</v>
      </c>
      <c r="H65" s="1">
        <f>SIMULIMO!M75</f>
        <v>6386.6937863061903</v>
      </c>
      <c r="I65" s="1">
        <f>SIMULIMO!N75</f>
        <v>6459.1508902282148</v>
      </c>
      <c r="J65" s="1">
        <f>SIMULIMO!O75</f>
        <v>6382.3191144836246</v>
      </c>
      <c r="K65" s="1">
        <f>SIMULIMO!P75</f>
        <v>6456.2053807528391</v>
      </c>
      <c r="L65" s="1">
        <f>SIMULIMO!Q75</f>
        <v>6530.8166772626682</v>
      </c>
      <c r="M65" s="1">
        <f>SIMULIMO!R75</f>
        <v>6501.1600594141582</v>
      </c>
      <c r="N65" s="107">
        <f>SIMULIMO!S69</f>
        <v>207065.41053907658</v>
      </c>
      <c r="O65" s="1"/>
      <c r="P65" s="1"/>
      <c r="Q65" s="1"/>
      <c r="R65" s="1"/>
      <c r="S65" s="1"/>
      <c r="T65" s="1"/>
      <c r="U65" s="1"/>
      <c r="V65" s="1"/>
      <c r="W65" s="1"/>
      <c r="X65" s="1"/>
      <c r="Y65" s="1"/>
      <c r="Z65" s="1"/>
      <c r="AA65" s="1"/>
      <c r="AB65" s="1"/>
      <c r="AC65" s="1"/>
      <c r="AD65" s="1"/>
      <c r="AE65" s="1"/>
      <c r="AF65" s="1"/>
    </row>
    <row r="66" spans="2:32" x14ac:dyDescent="0.25">
      <c r="B66" s="105">
        <v>13</v>
      </c>
      <c r="C66" s="1">
        <f>SIMULIMO!H75</f>
        <v>-193749.57722692442</v>
      </c>
      <c r="D66" s="1">
        <f>SIMULIMO!I75</f>
        <v>6308.255054922688</v>
      </c>
      <c r="E66" s="1">
        <f>SIMULIMO!J75</f>
        <v>6173.5209649067219</v>
      </c>
      <c r="F66" s="1">
        <f>SIMULIMO!K75</f>
        <v>6243.8855817454114</v>
      </c>
      <c r="G66" s="1">
        <f>SIMULIMO!L75</f>
        <v>6314.9409469613965</v>
      </c>
      <c r="H66" s="1">
        <f>SIMULIMO!M75</f>
        <v>6386.6937863061903</v>
      </c>
      <c r="I66" s="1">
        <f>SIMULIMO!N75</f>
        <v>6459.1508902282148</v>
      </c>
      <c r="J66" s="1">
        <f>SIMULIMO!O75</f>
        <v>6382.3191144836246</v>
      </c>
      <c r="K66" s="1">
        <f>SIMULIMO!P75</f>
        <v>6456.2053807528391</v>
      </c>
      <c r="L66" s="1">
        <f>SIMULIMO!Q75</f>
        <v>6530.8166772626682</v>
      </c>
      <c r="M66" s="1">
        <f>SIMULIMO!R75</f>
        <v>6501.1600594141582</v>
      </c>
      <c r="N66" s="1">
        <f>SIMULIMO!S75</f>
        <v>6577.2426504161567</v>
      </c>
      <c r="O66" s="107">
        <f>SIMULIMO!T69</f>
        <v>208871.19000411278</v>
      </c>
      <c r="P66" s="1"/>
      <c r="Q66" s="1"/>
      <c r="R66" s="1"/>
      <c r="S66" s="1"/>
      <c r="T66" s="1"/>
      <c r="U66" s="1"/>
      <c r="V66" s="1"/>
      <c r="W66" s="1"/>
      <c r="X66" s="1"/>
      <c r="Y66" s="1"/>
      <c r="Z66" s="1"/>
      <c r="AA66" s="1"/>
      <c r="AB66" s="1"/>
      <c r="AC66" s="1"/>
      <c r="AD66" s="1"/>
      <c r="AE66" s="1"/>
      <c r="AF66" s="1"/>
    </row>
    <row r="67" spans="2:32" x14ac:dyDescent="0.25">
      <c r="B67" s="105">
        <v>14</v>
      </c>
      <c r="C67" s="1">
        <f>SIMULIMO!H75</f>
        <v>-193749.57722692442</v>
      </c>
      <c r="D67" s="1">
        <f>SIMULIMO!I75</f>
        <v>6308.255054922688</v>
      </c>
      <c r="E67" s="1">
        <f>SIMULIMO!J75</f>
        <v>6173.5209649067219</v>
      </c>
      <c r="F67" s="1">
        <f>SIMULIMO!K75</f>
        <v>6243.8855817454114</v>
      </c>
      <c r="G67" s="1">
        <f>SIMULIMO!L75</f>
        <v>6314.9409469613965</v>
      </c>
      <c r="H67" s="1">
        <f>SIMULIMO!M75</f>
        <v>6386.6937863061903</v>
      </c>
      <c r="I67" s="1">
        <f>SIMULIMO!N75</f>
        <v>6459.1508902282148</v>
      </c>
      <c r="J67" s="1">
        <f>SIMULIMO!O75</f>
        <v>6382.3191144836246</v>
      </c>
      <c r="K67" s="1">
        <f>SIMULIMO!P75</f>
        <v>6456.2053807528391</v>
      </c>
      <c r="L67" s="1">
        <f>SIMULIMO!Q75</f>
        <v>6530.8166772626682</v>
      </c>
      <c r="M67" s="1">
        <f>SIMULIMO!R75</f>
        <v>6501.1600594141582</v>
      </c>
      <c r="N67" s="1">
        <f>SIMULIMO!S75</f>
        <v>6577.2426504161567</v>
      </c>
      <c r="O67" s="1">
        <f>SIMULIMO!T75</f>
        <v>6654.0716419247128</v>
      </c>
      <c r="P67" s="107">
        <f>SIMULIMO!U69</f>
        <v>210714.79812419723</v>
      </c>
      <c r="Q67" s="1"/>
      <c r="R67" s="1"/>
      <c r="S67" s="1"/>
      <c r="T67" s="1"/>
      <c r="U67" s="1"/>
      <c r="V67" s="1"/>
      <c r="W67" s="1"/>
      <c r="X67" s="1"/>
      <c r="Y67" s="1"/>
      <c r="Z67" s="1"/>
      <c r="AA67" s="1"/>
      <c r="AB67" s="1"/>
      <c r="AC67" s="1"/>
      <c r="AD67" s="1"/>
      <c r="AE67" s="1"/>
      <c r="AF67" s="1"/>
    </row>
    <row r="68" spans="2:32" x14ac:dyDescent="0.25">
      <c r="B68" s="105">
        <v>15</v>
      </c>
      <c r="C68" s="1">
        <f>SIMULIMO!H75</f>
        <v>-193749.57722692442</v>
      </c>
      <c r="D68" s="1">
        <f>SIMULIMO!I75</f>
        <v>6308.255054922688</v>
      </c>
      <c r="E68" s="1">
        <f>SIMULIMO!J75</f>
        <v>6173.5209649067219</v>
      </c>
      <c r="F68" s="1">
        <f>SIMULIMO!K75</f>
        <v>6243.8855817454114</v>
      </c>
      <c r="G68" s="1">
        <f>SIMULIMO!L75</f>
        <v>6314.9409469613965</v>
      </c>
      <c r="H68" s="1">
        <f>SIMULIMO!M75</f>
        <v>6386.6937863061903</v>
      </c>
      <c r="I68" s="1">
        <f>SIMULIMO!N75</f>
        <v>6459.1508902282148</v>
      </c>
      <c r="J68" s="1">
        <f>SIMULIMO!O75</f>
        <v>6382.3191144836246</v>
      </c>
      <c r="K68" s="1">
        <f>SIMULIMO!P75</f>
        <v>6456.2053807528391</v>
      </c>
      <c r="L68" s="1">
        <f>SIMULIMO!Q75</f>
        <v>6530.8166772626682</v>
      </c>
      <c r="M68" s="1">
        <f>SIMULIMO!R75</f>
        <v>6501.1600594141582</v>
      </c>
      <c r="N68" s="1">
        <f>SIMULIMO!S75</f>
        <v>6577.2426504161567</v>
      </c>
      <c r="O68" s="1">
        <f>SIMULIMO!T75</f>
        <v>6654.0716419247128</v>
      </c>
      <c r="P68" s="1">
        <f>SIMULIMO!U75</f>
        <v>6731.6542946883192</v>
      </c>
      <c r="Q68" s="107">
        <f>SIMULIMO!V69</f>
        <v>212596.71169965915</v>
      </c>
      <c r="R68" s="1"/>
      <c r="S68" s="1"/>
      <c r="T68" s="1"/>
      <c r="U68" s="1"/>
      <c r="V68" s="1"/>
      <c r="W68" s="1"/>
      <c r="X68" s="1"/>
      <c r="Y68" s="1"/>
      <c r="Z68" s="1"/>
      <c r="AA68" s="1"/>
      <c r="AB68" s="1"/>
      <c r="AC68" s="1"/>
      <c r="AD68" s="1"/>
      <c r="AE68" s="1"/>
      <c r="AF68" s="1"/>
    </row>
    <row r="69" spans="2:32" x14ac:dyDescent="0.25">
      <c r="B69" s="105">
        <v>16</v>
      </c>
      <c r="C69" s="1">
        <f>SIMULIMO!H75</f>
        <v>-193749.57722692442</v>
      </c>
      <c r="D69" s="1">
        <f>SIMULIMO!I75</f>
        <v>6308.255054922688</v>
      </c>
      <c r="E69" s="1">
        <f>SIMULIMO!J75</f>
        <v>6173.5209649067219</v>
      </c>
      <c r="F69" s="1">
        <f>SIMULIMO!K75</f>
        <v>6243.8855817454114</v>
      </c>
      <c r="G69" s="1">
        <f>SIMULIMO!L75</f>
        <v>6314.9409469613965</v>
      </c>
      <c r="H69" s="1">
        <f>SIMULIMO!M75</f>
        <v>6386.6937863061903</v>
      </c>
      <c r="I69" s="1">
        <f>SIMULIMO!N75</f>
        <v>6459.1508902282148</v>
      </c>
      <c r="J69" s="1">
        <f>SIMULIMO!O75</f>
        <v>6382.3191144836246</v>
      </c>
      <c r="K69" s="1">
        <f>SIMULIMO!P75</f>
        <v>6456.2053807528391</v>
      </c>
      <c r="L69" s="1">
        <f>SIMULIMO!Q75</f>
        <v>6530.8166772626682</v>
      </c>
      <c r="M69" s="1">
        <f>SIMULIMO!R75</f>
        <v>6501.1600594141582</v>
      </c>
      <c r="N69" s="1">
        <f>SIMULIMO!S75</f>
        <v>6577.2426504161567</v>
      </c>
      <c r="O69" s="1">
        <f>SIMULIMO!T75</f>
        <v>6654.0716419247128</v>
      </c>
      <c r="P69" s="1">
        <f>SIMULIMO!U75</f>
        <v>6731.6542946883192</v>
      </c>
      <c r="Q69" s="1">
        <f>SIMULIMO!V75</f>
        <v>6809.9979391990119</v>
      </c>
      <c r="R69" s="107">
        <f>SIMULIMO!W69</f>
        <v>214517.41368690832</v>
      </c>
      <c r="S69" s="1"/>
      <c r="T69" s="1"/>
      <c r="U69" s="1"/>
      <c r="V69" s="1"/>
      <c r="W69" s="1"/>
      <c r="X69" s="1"/>
      <c r="Y69" s="1"/>
      <c r="Z69" s="1"/>
      <c r="AA69" s="1"/>
      <c r="AB69" s="1"/>
      <c r="AC69" s="1"/>
      <c r="AD69" s="1"/>
      <c r="AE69" s="1"/>
      <c r="AF69" s="1"/>
    </row>
    <row r="70" spans="2:32" x14ac:dyDescent="0.25">
      <c r="B70" s="105">
        <v>17</v>
      </c>
      <c r="C70" s="1">
        <f>SIMULIMO!H75</f>
        <v>-193749.57722692442</v>
      </c>
      <c r="D70" s="1">
        <f>SIMULIMO!I75</f>
        <v>6308.255054922688</v>
      </c>
      <c r="E70" s="1">
        <f>SIMULIMO!J75</f>
        <v>6173.5209649067219</v>
      </c>
      <c r="F70" s="1">
        <f>SIMULIMO!K75</f>
        <v>6243.8855817454114</v>
      </c>
      <c r="G70" s="1">
        <f>SIMULIMO!L75</f>
        <v>6314.9409469613965</v>
      </c>
      <c r="H70" s="1">
        <f>SIMULIMO!M75</f>
        <v>6386.6937863061903</v>
      </c>
      <c r="I70" s="1">
        <f>SIMULIMO!N75</f>
        <v>6459.1508902282148</v>
      </c>
      <c r="J70" s="1">
        <f>SIMULIMO!O75</f>
        <v>6382.3191144836246</v>
      </c>
      <c r="K70" s="1">
        <f>SIMULIMO!P75</f>
        <v>6456.2053807528391</v>
      </c>
      <c r="L70" s="1">
        <f>SIMULIMO!Q75</f>
        <v>6530.8166772626682</v>
      </c>
      <c r="M70" s="1">
        <f>SIMULIMO!R75</f>
        <v>6501.1600594141582</v>
      </c>
      <c r="N70" s="1">
        <f>SIMULIMO!S75</f>
        <v>6577.2426504161567</v>
      </c>
      <c r="O70" s="1">
        <f>SIMULIMO!T75</f>
        <v>6654.0716419247128</v>
      </c>
      <c r="P70" s="1">
        <f>SIMULIMO!U75</f>
        <v>6731.6542946883192</v>
      </c>
      <c r="Q70" s="1">
        <f>SIMULIMO!V75</f>
        <v>6809.9979391990119</v>
      </c>
      <c r="R70" s="1">
        <f>SIMULIMO!W75</f>
        <v>6889.1099763494813</v>
      </c>
      <c r="S70" s="107">
        <f>SIMULIMO!X69</f>
        <v>216477.39327955391</v>
      </c>
      <c r="T70" s="1"/>
      <c r="U70" s="1"/>
      <c r="V70" s="1"/>
      <c r="W70" s="1"/>
      <c r="X70" s="1"/>
      <c r="Y70" s="1"/>
      <c r="Z70" s="1"/>
      <c r="AA70" s="1"/>
      <c r="AB70" s="1"/>
      <c r="AC70" s="1"/>
      <c r="AD70" s="1"/>
      <c r="AE70" s="1"/>
      <c r="AF70" s="1"/>
    </row>
    <row r="71" spans="2:32" x14ac:dyDescent="0.25">
      <c r="B71" s="105">
        <v>18</v>
      </c>
      <c r="C71" s="1">
        <f>SIMULIMO!H75</f>
        <v>-193749.57722692442</v>
      </c>
      <c r="D71" s="1">
        <f>SIMULIMO!I75</f>
        <v>6308.255054922688</v>
      </c>
      <c r="E71" s="1">
        <f>SIMULIMO!J75</f>
        <v>6173.5209649067219</v>
      </c>
      <c r="F71" s="1">
        <f>SIMULIMO!K75</f>
        <v>6243.8855817454114</v>
      </c>
      <c r="G71" s="1">
        <f>SIMULIMO!L75</f>
        <v>6314.9409469613965</v>
      </c>
      <c r="H71" s="1">
        <f>SIMULIMO!M75</f>
        <v>6386.6937863061903</v>
      </c>
      <c r="I71" s="1">
        <f>SIMULIMO!N75</f>
        <v>6459.1508902282148</v>
      </c>
      <c r="J71" s="1">
        <f>SIMULIMO!O75</f>
        <v>6382.3191144836246</v>
      </c>
      <c r="K71" s="1">
        <f>SIMULIMO!P75</f>
        <v>6456.2053807528391</v>
      </c>
      <c r="L71" s="1">
        <f>SIMULIMO!Q75</f>
        <v>6530.8166772626682</v>
      </c>
      <c r="M71" s="1">
        <f>SIMULIMO!R75</f>
        <v>6501.1600594141582</v>
      </c>
      <c r="N71" s="1">
        <f>SIMULIMO!S75</f>
        <v>6577.2426504161567</v>
      </c>
      <c r="O71" s="1">
        <f>SIMULIMO!T75</f>
        <v>6654.0716419247128</v>
      </c>
      <c r="P71" s="1">
        <f>SIMULIMO!U75</f>
        <v>6731.6542946883192</v>
      </c>
      <c r="Q71" s="1">
        <f>SIMULIMO!V75</f>
        <v>6809.9979391990119</v>
      </c>
      <c r="R71" s="1">
        <f>SIMULIMO!W75</f>
        <v>6889.1099763494813</v>
      </c>
      <c r="S71" s="1">
        <f>SIMULIMO!X75</f>
        <v>6968.997878096151</v>
      </c>
      <c r="T71" s="107">
        <f>SIMULIMO!Y69</f>
        <v>218477.14599061076</v>
      </c>
      <c r="U71" s="1"/>
      <c r="V71" s="1"/>
      <c r="W71" s="1"/>
      <c r="X71" s="1"/>
      <c r="Y71" s="1"/>
      <c r="Z71" s="1"/>
      <c r="AA71" s="1"/>
      <c r="AB71" s="1"/>
      <c r="AC71" s="1"/>
      <c r="AD71" s="1"/>
      <c r="AE71" s="1"/>
      <c r="AF71" s="1"/>
    </row>
    <row r="72" spans="2:32" x14ac:dyDescent="0.25">
      <c r="B72" s="105">
        <v>19</v>
      </c>
      <c r="C72" s="1">
        <f>SIMULIMO!H75</f>
        <v>-193749.57722692442</v>
      </c>
      <c r="D72" s="1">
        <f>SIMULIMO!I75</f>
        <v>6308.255054922688</v>
      </c>
      <c r="E72" s="1">
        <f>SIMULIMO!J75</f>
        <v>6173.5209649067219</v>
      </c>
      <c r="F72" s="1">
        <f>SIMULIMO!K75</f>
        <v>6243.8855817454114</v>
      </c>
      <c r="G72" s="1">
        <f>SIMULIMO!L75</f>
        <v>6314.9409469613965</v>
      </c>
      <c r="H72" s="1">
        <f>SIMULIMO!M75</f>
        <v>6386.6937863061903</v>
      </c>
      <c r="I72" s="1">
        <f>SIMULIMO!N75</f>
        <v>6459.1508902282148</v>
      </c>
      <c r="J72" s="1">
        <f>SIMULIMO!O75</f>
        <v>6382.3191144836246</v>
      </c>
      <c r="K72" s="1">
        <f>SIMULIMO!P75</f>
        <v>6456.2053807528391</v>
      </c>
      <c r="L72" s="1">
        <f>SIMULIMO!Q75</f>
        <v>6530.8166772626682</v>
      </c>
      <c r="M72" s="1">
        <f>SIMULIMO!R75</f>
        <v>6501.1600594141582</v>
      </c>
      <c r="N72" s="1">
        <f>SIMULIMO!S75</f>
        <v>6577.2426504161567</v>
      </c>
      <c r="O72" s="1">
        <f>SIMULIMO!T75</f>
        <v>6654.0716419247128</v>
      </c>
      <c r="P72" s="1">
        <f>SIMULIMO!U75</f>
        <v>6731.6542946883192</v>
      </c>
      <c r="Q72" s="1">
        <f>SIMULIMO!V75</f>
        <v>6809.9979391990119</v>
      </c>
      <c r="R72" s="1">
        <f>SIMULIMO!W75</f>
        <v>6889.1099763494813</v>
      </c>
      <c r="S72" s="1">
        <f>SIMULIMO!X75</f>
        <v>6968.997878096151</v>
      </c>
      <c r="T72" s="1">
        <f>SIMULIMO!Y75</f>
        <v>7049.6691881283032</v>
      </c>
      <c r="U72" s="107">
        <f>SIMULIMO!Z69</f>
        <v>220517.17373580628</v>
      </c>
      <c r="V72" s="1"/>
      <c r="W72" s="1"/>
      <c r="X72" s="1"/>
      <c r="Y72" s="1"/>
      <c r="Z72" s="1"/>
      <c r="AA72" s="1"/>
      <c r="AB72" s="1"/>
      <c r="AC72" s="1"/>
      <c r="AD72" s="1"/>
      <c r="AE72" s="1"/>
      <c r="AF72" s="1"/>
    </row>
    <row r="73" spans="2:32" x14ac:dyDescent="0.25">
      <c r="B73" s="105">
        <v>20</v>
      </c>
      <c r="C73" s="1">
        <f>SIMULIMO!H75</f>
        <v>-193749.57722692442</v>
      </c>
      <c r="D73" s="1">
        <f>SIMULIMO!I75</f>
        <v>6308.255054922688</v>
      </c>
      <c r="E73" s="1">
        <f>SIMULIMO!J75</f>
        <v>6173.5209649067219</v>
      </c>
      <c r="F73" s="1">
        <f>SIMULIMO!K75</f>
        <v>6243.8855817454114</v>
      </c>
      <c r="G73" s="1">
        <f>SIMULIMO!L75</f>
        <v>6314.9409469613965</v>
      </c>
      <c r="H73" s="1">
        <f>SIMULIMO!M75</f>
        <v>6386.6937863061903</v>
      </c>
      <c r="I73" s="1">
        <f>SIMULIMO!N75</f>
        <v>6459.1508902282148</v>
      </c>
      <c r="J73" s="1">
        <f>SIMULIMO!O75</f>
        <v>6382.3191144836246</v>
      </c>
      <c r="K73" s="1">
        <f>SIMULIMO!P75</f>
        <v>6456.2053807528391</v>
      </c>
      <c r="L73" s="1">
        <f>SIMULIMO!Q75</f>
        <v>6530.8166772626682</v>
      </c>
      <c r="M73" s="1">
        <f>SIMULIMO!R75</f>
        <v>6501.1600594141582</v>
      </c>
      <c r="N73" s="1">
        <f>SIMULIMO!S75</f>
        <v>6577.2426504161567</v>
      </c>
      <c r="O73" s="1">
        <f>SIMULIMO!T75</f>
        <v>6654.0716419247128</v>
      </c>
      <c r="P73" s="1">
        <f>SIMULIMO!U75</f>
        <v>6731.6542946883192</v>
      </c>
      <c r="Q73" s="1">
        <f>SIMULIMO!V75</f>
        <v>6809.9979391990119</v>
      </c>
      <c r="R73" s="1">
        <f>SIMULIMO!W75</f>
        <v>6889.1099763494813</v>
      </c>
      <c r="S73" s="1">
        <f>SIMULIMO!X75</f>
        <v>6968.997878096151</v>
      </c>
      <c r="T73" s="1">
        <f>SIMULIMO!Y75</f>
        <v>7049.6691881283032</v>
      </c>
      <c r="U73" s="1">
        <f>SIMULIMO!Z75</f>
        <v>7131.13152254334</v>
      </c>
      <c r="V73" s="107">
        <f>SIMULIMO!AA69</f>
        <v>222597.98491800466</v>
      </c>
      <c r="W73" s="1"/>
      <c r="X73" s="1"/>
      <c r="Y73" s="1"/>
      <c r="Z73" s="1"/>
      <c r="AA73" s="1"/>
      <c r="AB73" s="1"/>
      <c r="AC73" s="1"/>
      <c r="AD73" s="1"/>
      <c r="AE73" s="1"/>
      <c r="AF73" s="1"/>
    </row>
    <row r="74" spans="2:32" x14ac:dyDescent="0.25">
      <c r="B74" s="105">
        <v>21</v>
      </c>
      <c r="C74" s="1">
        <f>SIMULIMO!H75</f>
        <v>-193749.57722692442</v>
      </c>
      <c r="D74" s="1">
        <f>SIMULIMO!I75</f>
        <v>6308.255054922688</v>
      </c>
      <c r="E74" s="1">
        <f>SIMULIMO!J75</f>
        <v>6173.5209649067219</v>
      </c>
      <c r="F74" s="1">
        <f>SIMULIMO!K75</f>
        <v>6243.8855817454114</v>
      </c>
      <c r="G74" s="1">
        <f>SIMULIMO!L75</f>
        <v>6314.9409469613965</v>
      </c>
      <c r="H74" s="1">
        <f>SIMULIMO!M75</f>
        <v>6386.6937863061903</v>
      </c>
      <c r="I74" s="1">
        <f>SIMULIMO!N75</f>
        <v>6459.1508902282148</v>
      </c>
      <c r="J74" s="1">
        <f>SIMULIMO!O75</f>
        <v>6382.3191144836246</v>
      </c>
      <c r="K74" s="1">
        <f>SIMULIMO!P75</f>
        <v>6456.2053807528391</v>
      </c>
      <c r="L74" s="1">
        <f>SIMULIMO!Q75</f>
        <v>6530.8166772626682</v>
      </c>
      <c r="M74" s="1">
        <f>SIMULIMO!R75</f>
        <v>6501.1600594141582</v>
      </c>
      <c r="N74" s="1">
        <f>SIMULIMO!S75</f>
        <v>6577.2426504161567</v>
      </c>
      <c r="O74" s="1">
        <f>SIMULIMO!T75</f>
        <v>6654.0716419247128</v>
      </c>
      <c r="P74" s="1">
        <f>SIMULIMO!U75</f>
        <v>6731.6542946883192</v>
      </c>
      <c r="Q74" s="1">
        <f>SIMULIMO!V75</f>
        <v>6809.9979391990119</v>
      </c>
      <c r="R74" s="1">
        <f>SIMULIMO!W75</f>
        <v>6889.1099763494813</v>
      </c>
      <c r="S74" s="1">
        <f>SIMULIMO!X75</f>
        <v>6968.997878096151</v>
      </c>
      <c r="T74" s="1">
        <f>SIMULIMO!Y75</f>
        <v>7049.6691881283032</v>
      </c>
      <c r="U74" s="1">
        <f>SIMULIMO!Z75</f>
        <v>7131.13152254334</v>
      </c>
      <c r="V74" s="1">
        <f>SIMULIMO!AA75</f>
        <v>7213.392570528179</v>
      </c>
      <c r="W74" s="107">
        <f>SIMULIMO!AB69</f>
        <v>224720.09451276209</v>
      </c>
      <c r="X74" s="1"/>
      <c r="Y74" s="1"/>
      <c r="Z74" s="1"/>
      <c r="AA74" s="1"/>
      <c r="AB74" s="1"/>
      <c r="AC74" s="1"/>
      <c r="AD74" s="1"/>
      <c r="AE74" s="1"/>
      <c r="AF74" s="1"/>
    </row>
    <row r="75" spans="2:32" x14ac:dyDescent="0.25">
      <c r="B75" s="105">
        <v>22</v>
      </c>
      <c r="C75" s="1">
        <f>SIMULIMO!H75</f>
        <v>-193749.57722692442</v>
      </c>
      <c r="D75" s="1">
        <f>SIMULIMO!I75</f>
        <v>6308.255054922688</v>
      </c>
      <c r="E75" s="1">
        <f>SIMULIMO!J75</f>
        <v>6173.5209649067219</v>
      </c>
      <c r="F75" s="1">
        <f>SIMULIMO!K75</f>
        <v>6243.8855817454114</v>
      </c>
      <c r="G75" s="1">
        <f>SIMULIMO!L75</f>
        <v>6314.9409469613965</v>
      </c>
      <c r="H75" s="1">
        <f>SIMULIMO!M75</f>
        <v>6386.6937863061903</v>
      </c>
      <c r="I75" s="1">
        <f>SIMULIMO!N75</f>
        <v>6459.1508902282148</v>
      </c>
      <c r="J75" s="1">
        <f>SIMULIMO!O75</f>
        <v>6382.3191144836246</v>
      </c>
      <c r="K75" s="1">
        <f>SIMULIMO!P75</f>
        <v>6456.2053807528391</v>
      </c>
      <c r="L75" s="1">
        <f>SIMULIMO!Q75</f>
        <v>6530.8166772626682</v>
      </c>
      <c r="M75" s="1">
        <f>SIMULIMO!R75</f>
        <v>6501.1600594141582</v>
      </c>
      <c r="N75" s="1">
        <f>SIMULIMO!S75</f>
        <v>6577.2426504161567</v>
      </c>
      <c r="O75" s="1">
        <f>SIMULIMO!T75</f>
        <v>6654.0716419247128</v>
      </c>
      <c r="P75" s="1">
        <f>SIMULIMO!U75</f>
        <v>6731.6542946883192</v>
      </c>
      <c r="Q75" s="1">
        <f>SIMULIMO!V75</f>
        <v>6809.9979391990119</v>
      </c>
      <c r="R75" s="1">
        <f>SIMULIMO!W75</f>
        <v>6889.1099763494813</v>
      </c>
      <c r="S75" s="1">
        <f>SIMULIMO!X75</f>
        <v>6968.997878096151</v>
      </c>
      <c r="T75" s="1">
        <f>SIMULIMO!Y75</f>
        <v>7049.6691881283032</v>
      </c>
      <c r="U75" s="1">
        <f>SIMULIMO!Z75</f>
        <v>7131.13152254334</v>
      </c>
      <c r="V75" s="1">
        <f>SIMULIMO!AA75</f>
        <v>7213.392570528179</v>
      </c>
      <c r="W75" s="1">
        <f>SIMULIMO!AB75</f>
        <v>7296.4600950468775</v>
      </c>
      <c r="X75" s="107">
        <f>SIMULIMO!AC69</f>
        <v>226884.02415502942</v>
      </c>
      <c r="Y75" s="1"/>
      <c r="Z75" s="1"/>
      <c r="AA75" s="1"/>
      <c r="AB75" s="1"/>
      <c r="AC75" s="1"/>
      <c r="AD75" s="1"/>
      <c r="AE75" s="1"/>
      <c r="AF75" s="1"/>
    </row>
    <row r="76" spans="2:32" x14ac:dyDescent="0.25">
      <c r="B76" s="105">
        <v>23</v>
      </c>
      <c r="C76" s="1">
        <f>SIMULIMO!H75</f>
        <v>-193749.57722692442</v>
      </c>
      <c r="D76" s="1">
        <f>SIMULIMO!I75</f>
        <v>6308.255054922688</v>
      </c>
      <c r="E76" s="1">
        <f>SIMULIMO!J75</f>
        <v>6173.5209649067219</v>
      </c>
      <c r="F76" s="1">
        <f>SIMULIMO!K75</f>
        <v>6243.8855817454114</v>
      </c>
      <c r="G76" s="1">
        <f>SIMULIMO!L75</f>
        <v>6314.9409469613965</v>
      </c>
      <c r="H76" s="1">
        <f>SIMULIMO!M75</f>
        <v>6386.6937863061903</v>
      </c>
      <c r="I76" s="1">
        <f>SIMULIMO!N75</f>
        <v>6459.1508902282148</v>
      </c>
      <c r="J76" s="1">
        <f>SIMULIMO!O75</f>
        <v>6382.3191144836246</v>
      </c>
      <c r="K76" s="1">
        <f>SIMULIMO!P75</f>
        <v>6456.2053807528391</v>
      </c>
      <c r="L76" s="1">
        <f>SIMULIMO!Q75</f>
        <v>6530.8166772626682</v>
      </c>
      <c r="M76" s="1">
        <f>SIMULIMO!R75</f>
        <v>6501.1600594141582</v>
      </c>
      <c r="N76" s="1">
        <f>SIMULIMO!S75</f>
        <v>6577.2426504161567</v>
      </c>
      <c r="O76" s="1">
        <f>SIMULIMO!T75</f>
        <v>6654.0716419247128</v>
      </c>
      <c r="P76" s="1">
        <f>SIMULIMO!U75</f>
        <v>6731.6542946883192</v>
      </c>
      <c r="Q76" s="1">
        <f>SIMULIMO!V75</f>
        <v>6809.9979391990119</v>
      </c>
      <c r="R76" s="1">
        <f>SIMULIMO!W75</f>
        <v>6889.1099763494813</v>
      </c>
      <c r="S76" s="1">
        <f>SIMULIMO!X75</f>
        <v>6968.997878096151</v>
      </c>
      <c r="T76" s="1">
        <f>SIMULIMO!Y75</f>
        <v>7049.6691881283032</v>
      </c>
      <c r="U76" s="1">
        <f>SIMULIMO!Z75</f>
        <v>7131.13152254334</v>
      </c>
      <c r="V76" s="1">
        <f>SIMULIMO!AA75</f>
        <v>7213.392570528179</v>
      </c>
      <c r="W76" s="1">
        <f>SIMULIMO!AB75</f>
        <v>7296.4600950468775</v>
      </c>
      <c r="X76" s="1">
        <f>SIMULIMO!AC75</f>
        <v>7380.3419335345143</v>
      </c>
      <c r="Y76" s="107">
        <f>SIMULIMO!AD69</f>
        <v>229090.3022270168</v>
      </c>
      <c r="Z76" s="1"/>
      <c r="AA76" s="1"/>
      <c r="AB76" s="1"/>
      <c r="AC76" s="1"/>
      <c r="AD76" s="1"/>
      <c r="AE76" s="1"/>
      <c r="AF76" s="1"/>
    </row>
    <row r="77" spans="2:32" x14ac:dyDescent="0.25">
      <c r="B77" s="105">
        <v>24</v>
      </c>
      <c r="C77" s="1">
        <f>SIMULIMO!H75</f>
        <v>-193749.57722692442</v>
      </c>
      <c r="D77" s="1">
        <f>SIMULIMO!I75</f>
        <v>6308.255054922688</v>
      </c>
      <c r="E77" s="1">
        <f>SIMULIMO!J75</f>
        <v>6173.5209649067219</v>
      </c>
      <c r="F77" s="1">
        <f>SIMULIMO!K75</f>
        <v>6243.8855817454114</v>
      </c>
      <c r="G77" s="1">
        <f>SIMULIMO!L75</f>
        <v>6314.9409469613965</v>
      </c>
      <c r="H77" s="1">
        <f>SIMULIMO!M75</f>
        <v>6386.6937863061903</v>
      </c>
      <c r="I77" s="1">
        <f>SIMULIMO!N75</f>
        <v>6459.1508902282148</v>
      </c>
      <c r="J77" s="1">
        <f>SIMULIMO!O75</f>
        <v>6382.3191144836246</v>
      </c>
      <c r="K77" s="1">
        <f>SIMULIMO!P75</f>
        <v>6456.2053807528391</v>
      </c>
      <c r="L77" s="1">
        <f>SIMULIMO!Q75</f>
        <v>6530.8166772626682</v>
      </c>
      <c r="M77" s="1">
        <f>SIMULIMO!R75</f>
        <v>6501.1600594141582</v>
      </c>
      <c r="N77" s="1">
        <f>SIMULIMO!S75</f>
        <v>6577.2426504161567</v>
      </c>
      <c r="O77" s="1">
        <f>SIMULIMO!T75</f>
        <v>6654.0716419247128</v>
      </c>
      <c r="P77" s="1">
        <f>SIMULIMO!U75</f>
        <v>6731.6542946883192</v>
      </c>
      <c r="Q77" s="1">
        <f>SIMULIMO!V75</f>
        <v>6809.9979391990119</v>
      </c>
      <c r="R77" s="1">
        <f>SIMULIMO!W75</f>
        <v>6889.1099763494813</v>
      </c>
      <c r="S77" s="1">
        <f>SIMULIMO!X75</f>
        <v>6968.997878096151</v>
      </c>
      <c r="T77" s="1">
        <f>SIMULIMO!Y75</f>
        <v>7049.6691881283032</v>
      </c>
      <c r="U77" s="1">
        <f>SIMULIMO!Z75</f>
        <v>7131.13152254334</v>
      </c>
      <c r="V77" s="1">
        <f>SIMULIMO!AA75</f>
        <v>7213.392570528179</v>
      </c>
      <c r="W77" s="1">
        <f>SIMULIMO!AB75</f>
        <v>7296.4600950468775</v>
      </c>
      <c r="X77" s="1">
        <f>SIMULIMO!AC75</f>
        <v>7380.3419335345143</v>
      </c>
      <c r="Y77" s="1">
        <f>SIMULIMO!AD75</f>
        <v>7465.0459985973948</v>
      </c>
      <c r="Z77" s="107">
        <f>SIMULIMO!AE69</f>
        <v>231339.46394723779</v>
      </c>
      <c r="AA77" s="1"/>
      <c r="AB77" s="1"/>
      <c r="AC77" s="1"/>
      <c r="AD77" s="1"/>
      <c r="AE77" s="1"/>
      <c r="AF77" s="1"/>
    </row>
    <row r="78" spans="2:32" x14ac:dyDescent="0.25">
      <c r="B78" s="105">
        <v>25</v>
      </c>
      <c r="C78" s="1">
        <f>SIMULIMO!H75</f>
        <v>-193749.57722692442</v>
      </c>
      <c r="D78" s="1">
        <f>SIMULIMO!I75</f>
        <v>6308.255054922688</v>
      </c>
      <c r="E78" s="1">
        <f>SIMULIMO!J75</f>
        <v>6173.5209649067219</v>
      </c>
      <c r="F78" s="1">
        <f>SIMULIMO!K75</f>
        <v>6243.8855817454114</v>
      </c>
      <c r="G78" s="1">
        <f>SIMULIMO!L75</f>
        <v>6314.9409469613965</v>
      </c>
      <c r="H78" s="1">
        <f>SIMULIMO!M75</f>
        <v>6386.6937863061903</v>
      </c>
      <c r="I78" s="1">
        <f>SIMULIMO!N75</f>
        <v>6459.1508902282148</v>
      </c>
      <c r="J78" s="1">
        <f>SIMULIMO!O75</f>
        <v>6382.3191144836246</v>
      </c>
      <c r="K78" s="1">
        <f>SIMULIMO!P75</f>
        <v>6456.2053807528391</v>
      </c>
      <c r="L78" s="1">
        <f>SIMULIMO!Q75</f>
        <v>6530.8166772626682</v>
      </c>
      <c r="M78" s="1">
        <f>SIMULIMO!R75</f>
        <v>6501.1600594141582</v>
      </c>
      <c r="N78" s="1">
        <f>SIMULIMO!S75</f>
        <v>6577.2426504161567</v>
      </c>
      <c r="O78" s="1">
        <f>SIMULIMO!T75</f>
        <v>6654.0716419247128</v>
      </c>
      <c r="P78" s="1">
        <f>SIMULIMO!U75</f>
        <v>6731.6542946883192</v>
      </c>
      <c r="Q78" s="1">
        <f>SIMULIMO!V75</f>
        <v>6809.9979391990119</v>
      </c>
      <c r="R78" s="1">
        <f>SIMULIMO!W75</f>
        <v>6889.1099763494813</v>
      </c>
      <c r="S78" s="1">
        <f>SIMULIMO!X75</f>
        <v>6968.997878096151</v>
      </c>
      <c r="T78" s="1">
        <f>SIMULIMO!Y75</f>
        <v>7049.6691881283032</v>
      </c>
      <c r="U78" s="1">
        <f>SIMULIMO!Z75</f>
        <v>7131.13152254334</v>
      </c>
      <c r="V78" s="1">
        <f>SIMULIMO!AA75</f>
        <v>7213.392570528179</v>
      </c>
      <c r="W78" s="1">
        <f>SIMULIMO!AB75</f>
        <v>7296.4600950468775</v>
      </c>
      <c r="X78" s="1">
        <f>SIMULIMO!AC75</f>
        <v>7380.3419335345143</v>
      </c>
      <c r="Y78" s="1">
        <f>SIMULIMO!AD75</f>
        <v>7465.0459985973948</v>
      </c>
      <c r="Z78" s="1">
        <f>SIMULIMO!AE75</f>
        <v>7550.5802787196235</v>
      </c>
      <c r="AA78" s="107">
        <f>SIMULIMO!AF69</f>
        <v>233632.05146074644</v>
      </c>
      <c r="AB78" s="1"/>
      <c r="AC78" s="1"/>
      <c r="AD78" s="1"/>
      <c r="AE78" s="1"/>
      <c r="AF78" s="1"/>
    </row>
    <row r="79" spans="2:32" x14ac:dyDescent="0.25">
      <c r="B79" s="105">
        <v>26</v>
      </c>
      <c r="C79" s="1">
        <f>SIMULIMO!H75</f>
        <v>-193749.57722692442</v>
      </c>
      <c r="D79" s="1">
        <f>SIMULIMO!I75</f>
        <v>6308.255054922688</v>
      </c>
      <c r="E79" s="1">
        <f>SIMULIMO!J75</f>
        <v>6173.5209649067219</v>
      </c>
      <c r="F79" s="1">
        <f>SIMULIMO!K75</f>
        <v>6243.8855817454114</v>
      </c>
      <c r="G79" s="1">
        <f>SIMULIMO!L75</f>
        <v>6314.9409469613965</v>
      </c>
      <c r="H79" s="1">
        <f>SIMULIMO!M75</f>
        <v>6386.6937863061903</v>
      </c>
      <c r="I79" s="1">
        <f>SIMULIMO!N75</f>
        <v>6459.1508902282148</v>
      </c>
      <c r="J79" s="1">
        <f>SIMULIMO!O75</f>
        <v>6382.3191144836246</v>
      </c>
      <c r="K79" s="1">
        <f>SIMULIMO!P75</f>
        <v>6456.2053807528391</v>
      </c>
      <c r="L79" s="1">
        <f>SIMULIMO!Q75</f>
        <v>6530.8166772626682</v>
      </c>
      <c r="M79" s="1">
        <f>SIMULIMO!R75</f>
        <v>6501.1600594141582</v>
      </c>
      <c r="N79" s="1">
        <f>SIMULIMO!S75</f>
        <v>6577.2426504161567</v>
      </c>
      <c r="O79" s="1">
        <f>SIMULIMO!T75</f>
        <v>6654.0716419247128</v>
      </c>
      <c r="P79" s="1">
        <f>SIMULIMO!U75</f>
        <v>6731.6542946883192</v>
      </c>
      <c r="Q79" s="1">
        <f>SIMULIMO!V75</f>
        <v>6809.9979391990119</v>
      </c>
      <c r="R79" s="1">
        <f>SIMULIMO!W75</f>
        <v>6889.1099763494813</v>
      </c>
      <c r="S79" s="1">
        <f>SIMULIMO!X75</f>
        <v>6968.997878096151</v>
      </c>
      <c r="T79" s="1">
        <f>SIMULIMO!Y75</f>
        <v>7049.6691881283032</v>
      </c>
      <c r="U79" s="1">
        <f>SIMULIMO!Z75</f>
        <v>7131.13152254334</v>
      </c>
      <c r="V79" s="1">
        <f>SIMULIMO!AA75</f>
        <v>7213.392570528179</v>
      </c>
      <c r="W79" s="1">
        <f>SIMULIMO!AB75</f>
        <v>7296.4600950468775</v>
      </c>
      <c r="X79" s="1">
        <f>SIMULIMO!AC75</f>
        <v>7380.3419335345143</v>
      </c>
      <c r="Y79" s="1">
        <f>SIMULIMO!AD75</f>
        <v>7465.0459985973948</v>
      </c>
      <c r="Z79" s="1">
        <f>SIMULIMO!AE75</f>
        <v>7550.5802787196235</v>
      </c>
      <c r="AA79" s="1">
        <f>SIMULIMO!AF75</f>
        <v>7636.9528389761244</v>
      </c>
      <c r="AB79" s="107">
        <f>SIMULIMO!AG69</f>
        <v>235990.17463100349</v>
      </c>
      <c r="AC79" s="1"/>
      <c r="AD79" s="1"/>
      <c r="AE79" s="1"/>
      <c r="AF79" s="1"/>
    </row>
    <row r="80" spans="2:32" x14ac:dyDescent="0.25">
      <c r="B80" s="105">
        <v>27</v>
      </c>
      <c r="C80" s="1">
        <f>SIMULIMO!H75</f>
        <v>-193749.57722692442</v>
      </c>
      <c r="D80" s="1">
        <f>SIMULIMO!I75</f>
        <v>6308.255054922688</v>
      </c>
      <c r="E80" s="1">
        <f>SIMULIMO!J75</f>
        <v>6173.5209649067219</v>
      </c>
      <c r="F80" s="1">
        <f>SIMULIMO!K75</f>
        <v>6243.8855817454114</v>
      </c>
      <c r="G80" s="1">
        <f>SIMULIMO!L75</f>
        <v>6314.9409469613965</v>
      </c>
      <c r="H80" s="1">
        <f>SIMULIMO!M75</f>
        <v>6386.6937863061903</v>
      </c>
      <c r="I80" s="1">
        <f>SIMULIMO!N75</f>
        <v>6459.1508902282148</v>
      </c>
      <c r="J80" s="1">
        <f>SIMULIMO!O75</f>
        <v>6382.3191144836246</v>
      </c>
      <c r="K80" s="1">
        <f>SIMULIMO!P75</f>
        <v>6456.2053807528391</v>
      </c>
      <c r="L80" s="1">
        <f>SIMULIMO!Q75</f>
        <v>6530.8166772626682</v>
      </c>
      <c r="M80" s="1">
        <f>SIMULIMO!R75</f>
        <v>6501.1600594141582</v>
      </c>
      <c r="N80" s="1">
        <f>SIMULIMO!S75</f>
        <v>6577.2426504161567</v>
      </c>
      <c r="O80" s="1">
        <f>SIMULIMO!T75</f>
        <v>6654.0716419247128</v>
      </c>
      <c r="P80" s="1">
        <f>SIMULIMO!U75</f>
        <v>6731.6542946883192</v>
      </c>
      <c r="Q80" s="1">
        <f>SIMULIMO!V75</f>
        <v>6809.9979391990119</v>
      </c>
      <c r="R80" s="1">
        <f>SIMULIMO!W75</f>
        <v>6889.1099763494813</v>
      </c>
      <c r="S80" s="1">
        <f>SIMULIMO!X75</f>
        <v>6968.997878096151</v>
      </c>
      <c r="T80" s="1">
        <f>SIMULIMO!Y75</f>
        <v>7049.6691881283032</v>
      </c>
      <c r="U80" s="1">
        <f>SIMULIMO!Z75</f>
        <v>7131.13152254334</v>
      </c>
      <c r="V80" s="1">
        <f>SIMULIMO!AA75</f>
        <v>7213.392570528179</v>
      </c>
      <c r="W80" s="1">
        <f>SIMULIMO!AB75</f>
        <v>7296.4600950468775</v>
      </c>
      <c r="X80" s="1">
        <f>SIMULIMO!AC75</f>
        <v>7380.3419335345143</v>
      </c>
      <c r="Y80" s="1">
        <f>SIMULIMO!AD75</f>
        <v>7465.0459985973948</v>
      </c>
      <c r="Z80" s="1">
        <f>SIMULIMO!AE75</f>
        <v>7550.5802787196235</v>
      </c>
      <c r="AA80" s="1">
        <f>SIMULIMO!AF75</f>
        <v>7636.9528389761244</v>
      </c>
      <c r="AB80" s="1">
        <f>SIMULIMO!AG75</f>
        <v>9808.0072360895174</v>
      </c>
      <c r="AC80" s="107">
        <f>SIMULIMO!AH69+SIMULIMO!AH75</f>
        <v>246192.43568576386</v>
      </c>
      <c r="AD80" s="1"/>
      <c r="AE80" s="1"/>
      <c r="AF80" s="1"/>
    </row>
    <row r="81" spans="2:32" x14ac:dyDescent="0.25">
      <c r="B81" s="105">
        <v>28</v>
      </c>
      <c r="C81" s="1">
        <f>SIMULIMO!H75</f>
        <v>-193749.57722692442</v>
      </c>
      <c r="D81" s="1">
        <f>SIMULIMO!I75</f>
        <v>6308.255054922688</v>
      </c>
      <c r="E81" s="1">
        <f>SIMULIMO!J75</f>
        <v>6173.5209649067219</v>
      </c>
      <c r="F81" s="1">
        <f>SIMULIMO!K75</f>
        <v>6243.8855817454114</v>
      </c>
      <c r="G81" s="1">
        <f>SIMULIMO!L75</f>
        <v>6314.9409469613965</v>
      </c>
      <c r="H81" s="1">
        <f>SIMULIMO!M75</f>
        <v>6386.6937863061903</v>
      </c>
      <c r="I81" s="1">
        <f>SIMULIMO!N75</f>
        <v>6459.1508902282148</v>
      </c>
      <c r="J81" s="1">
        <f>SIMULIMO!O75</f>
        <v>6382.3191144836246</v>
      </c>
      <c r="K81" s="1">
        <f>SIMULIMO!P75</f>
        <v>6456.2053807528391</v>
      </c>
      <c r="L81" s="1">
        <f>SIMULIMO!Q75</f>
        <v>6530.8166772626682</v>
      </c>
      <c r="M81" s="1">
        <f>SIMULIMO!R75</f>
        <v>6501.1600594141582</v>
      </c>
      <c r="N81" s="1">
        <f>SIMULIMO!S75</f>
        <v>6577.2426504161567</v>
      </c>
      <c r="O81" s="1">
        <f>SIMULIMO!T75</f>
        <v>6654.0716419247128</v>
      </c>
      <c r="P81" s="1">
        <f>SIMULIMO!U75</f>
        <v>6731.6542946883192</v>
      </c>
      <c r="Q81" s="1">
        <f>SIMULIMO!V75</f>
        <v>6809.9979391990119</v>
      </c>
      <c r="R81" s="1">
        <f>SIMULIMO!W75</f>
        <v>6889.1099763494813</v>
      </c>
      <c r="S81" s="1">
        <f>SIMULIMO!X75</f>
        <v>6968.997878096151</v>
      </c>
      <c r="T81" s="1">
        <f>SIMULIMO!Y75</f>
        <v>7049.6691881283032</v>
      </c>
      <c r="U81" s="1">
        <f>SIMULIMO!Z75</f>
        <v>7131.13152254334</v>
      </c>
      <c r="V81" s="1">
        <f>SIMULIMO!AA75</f>
        <v>7213.392570528179</v>
      </c>
      <c r="W81" s="1">
        <f>SIMULIMO!AB75</f>
        <v>7296.4600950468775</v>
      </c>
      <c r="X81" s="1">
        <f>SIMULIMO!AC75</f>
        <v>7380.3419335345143</v>
      </c>
      <c r="Y81" s="1">
        <f>SIMULIMO!AD75</f>
        <v>7465.0459985973948</v>
      </c>
      <c r="Z81" s="1">
        <f>SIMULIMO!AE75</f>
        <v>7550.5802787196235</v>
      </c>
      <c r="AA81" s="1">
        <f>SIMULIMO!AF75</f>
        <v>7636.9528389761244</v>
      </c>
      <c r="AB81" s="1">
        <f>SIMULIMO!AG75</f>
        <v>9808.0072360895174</v>
      </c>
      <c r="AC81" s="1">
        <f>SIMULIMO!AH75</f>
        <v>9900.4313084504101</v>
      </c>
      <c r="AD81" s="107">
        <f>SIMULIMO!AI69+SIMULIMO!AI75</f>
        <v>246603.41124262151</v>
      </c>
      <c r="AE81" s="1"/>
      <c r="AF81" s="1"/>
    </row>
    <row r="82" spans="2:32" x14ac:dyDescent="0.25">
      <c r="B82" s="105">
        <v>29</v>
      </c>
      <c r="C82" s="1">
        <f>SIMULIMO!H75</f>
        <v>-193749.57722692442</v>
      </c>
      <c r="D82" s="1">
        <f>SIMULIMO!I75</f>
        <v>6308.255054922688</v>
      </c>
      <c r="E82" s="1">
        <f>SIMULIMO!J75</f>
        <v>6173.5209649067219</v>
      </c>
      <c r="F82" s="1">
        <f>SIMULIMO!K75</f>
        <v>6243.8855817454114</v>
      </c>
      <c r="G82" s="1">
        <f>SIMULIMO!L75</f>
        <v>6314.9409469613965</v>
      </c>
      <c r="H82" s="1">
        <f>SIMULIMO!M75</f>
        <v>6386.6937863061903</v>
      </c>
      <c r="I82" s="1">
        <f>SIMULIMO!N75</f>
        <v>6459.1508902282148</v>
      </c>
      <c r="J82" s="1">
        <f>SIMULIMO!O75</f>
        <v>6382.3191144836246</v>
      </c>
      <c r="K82" s="1">
        <f>SIMULIMO!P75</f>
        <v>6456.2053807528391</v>
      </c>
      <c r="L82" s="1">
        <f>SIMULIMO!Q75</f>
        <v>6530.8166772626682</v>
      </c>
      <c r="M82" s="1">
        <f>SIMULIMO!R75</f>
        <v>6501.1600594141582</v>
      </c>
      <c r="N82" s="1">
        <f>SIMULIMO!S75</f>
        <v>6577.2426504161567</v>
      </c>
      <c r="O82" s="1">
        <f>SIMULIMO!T75</f>
        <v>6654.0716419247128</v>
      </c>
      <c r="P82" s="1">
        <f>SIMULIMO!U75</f>
        <v>6731.6542946883192</v>
      </c>
      <c r="Q82" s="1">
        <f>SIMULIMO!V75</f>
        <v>6809.9979391990119</v>
      </c>
      <c r="R82" s="1">
        <f>SIMULIMO!W75</f>
        <v>6889.1099763494813</v>
      </c>
      <c r="S82" s="1">
        <f>SIMULIMO!X75</f>
        <v>6968.997878096151</v>
      </c>
      <c r="T82" s="1">
        <f>SIMULIMO!Y75</f>
        <v>7049.6691881283032</v>
      </c>
      <c r="U82" s="1">
        <f>SIMULIMO!Z75</f>
        <v>7131.13152254334</v>
      </c>
      <c r="V82" s="1">
        <f>SIMULIMO!AA75</f>
        <v>7213.392570528179</v>
      </c>
      <c r="W82" s="1">
        <f>SIMULIMO!AB75</f>
        <v>7296.4600950468775</v>
      </c>
      <c r="X82" s="1">
        <f>SIMULIMO!AC75</f>
        <v>7380.3419335345143</v>
      </c>
      <c r="Y82" s="1">
        <f>SIMULIMO!AD75</f>
        <v>7465.0459985973948</v>
      </c>
      <c r="Z82" s="1">
        <f>SIMULIMO!AE75</f>
        <v>7550.5802787196235</v>
      </c>
      <c r="AA82" s="1">
        <f>SIMULIMO!AF75</f>
        <v>7636.9528389761244</v>
      </c>
      <c r="AB82" s="1">
        <f>SIMULIMO!AG75</f>
        <v>9808.0072360895174</v>
      </c>
      <c r="AC82" s="1">
        <f>SIMULIMO!AH75</f>
        <v>9900.4313084504101</v>
      </c>
      <c r="AD82" s="1">
        <f>SIMULIMO!AI75</f>
        <v>9993.7796215349117</v>
      </c>
      <c r="AE82" s="107">
        <f>SIMULIMO!AJ69</f>
        <v>236943.21433729748</v>
      </c>
      <c r="AF82" s="1"/>
    </row>
    <row r="83" spans="2:32" x14ac:dyDescent="0.25">
      <c r="B83" s="105">
        <v>30</v>
      </c>
      <c r="C83" s="1">
        <f>SIMULIMO!H75</f>
        <v>-193749.57722692442</v>
      </c>
      <c r="D83" s="1">
        <f>SIMULIMO!I75</f>
        <v>6308.255054922688</v>
      </c>
      <c r="E83" s="1">
        <f>SIMULIMO!J75</f>
        <v>6173.5209649067219</v>
      </c>
      <c r="F83" s="1">
        <f>SIMULIMO!K75</f>
        <v>6243.8855817454114</v>
      </c>
      <c r="G83" s="1">
        <f>SIMULIMO!L75</f>
        <v>6314.9409469613965</v>
      </c>
      <c r="H83" s="1">
        <f>SIMULIMO!M75</f>
        <v>6386.6937863061903</v>
      </c>
      <c r="I83" s="1">
        <f>SIMULIMO!N75</f>
        <v>6459.1508902282148</v>
      </c>
      <c r="J83" s="1">
        <f>SIMULIMO!O75</f>
        <v>6382.3191144836246</v>
      </c>
      <c r="K83" s="1">
        <f>SIMULIMO!P75</f>
        <v>6456.2053807528391</v>
      </c>
      <c r="L83" s="1">
        <f>SIMULIMO!Q75</f>
        <v>6530.8166772626682</v>
      </c>
      <c r="M83" s="1">
        <f>SIMULIMO!R75</f>
        <v>6501.1600594141582</v>
      </c>
      <c r="N83" s="1">
        <f>SIMULIMO!S75</f>
        <v>6577.2426504161567</v>
      </c>
      <c r="O83" s="1">
        <f>SIMULIMO!T75</f>
        <v>6654.0716419247128</v>
      </c>
      <c r="P83" s="1">
        <f>SIMULIMO!U75</f>
        <v>6731.6542946883192</v>
      </c>
      <c r="Q83" s="1">
        <f>SIMULIMO!V75</f>
        <v>6809.9979391990119</v>
      </c>
      <c r="R83" s="1">
        <f>SIMULIMO!W75</f>
        <v>6889.1099763494813</v>
      </c>
      <c r="S83" s="1">
        <f>SIMULIMO!X75</f>
        <v>6968.997878096151</v>
      </c>
      <c r="T83" s="1">
        <f>SIMULIMO!Y75</f>
        <v>7049.6691881283032</v>
      </c>
      <c r="U83" s="1">
        <f>SIMULIMO!Z75</f>
        <v>7131.13152254334</v>
      </c>
      <c r="V83" s="1">
        <f>SIMULIMO!AA75</f>
        <v>7213.392570528179</v>
      </c>
      <c r="W83" s="1">
        <f>SIMULIMO!AB75</f>
        <v>7296.4600950468775</v>
      </c>
      <c r="X83" s="1">
        <f>SIMULIMO!AC75</f>
        <v>7380.3419335345143</v>
      </c>
      <c r="Y83" s="1">
        <f>SIMULIMO!AD75</f>
        <v>7465.0459985973948</v>
      </c>
      <c r="Z83" s="1">
        <f>SIMULIMO!AE75</f>
        <v>7550.5802787196235</v>
      </c>
      <c r="AA83" s="1">
        <f>SIMULIMO!AF75</f>
        <v>7636.9528389761244</v>
      </c>
      <c r="AB83" s="1">
        <f>SIMULIMO!AG75</f>
        <v>9808.0072360895174</v>
      </c>
      <c r="AC83" s="1">
        <f>SIMULIMO!AH75</f>
        <v>9900.4313084504101</v>
      </c>
      <c r="AD83" s="1">
        <f>SIMULIMO!AI75</f>
        <v>9993.7796215349117</v>
      </c>
      <c r="AE83" s="1">
        <f>SIMULIMO!AJ75</f>
        <v>10088.061417750261</v>
      </c>
      <c r="AF83" s="107">
        <f>SIMULIMO!AK69</f>
        <v>237292.91208067044</v>
      </c>
    </row>
    <row r="88" spans="2:32" ht="21" x14ac:dyDescent="0.35">
      <c r="B88" s="180" t="s">
        <v>262</v>
      </c>
    </row>
    <row r="90" spans="2:32" ht="15.75" x14ac:dyDescent="0.25">
      <c r="B90" s="183" t="s">
        <v>269</v>
      </c>
      <c r="C90" s="183">
        <v>1</v>
      </c>
      <c r="D90" s="183">
        <v>2</v>
      </c>
      <c r="E90" s="183">
        <v>3</v>
      </c>
      <c r="F90" s="183">
        <v>4</v>
      </c>
      <c r="G90" s="183">
        <v>5</v>
      </c>
      <c r="H90" s="183">
        <v>6</v>
      </c>
      <c r="I90" s="183">
        <v>7</v>
      </c>
      <c r="J90" s="183">
        <v>8</v>
      </c>
      <c r="K90" s="183">
        <v>9</v>
      </c>
      <c r="L90" s="183">
        <v>10</v>
      </c>
      <c r="M90" s="183">
        <v>11</v>
      </c>
      <c r="N90" s="183">
        <v>12</v>
      </c>
      <c r="O90" s="183">
        <v>13</v>
      </c>
      <c r="P90" s="183">
        <v>14</v>
      </c>
      <c r="Q90" s="183">
        <v>15</v>
      </c>
      <c r="R90" s="183">
        <v>16</v>
      </c>
      <c r="S90" s="183">
        <v>17</v>
      </c>
      <c r="T90" s="183">
        <v>18</v>
      </c>
      <c r="U90" s="183">
        <v>19</v>
      </c>
      <c r="V90" s="183">
        <v>20</v>
      </c>
      <c r="W90" s="183">
        <v>21</v>
      </c>
      <c r="X90" s="183">
        <v>22</v>
      </c>
      <c r="Y90" s="183">
        <v>23</v>
      </c>
      <c r="Z90" s="183">
        <v>24</v>
      </c>
      <c r="AA90" s="183">
        <v>25</v>
      </c>
      <c r="AB90" s="183">
        <v>26</v>
      </c>
      <c r="AC90" s="183">
        <v>27</v>
      </c>
      <c r="AD90" s="183">
        <v>28</v>
      </c>
      <c r="AE90" s="183">
        <v>29</v>
      </c>
      <c r="AF90" s="183">
        <v>30</v>
      </c>
    </row>
    <row r="91" spans="2:32" s="187" customFormat="1" ht="15.75" x14ac:dyDescent="0.25">
      <c r="B91" s="185" t="s">
        <v>268</v>
      </c>
      <c r="C91" s="186" t="str">
        <f>IFERROR(IRR(C93),"N/A")</f>
        <v>N/A</v>
      </c>
      <c r="D91" s="186">
        <f>IFERROR(IRR(C94:D94),"N/A")</f>
        <v>-1.5980716425745056E-2</v>
      </c>
      <c r="E91" s="186">
        <f>IFERROR(IRR(C95:E95),"N/A")</f>
        <v>3.0608941807829693E-2</v>
      </c>
      <c r="F91" s="186">
        <f>IFERROR(IRR(C96:F96),"N/A")</f>
        <v>4.6314553685621762E-2</v>
      </c>
      <c r="G91" s="186">
        <f>IFERROR(IRR(C97:G97),"N/A")</f>
        <v>5.4034557327566013E-2</v>
      </c>
      <c r="H91" s="186">
        <f>IFERROR(IRR(C98:H98),"N/A")</f>
        <v>5.8525306928284282E-2</v>
      </c>
      <c r="I91" s="186">
        <f>IFERROR(IRR(C99:I99),"N/A")</f>
        <v>6.1396957958422593E-2</v>
      </c>
      <c r="J91" s="186">
        <f>IFERROR(IRR(C100:J100),"N/A")</f>
        <v>6.2448852516766573E-2</v>
      </c>
      <c r="K91" s="186">
        <f>IFERROR(IRR(C101:K101),"N/A")</f>
        <v>6.2979956557986938E-2</v>
      </c>
      <c r="L91" s="186">
        <f>IFERROR(IRR(C102:L102),"N/A")</f>
        <v>6.3318849275320277E-2</v>
      </c>
      <c r="M91" s="186">
        <f>IFERROR(IRR(C103:M103),"N/A")</f>
        <v>6.3420354599065032E-2</v>
      </c>
      <c r="N91" s="186">
        <f>IFERROR(IRR(C104:N104),"N/A")</f>
        <v>6.3449624118852022E-2</v>
      </c>
      <c r="O91" s="186">
        <f>IFERROR(IRR(C105:O105),"N/A")</f>
        <v>6.3426985181477269E-2</v>
      </c>
      <c r="P91" s="186">
        <f>IFERROR(IRR(C106:P106),"N/A")</f>
        <v>6.3297310828446918E-2</v>
      </c>
      <c r="Q91" s="186">
        <f>IFERROR(IRR(C107:Q107),"N/A")</f>
        <v>6.3058925288364875E-2</v>
      </c>
      <c r="R91" s="186">
        <f>IFERROR(IRR(C108:R108),"N/A")</f>
        <v>6.2736964117469096E-2</v>
      </c>
      <c r="S91" s="186">
        <f>IFERROR(IRR(C109:S109),"N/A")</f>
        <v>6.2286532427954233E-2</v>
      </c>
      <c r="T91" s="186">
        <f>IFERROR(IRR(C110:T110),"N/A")</f>
        <v>6.1813172541840489E-2</v>
      </c>
      <c r="U91" s="186">
        <f>IFERROR(IRR(C111:U111),"N/A")</f>
        <v>6.1383857246916529E-2</v>
      </c>
      <c r="V91" s="186">
        <f>IFERROR(IRR(C112:V112),"N/A")</f>
        <v>6.0991597212281867E-2</v>
      </c>
      <c r="W91" s="186">
        <f>IFERROR(IRR(C113:W113),"N/A")</f>
        <v>6.063079210520117E-2</v>
      </c>
      <c r="X91" s="186">
        <f>IFERROR(IRR(C114:X114),"N/A")</f>
        <v>6.0289677557041399E-2</v>
      </c>
      <c r="Y91" s="186">
        <f>IFERROR(IRR(C115:Y115),"N/A")</f>
        <v>5.9980874869914214E-2</v>
      </c>
      <c r="Z91" s="186">
        <f>IFERROR(IRR(C116:Z116),"N/A")</f>
        <v>5.9692685489249886E-2</v>
      </c>
      <c r="AA91" s="186">
        <f>IFERROR(IRR(C117:AA117),"N/A")</f>
        <v>5.94224553628937E-2</v>
      </c>
      <c r="AB91" s="186">
        <f>IFERROR(IRR(C118:AB118),"N/A")</f>
        <v>5.9169919475063892E-2</v>
      </c>
      <c r="AC91" s="186">
        <f>IFERROR(IRR(C119:AC119),"N/A")</f>
        <v>5.8943230282272774E-2</v>
      </c>
      <c r="AD91" s="186">
        <f>IFERROR(IRR(C120:AD120),"N/A")</f>
        <v>5.873891948104637E-2</v>
      </c>
      <c r="AE91" s="186">
        <f>IFERROR(IRR(C121:AE121),"N/A")</f>
        <v>5.8554054890213258E-2</v>
      </c>
      <c r="AF91" s="186">
        <f>IFERROR(IRR(C122:AF122),"N/A")</f>
        <v>5.838614471295589E-2</v>
      </c>
    </row>
    <row r="92" spans="2:32" s="112" customFormat="1" x14ac:dyDescent="0.25">
      <c r="B92" s="106"/>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row>
    <row r="93" spans="2:32" x14ac:dyDescent="0.25">
      <c r="B93" s="105">
        <v>1</v>
      </c>
      <c r="C93" s="107">
        <f>SIMULIMO!H106+SIMULIMO!H109</f>
        <v>-17410.734477498656</v>
      </c>
      <c r="D93" s="1"/>
      <c r="E93" s="1"/>
      <c r="F93" s="1"/>
      <c r="G93" s="1"/>
      <c r="H93" s="1"/>
      <c r="I93" s="108"/>
      <c r="J93" s="1"/>
      <c r="K93" s="1"/>
      <c r="L93" s="1"/>
      <c r="M93" s="1"/>
      <c r="N93" s="1"/>
      <c r="O93" s="1"/>
      <c r="P93" s="1"/>
      <c r="Q93" s="1"/>
      <c r="R93" s="1"/>
      <c r="S93" s="1"/>
      <c r="T93" s="1"/>
      <c r="U93" s="1"/>
      <c r="V93" s="1"/>
      <c r="W93" s="1"/>
      <c r="X93" s="1"/>
      <c r="Y93" s="1"/>
      <c r="Z93" s="1"/>
      <c r="AA93" s="1"/>
      <c r="AB93" s="1"/>
      <c r="AC93" s="1"/>
      <c r="AD93" s="1"/>
      <c r="AE93" s="1"/>
      <c r="AF93" s="1"/>
    </row>
    <row r="94" spans="2:32" x14ac:dyDescent="0.25">
      <c r="B94" s="105">
        <v>2</v>
      </c>
      <c r="C94" s="1">
        <f>SIMULIMO!H109</f>
        <v>-190183.32460989201</v>
      </c>
      <c r="D94" s="107">
        <f>SIMULIMO!I106+SIMULIMO!I109</f>
        <v>187144.05883039586</v>
      </c>
      <c r="E94" s="1"/>
      <c r="F94" s="1"/>
      <c r="H94" s="1">
        <f>H28*0.25</f>
        <v>2280.9620665379252</v>
      </c>
      <c r="J94" s="1"/>
      <c r="K94" s="1"/>
      <c r="L94" s="1"/>
      <c r="M94" s="1"/>
      <c r="N94" s="1"/>
      <c r="O94" s="1"/>
      <c r="P94" s="1"/>
      <c r="Q94" s="1"/>
      <c r="R94" s="1"/>
      <c r="S94" s="1"/>
      <c r="T94" s="1"/>
      <c r="U94" s="1"/>
      <c r="V94" s="1"/>
      <c r="W94" s="1"/>
      <c r="X94" s="1"/>
      <c r="Y94" s="1"/>
      <c r="Z94" s="1"/>
      <c r="AA94" s="1"/>
      <c r="AB94" s="1"/>
      <c r="AC94" s="1"/>
      <c r="AD94" s="1"/>
      <c r="AE94" s="1"/>
      <c r="AF94" s="1"/>
    </row>
    <row r="95" spans="2:32" x14ac:dyDescent="0.25">
      <c r="B95" s="105">
        <v>3</v>
      </c>
      <c r="C95" s="1">
        <f>SIMULIMO!H109</f>
        <v>-190183.32460989201</v>
      </c>
      <c r="D95" s="1">
        <f>SIMULIMO!I109</f>
        <v>9946.6753901079865</v>
      </c>
      <c r="E95" s="107">
        <f>SIMULIMO!J106+SIMULIMO!J109</f>
        <v>191752.99679189612</v>
      </c>
      <c r="F95" s="1"/>
      <c r="G95" s="109"/>
      <c r="H95" s="1"/>
      <c r="J95" s="1"/>
      <c r="K95" s="108"/>
      <c r="L95" s="1"/>
      <c r="M95" s="1"/>
      <c r="N95" s="1"/>
      <c r="O95" s="1"/>
      <c r="P95" s="1"/>
      <c r="Q95" s="1"/>
      <c r="R95" s="1"/>
      <c r="S95" s="1"/>
      <c r="T95" s="1"/>
      <c r="U95" s="1"/>
      <c r="V95" s="1"/>
      <c r="W95" s="1"/>
      <c r="X95" s="1"/>
      <c r="Y95" s="1"/>
      <c r="Z95" s="1"/>
      <c r="AA95" s="1"/>
      <c r="AB95" s="1"/>
      <c r="AC95" s="1"/>
      <c r="AD95" s="1"/>
      <c r="AE95" s="1"/>
      <c r="AF95" s="1"/>
    </row>
    <row r="96" spans="2:32" x14ac:dyDescent="0.25">
      <c r="B96" s="105">
        <v>4</v>
      </c>
      <c r="C96" s="1">
        <f>SIMULIMO!H109</f>
        <v>-190183.32460989201</v>
      </c>
      <c r="D96" s="1">
        <f>SIMULIMO!I109</f>
        <v>9946.6753901079865</v>
      </c>
      <c r="E96" s="1">
        <f>SIMULIMO!J109</f>
        <v>10077.975390107989</v>
      </c>
      <c r="F96" s="107">
        <f>SIMULIMO!K106+SIMULIMO!K109</f>
        <v>196416.74198290889</v>
      </c>
      <c r="G96" s="1"/>
      <c r="H96" s="1"/>
      <c r="J96" s="1"/>
      <c r="K96" s="109"/>
      <c r="L96" s="1"/>
      <c r="M96" s="1"/>
      <c r="N96" s="1"/>
      <c r="O96" s="1"/>
      <c r="P96" s="1"/>
      <c r="Q96" s="1"/>
      <c r="R96" s="1"/>
      <c r="S96" s="1"/>
      <c r="T96" s="1"/>
      <c r="U96" s="1"/>
      <c r="V96" s="1"/>
      <c r="W96" s="1"/>
      <c r="X96" s="1"/>
      <c r="Y96" s="1"/>
      <c r="Z96" s="1"/>
      <c r="AA96" s="1"/>
      <c r="AB96" s="1"/>
      <c r="AC96" s="1"/>
      <c r="AD96" s="1"/>
      <c r="AE96" s="1"/>
      <c r="AF96" s="1"/>
    </row>
    <row r="97" spans="2:32" x14ac:dyDescent="0.25">
      <c r="B97" s="105">
        <v>5</v>
      </c>
      <c r="C97" s="1">
        <f>SIMULIMO!H109</f>
        <v>-190183.32460989201</v>
      </c>
      <c r="D97" s="1">
        <f>SIMULIMO!I109</f>
        <v>9946.6753901079865</v>
      </c>
      <c r="E97" s="1">
        <f>SIMULIMO!J109</f>
        <v>10077.975390107989</v>
      </c>
      <c r="F97" s="1">
        <f>SIMULIMO!K109</f>
        <v>10210.588390107983</v>
      </c>
      <c r="G97" s="107">
        <f>SIMULIMO!L106+SIMULIMO!L109</f>
        <v>201135.96531183488</v>
      </c>
      <c r="H97" s="1"/>
      <c r="J97" s="108"/>
      <c r="K97" s="1"/>
      <c r="L97" s="1"/>
      <c r="M97" s="1"/>
      <c r="N97" s="1"/>
      <c r="O97" s="1"/>
      <c r="P97" s="1"/>
      <c r="Q97" s="1"/>
      <c r="R97" s="1"/>
      <c r="S97" s="1"/>
      <c r="T97" s="1"/>
      <c r="U97" s="1"/>
      <c r="V97" s="1"/>
      <c r="W97" s="1"/>
      <c r="X97" s="1"/>
      <c r="Y97" s="1"/>
      <c r="Z97" s="1"/>
      <c r="AA97" s="1"/>
      <c r="AB97" s="1"/>
      <c r="AC97" s="1"/>
      <c r="AD97" s="1"/>
      <c r="AE97" s="1"/>
      <c r="AF97" s="1"/>
    </row>
    <row r="98" spans="2:32" x14ac:dyDescent="0.25">
      <c r="B98" s="105">
        <v>6</v>
      </c>
      <c r="C98" s="1">
        <f>SIMULIMO!H109</f>
        <v>-190183.32460989201</v>
      </c>
      <c r="D98" s="1">
        <f>SIMULIMO!I109</f>
        <v>9946.6753901079865</v>
      </c>
      <c r="E98" s="1">
        <f>SIMULIMO!J109</f>
        <v>10077.975390107989</v>
      </c>
      <c r="F98" s="1">
        <f>SIMULIMO!K109</f>
        <v>10210.588390107983</v>
      </c>
      <c r="G98" s="1">
        <f>SIMULIMO!L109</f>
        <v>10344.527520107989</v>
      </c>
      <c r="H98" s="107">
        <f>SIMULIMO!M106+SIMULIMO!M109</f>
        <v>205911.34612694231</v>
      </c>
      <c r="J98" s="1"/>
      <c r="K98" s="1"/>
      <c r="L98" s="1"/>
      <c r="M98" s="1"/>
      <c r="N98" s="1"/>
      <c r="O98" s="1"/>
      <c r="P98" s="1"/>
      <c r="Q98" s="1"/>
      <c r="R98" s="1"/>
      <c r="S98" s="1"/>
      <c r="T98" s="1"/>
      <c r="U98" s="1"/>
      <c r="V98" s="1"/>
      <c r="W98" s="1"/>
      <c r="X98" s="1"/>
      <c r="Y98" s="1"/>
      <c r="Z98" s="1"/>
      <c r="AA98" s="1"/>
      <c r="AB98" s="1"/>
      <c r="AC98" s="1"/>
      <c r="AD98" s="1"/>
      <c r="AE98" s="1"/>
      <c r="AF98" s="1"/>
    </row>
    <row r="99" spans="2:32" x14ac:dyDescent="0.25">
      <c r="B99" s="105">
        <v>7</v>
      </c>
      <c r="C99" s="1">
        <f>SIMULIMO!H109</f>
        <v>-190183.32460989201</v>
      </c>
      <c r="D99" s="1">
        <f>SIMULIMO!I109</f>
        <v>9946.6753901079865</v>
      </c>
      <c r="E99" s="1">
        <f>SIMULIMO!J109</f>
        <v>10077.975390107989</v>
      </c>
      <c r="F99" s="1">
        <f>SIMULIMO!K109</f>
        <v>10210.588390107983</v>
      </c>
      <c r="G99" s="1">
        <f>SIMULIMO!L109</f>
        <v>10344.527520107989</v>
      </c>
      <c r="H99" s="1">
        <f>SIMULIMO!M109</f>
        <v>10479.806041407981</v>
      </c>
      <c r="I99" s="107">
        <f>SIMULIMO!N106+SIMULIMO!N109</f>
        <v>210743.57232515214</v>
      </c>
      <c r="J99" s="1"/>
      <c r="K99" s="1"/>
      <c r="L99" s="1"/>
      <c r="M99" s="1"/>
      <c r="N99" s="1"/>
      <c r="O99" s="1"/>
      <c r="P99" s="1"/>
      <c r="Q99" s="1"/>
      <c r="R99" s="1"/>
      <c r="S99" s="1"/>
      <c r="T99" s="1"/>
      <c r="U99" s="1"/>
      <c r="V99" s="1"/>
      <c r="W99" s="1"/>
      <c r="X99" s="1"/>
      <c r="Y99" s="1"/>
      <c r="Z99" s="1"/>
      <c r="AA99" s="1"/>
      <c r="AB99" s="1"/>
      <c r="AC99" s="1"/>
      <c r="AD99" s="1"/>
      <c r="AE99" s="1"/>
      <c r="AF99" s="1"/>
    </row>
    <row r="100" spans="2:32" x14ac:dyDescent="0.25">
      <c r="B100" s="105">
        <v>8</v>
      </c>
      <c r="C100" s="1">
        <f>SIMULIMO!H109</f>
        <v>-190183.32460989201</v>
      </c>
      <c r="D100" s="1">
        <f>SIMULIMO!I109</f>
        <v>9946.6753901079865</v>
      </c>
      <c r="E100" s="1">
        <f>SIMULIMO!J109</f>
        <v>10077.975390107989</v>
      </c>
      <c r="F100" s="1">
        <f>SIMULIMO!K109</f>
        <v>10210.588390107983</v>
      </c>
      <c r="G100" s="1">
        <f>SIMULIMO!L109</f>
        <v>10344.527520107989</v>
      </c>
      <c r="H100" s="1">
        <f>SIMULIMO!M109</f>
        <v>10479.806041407981</v>
      </c>
      <c r="I100" s="1">
        <f>SIMULIMO!N109</f>
        <v>10616.437347920984</v>
      </c>
      <c r="J100" s="107">
        <f>SIMULIMO!O106+SIMULIMO!O109</f>
        <v>214147.48707643399</v>
      </c>
      <c r="K100" s="1"/>
      <c r="L100" s="1"/>
      <c r="M100" s="1"/>
      <c r="N100" s="1"/>
      <c r="O100" s="1"/>
      <c r="P100" s="1"/>
      <c r="Q100" s="1"/>
      <c r="R100" s="1"/>
      <c r="S100" s="1"/>
      <c r="T100" s="1"/>
      <c r="U100" s="1"/>
      <c r="V100" s="1"/>
      <c r="W100" s="1"/>
      <c r="X100" s="1"/>
      <c r="Y100" s="1"/>
      <c r="Z100" s="1"/>
      <c r="AA100" s="1"/>
      <c r="AB100" s="1"/>
      <c r="AC100" s="1"/>
      <c r="AD100" s="1"/>
      <c r="AE100" s="1"/>
      <c r="AF100" s="1"/>
    </row>
    <row r="101" spans="2:32" x14ac:dyDescent="0.25">
      <c r="B101" s="105">
        <v>9</v>
      </c>
      <c r="C101" s="1">
        <f>SIMULIMO!H109</f>
        <v>-190183.32460989201</v>
      </c>
      <c r="D101" s="1">
        <f>SIMULIMO!I109</f>
        <v>9946.6753901079865</v>
      </c>
      <c r="E101" s="1">
        <f>SIMULIMO!J109</f>
        <v>10077.975390107989</v>
      </c>
      <c r="F101" s="1">
        <f>SIMULIMO!K109</f>
        <v>10210.588390107983</v>
      </c>
      <c r="G101" s="1">
        <f>SIMULIMO!L109</f>
        <v>10344.527520107989</v>
      </c>
      <c r="H101" s="1">
        <f>SIMULIMO!M109</f>
        <v>10479.806041407981</v>
      </c>
      <c r="I101" s="1">
        <f>SIMULIMO!N109</f>
        <v>10616.437347920984</v>
      </c>
      <c r="J101" s="1">
        <f>SIMULIMO!O109</f>
        <v>9268.5815816772119</v>
      </c>
      <c r="K101" s="107">
        <f>SIMULIMO!P106+SIMULIMO!P109</f>
        <v>218716.80571956222</v>
      </c>
      <c r="L101" s="1"/>
      <c r="M101" s="1"/>
      <c r="N101" s="1"/>
      <c r="O101" s="1"/>
      <c r="P101" s="1"/>
      <c r="Q101" s="1"/>
      <c r="R101" s="1"/>
      <c r="S101" s="1"/>
      <c r="T101" s="1"/>
      <c r="U101" s="1"/>
      <c r="V101" s="1"/>
      <c r="W101" s="1"/>
      <c r="X101" s="1"/>
      <c r="Y101" s="1"/>
      <c r="Z101" s="1"/>
      <c r="AA101" s="1"/>
      <c r="AB101" s="1"/>
      <c r="AC101" s="1"/>
      <c r="AD101" s="1"/>
      <c r="AE101" s="1"/>
      <c r="AF101" s="1"/>
    </row>
    <row r="102" spans="2:32" x14ac:dyDescent="0.25">
      <c r="B102" s="105">
        <v>10</v>
      </c>
      <c r="C102" s="1">
        <f>SIMULIMO!H109</f>
        <v>-190183.32460989201</v>
      </c>
      <c r="D102" s="1">
        <f>SIMULIMO!I109</f>
        <v>9946.6753901079865</v>
      </c>
      <c r="E102" s="1">
        <f>SIMULIMO!J109</f>
        <v>10077.975390107989</v>
      </c>
      <c r="F102" s="1">
        <f>SIMULIMO!K109</f>
        <v>10210.588390107983</v>
      </c>
      <c r="G102" s="1">
        <f>SIMULIMO!L109</f>
        <v>10344.527520107989</v>
      </c>
      <c r="H102" s="1">
        <f>SIMULIMO!M109</f>
        <v>10479.806041407981</v>
      </c>
      <c r="I102" s="1">
        <f>SIMULIMO!N109</f>
        <v>10616.437347920984</v>
      </c>
      <c r="J102" s="1">
        <f>SIMULIMO!O109</f>
        <v>9268.5815816772119</v>
      </c>
      <c r="K102" s="1">
        <f>SIMULIMO!P109</f>
        <v>9029.2624182524596</v>
      </c>
      <c r="L102" s="107">
        <f>SIMULIMO!Q106+SIMULIMO!Q109</f>
        <v>223674.87438768771</v>
      </c>
      <c r="M102" s="1"/>
      <c r="N102" s="1"/>
      <c r="O102" s="1"/>
      <c r="P102" s="1"/>
      <c r="Q102" s="1"/>
      <c r="R102" s="1"/>
      <c r="S102" s="1"/>
      <c r="T102" s="1"/>
      <c r="U102" s="1"/>
      <c r="V102" s="1"/>
      <c r="W102" s="1"/>
      <c r="X102" s="1"/>
      <c r="Y102" s="1"/>
      <c r="Z102" s="1"/>
      <c r="AA102" s="1"/>
      <c r="AB102" s="1"/>
      <c r="AC102" s="1"/>
      <c r="AD102" s="1"/>
      <c r="AE102" s="1"/>
      <c r="AF102" s="1"/>
    </row>
    <row r="103" spans="2:32" x14ac:dyDescent="0.25">
      <c r="B103" s="105">
        <v>11</v>
      </c>
      <c r="C103" s="1">
        <f>SIMULIMO!H109</f>
        <v>-190183.32460989201</v>
      </c>
      <c r="D103" s="1">
        <f>SIMULIMO!I109</f>
        <v>9946.6753901079865</v>
      </c>
      <c r="E103" s="1">
        <f>SIMULIMO!J109</f>
        <v>10077.975390107989</v>
      </c>
      <c r="F103" s="1">
        <f>SIMULIMO!K109</f>
        <v>10210.588390107983</v>
      </c>
      <c r="G103" s="1">
        <f>SIMULIMO!L109</f>
        <v>10344.527520107989</v>
      </c>
      <c r="H103" s="1">
        <f>SIMULIMO!M109</f>
        <v>10479.806041407981</v>
      </c>
      <c r="I103" s="1">
        <f>SIMULIMO!N109</f>
        <v>10616.437347920984</v>
      </c>
      <c r="J103" s="1">
        <f>SIMULIMO!O109</f>
        <v>9268.5815816772119</v>
      </c>
      <c r="K103" s="1">
        <f>SIMULIMO!P109</f>
        <v>9029.2624182524596</v>
      </c>
      <c r="L103" s="1">
        <f>SIMULIMO!Q109</f>
        <v>9121.125580554115</v>
      </c>
      <c r="M103" s="107">
        <f>SIMULIMO!R106+SIMULIMO!R109</f>
        <v>228410.10098387333</v>
      </c>
      <c r="N103" s="2"/>
      <c r="O103" s="1"/>
      <c r="P103" s="1"/>
      <c r="Q103" s="1"/>
      <c r="R103" s="1"/>
      <c r="S103" s="1"/>
      <c r="T103" s="1"/>
      <c r="U103" s="1"/>
      <c r="V103" s="1"/>
      <c r="W103" s="1"/>
      <c r="X103" s="1"/>
      <c r="Y103" s="1"/>
      <c r="Z103" s="1"/>
      <c r="AA103" s="1"/>
      <c r="AB103" s="1"/>
      <c r="AC103" s="1"/>
      <c r="AD103" s="1"/>
      <c r="AE103" s="1"/>
      <c r="AF103" s="1"/>
    </row>
    <row r="104" spans="2:32" x14ac:dyDescent="0.25">
      <c r="B104" s="105">
        <v>12</v>
      </c>
      <c r="C104" s="1">
        <f>SIMULIMO!H109</f>
        <v>-190183.32460989201</v>
      </c>
      <c r="D104" s="1">
        <f>SIMULIMO!I109</f>
        <v>9946.6753901079865</v>
      </c>
      <c r="E104" s="1">
        <f>SIMULIMO!J109</f>
        <v>10077.975390107989</v>
      </c>
      <c r="F104" s="1">
        <f>SIMULIMO!K109</f>
        <v>10210.588390107983</v>
      </c>
      <c r="G104" s="1">
        <f>SIMULIMO!L109</f>
        <v>10344.527520107989</v>
      </c>
      <c r="H104" s="1">
        <f>SIMULIMO!M109</f>
        <v>10479.806041407981</v>
      </c>
      <c r="I104" s="1">
        <f>SIMULIMO!N109</f>
        <v>10616.437347920984</v>
      </c>
      <c r="J104" s="1">
        <f>SIMULIMO!O109</f>
        <v>9268.5815816772119</v>
      </c>
      <c r="K104" s="1">
        <f>SIMULIMO!P109</f>
        <v>9029.2624182524596</v>
      </c>
      <c r="L104" s="1">
        <f>SIMULIMO!Q109</f>
        <v>9121.125580554115</v>
      </c>
      <c r="M104" s="1">
        <f>SIMULIMO!R109</f>
        <v>8931.8697010958349</v>
      </c>
      <c r="N104" s="107">
        <f>SIMULIMO!S106+SIMULIMO!S109</f>
        <v>233487.21203248922</v>
      </c>
      <c r="O104" s="1"/>
      <c r="P104" s="1"/>
      <c r="Q104" s="1"/>
      <c r="R104" s="1"/>
      <c r="S104" s="1"/>
      <c r="T104" s="1"/>
      <c r="U104" s="1"/>
      <c r="V104" s="1"/>
      <c r="W104" s="1"/>
      <c r="X104" s="1"/>
      <c r="Y104" s="1"/>
      <c r="Z104" s="1"/>
      <c r="AA104" s="1"/>
      <c r="AB104" s="1"/>
      <c r="AC104" s="1"/>
      <c r="AD104" s="1"/>
      <c r="AE104" s="1"/>
      <c r="AF104" s="1"/>
    </row>
    <row r="105" spans="2:32" x14ac:dyDescent="0.25">
      <c r="B105" s="105">
        <v>13</v>
      </c>
      <c r="C105" s="1">
        <f>SIMULIMO!H109</f>
        <v>-190183.32460989201</v>
      </c>
      <c r="D105" s="1">
        <f>SIMULIMO!I109</f>
        <v>9946.6753901079865</v>
      </c>
      <c r="E105" s="1">
        <f>SIMULIMO!J109</f>
        <v>10077.975390107989</v>
      </c>
      <c r="F105" s="1">
        <f>SIMULIMO!K109</f>
        <v>10210.588390107983</v>
      </c>
      <c r="G105" s="1">
        <f>SIMULIMO!L109</f>
        <v>10344.527520107989</v>
      </c>
      <c r="H105" s="1">
        <f>SIMULIMO!M109</f>
        <v>10479.806041407981</v>
      </c>
      <c r="I105" s="1">
        <f>SIMULIMO!N109</f>
        <v>10616.437347920984</v>
      </c>
      <c r="J105" s="1">
        <f>SIMULIMO!O109</f>
        <v>9268.5815816772119</v>
      </c>
      <c r="K105" s="1">
        <f>SIMULIMO!P109</f>
        <v>9029.2624182524596</v>
      </c>
      <c r="L105" s="1">
        <f>SIMULIMO!Q109</f>
        <v>9121.125580554115</v>
      </c>
      <c r="M105" s="1">
        <f>SIMULIMO!R109</f>
        <v>8931.8697010958349</v>
      </c>
      <c r="N105" s="1">
        <f>SIMULIMO!S109</f>
        <v>9025.5030586351295</v>
      </c>
      <c r="O105" s="107">
        <f>SIMULIMO!T106+SIMULIMO!T109</f>
        <v>238624.94322455017</v>
      </c>
      <c r="P105" s="1"/>
      <c r="Q105" s="1"/>
      <c r="R105" s="1"/>
      <c r="S105" s="1"/>
      <c r="T105" s="1"/>
      <c r="U105" s="1"/>
      <c r="V105" s="1"/>
      <c r="W105" s="1"/>
      <c r="X105" s="1"/>
      <c r="Y105" s="1"/>
      <c r="Z105" s="1"/>
      <c r="AA105" s="1"/>
      <c r="AB105" s="1"/>
      <c r="AC105" s="1"/>
      <c r="AD105" s="1"/>
      <c r="AE105" s="1"/>
      <c r="AF105" s="1"/>
    </row>
    <row r="106" spans="2:32" x14ac:dyDescent="0.25">
      <c r="B106" s="105">
        <v>14</v>
      </c>
      <c r="C106" s="1">
        <f>SIMULIMO!H109</f>
        <v>-190183.32460989201</v>
      </c>
      <c r="D106" s="1">
        <f>SIMULIMO!I109</f>
        <v>9946.6753901079865</v>
      </c>
      <c r="E106" s="1">
        <f>SIMULIMO!J109</f>
        <v>10077.975390107989</v>
      </c>
      <c r="F106" s="1">
        <f>SIMULIMO!K109</f>
        <v>10210.588390107983</v>
      </c>
      <c r="G106" s="1">
        <f>SIMULIMO!L109</f>
        <v>10344.527520107989</v>
      </c>
      <c r="H106" s="1">
        <f>SIMULIMO!M109</f>
        <v>10479.806041407981</v>
      </c>
      <c r="I106" s="1">
        <f>SIMULIMO!N109</f>
        <v>10616.437347920984</v>
      </c>
      <c r="J106" s="1">
        <f>SIMULIMO!O109</f>
        <v>9268.5815816772119</v>
      </c>
      <c r="K106" s="1">
        <f>SIMULIMO!P109</f>
        <v>9029.2624182524596</v>
      </c>
      <c r="L106" s="1">
        <f>SIMULIMO!Q109</f>
        <v>9121.125580554115</v>
      </c>
      <c r="M106" s="1">
        <f>SIMULIMO!R109</f>
        <v>8931.8697010958349</v>
      </c>
      <c r="N106" s="1">
        <f>SIMULIMO!S109</f>
        <v>9025.5030586351295</v>
      </c>
      <c r="O106" s="1">
        <f>SIMULIMO!T109</f>
        <v>9120.0340072376675</v>
      </c>
      <c r="P106" s="107">
        <f>SIMULIMO!U106+SIMULIMO!U109</f>
        <v>243552.57902033339</v>
      </c>
      <c r="Q106" s="1"/>
      <c r="R106" s="1"/>
      <c r="S106" s="1"/>
      <c r="T106" s="1"/>
      <c r="U106" s="1"/>
      <c r="V106" s="1"/>
      <c r="W106" s="1"/>
      <c r="X106" s="1"/>
      <c r="Y106" s="1"/>
      <c r="Z106" s="1"/>
      <c r="AA106" s="1"/>
      <c r="AB106" s="1"/>
      <c r="AC106" s="1"/>
      <c r="AD106" s="1"/>
      <c r="AE106" s="1"/>
      <c r="AF106" s="1"/>
    </row>
    <row r="107" spans="2:32" x14ac:dyDescent="0.25">
      <c r="B107" s="105">
        <v>15</v>
      </c>
      <c r="C107" s="1">
        <f>SIMULIMO!H109</f>
        <v>-190183.32460989201</v>
      </c>
      <c r="D107" s="1">
        <f>SIMULIMO!I109</f>
        <v>9946.6753901079865</v>
      </c>
      <c r="E107" s="1">
        <f>SIMULIMO!J109</f>
        <v>10077.975390107989</v>
      </c>
      <c r="F107" s="1">
        <f>SIMULIMO!K109</f>
        <v>10210.588390107983</v>
      </c>
      <c r="G107" s="1">
        <f>SIMULIMO!L109</f>
        <v>10344.527520107989</v>
      </c>
      <c r="H107" s="1">
        <f>SIMULIMO!M109</f>
        <v>10479.806041407981</v>
      </c>
      <c r="I107" s="1">
        <f>SIMULIMO!N109</f>
        <v>10616.437347920984</v>
      </c>
      <c r="J107" s="1">
        <f>SIMULIMO!O109</f>
        <v>9268.5815816772119</v>
      </c>
      <c r="K107" s="1">
        <f>SIMULIMO!P109</f>
        <v>9029.2624182524596</v>
      </c>
      <c r="L107" s="1">
        <f>SIMULIMO!Q109</f>
        <v>9121.125580554115</v>
      </c>
      <c r="M107" s="1">
        <f>SIMULIMO!R109</f>
        <v>8931.8697010958349</v>
      </c>
      <c r="N107" s="1">
        <f>SIMULIMO!S109</f>
        <v>9025.5030586351295</v>
      </c>
      <c r="O107" s="1">
        <f>SIMULIMO!T109</f>
        <v>9120.0340072376675</v>
      </c>
      <c r="P107" s="1">
        <f>SIMULIMO!U109</f>
        <v>8944.0104610850503</v>
      </c>
      <c r="Q107" s="107">
        <f>SIMULIMO!V106+SIMULIMO!V109</f>
        <v>248410.03617704994</v>
      </c>
      <c r="R107" s="1"/>
      <c r="S107" s="1"/>
      <c r="T107" s="1"/>
      <c r="U107" s="1"/>
      <c r="V107" s="1"/>
      <c r="W107" s="1"/>
      <c r="X107" s="1"/>
      <c r="Y107" s="1"/>
      <c r="Z107" s="1"/>
      <c r="AA107" s="1"/>
      <c r="AB107" s="1"/>
      <c r="AC107" s="1"/>
      <c r="AD107" s="1"/>
      <c r="AE107" s="1"/>
      <c r="AF107" s="1"/>
    </row>
    <row r="108" spans="2:32" x14ac:dyDescent="0.25">
      <c r="B108" s="105">
        <v>16</v>
      </c>
      <c r="C108" s="1">
        <f>SIMULIMO!H109</f>
        <v>-190183.32460989201</v>
      </c>
      <c r="D108" s="1">
        <f>SIMULIMO!I109</f>
        <v>9946.6753901079865</v>
      </c>
      <c r="E108" s="1">
        <f>SIMULIMO!J109</f>
        <v>10077.975390107989</v>
      </c>
      <c r="F108" s="1">
        <f>SIMULIMO!K109</f>
        <v>10210.588390107983</v>
      </c>
      <c r="G108" s="1">
        <f>SIMULIMO!L109</f>
        <v>10344.527520107989</v>
      </c>
      <c r="H108" s="1">
        <f>SIMULIMO!M109</f>
        <v>10479.806041407981</v>
      </c>
      <c r="I108" s="1">
        <f>SIMULIMO!N109</f>
        <v>10616.437347920984</v>
      </c>
      <c r="J108" s="1">
        <f>SIMULIMO!O109</f>
        <v>9268.5815816772119</v>
      </c>
      <c r="K108" s="1">
        <f>SIMULIMO!P109</f>
        <v>9029.2624182524596</v>
      </c>
      <c r="L108" s="1">
        <f>SIMULIMO!Q109</f>
        <v>9121.125580554115</v>
      </c>
      <c r="M108" s="1">
        <f>SIMULIMO!R109</f>
        <v>8931.8697010958349</v>
      </c>
      <c r="N108" s="1">
        <f>SIMULIMO!S109</f>
        <v>9025.5030586351295</v>
      </c>
      <c r="O108" s="1">
        <f>SIMULIMO!T109</f>
        <v>9120.0340072376675</v>
      </c>
      <c r="P108" s="1">
        <f>SIMULIMO!U109</f>
        <v>8944.0104610850503</v>
      </c>
      <c r="Q108" s="1">
        <f>SIMULIMO!V109</f>
        <v>8636.6033027793674</v>
      </c>
      <c r="R108" s="107">
        <f>SIMULIMO!W106+SIMULIMO!W109</f>
        <v>253316.71121331793</v>
      </c>
      <c r="S108" s="1"/>
      <c r="T108" s="1"/>
      <c r="U108" s="1"/>
      <c r="V108" s="1"/>
      <c r="W108" s="1"/>
      <c r="X108" s="1"/>
      <c r="Y108" s="1"/>
      <c r="Z108" s="1"/>
      <c r="AA108" s="1"/>
      <c r="AB108" s="1"/>
      <c r="AC108" s="1"/>
      <c r="AD108" s="1"/>
      <c r="AE108" s="1"/>
      <c r="AF108" s="1"/>
    </row>
    <row r="109" spans="2:32" x14ac:dyDescent="0.25">
      <c r="B109" s="105">
        <v>17</v>
      </c>
      <c r="C109" s="1">
        <f>SIMULIMO!H109</f>
        <v>-190183.32460989201</v>
      </c>
      <c r="D109" s="1">
        <f>SIMULIMO!I109</f>
        <v>9946.6753901079865</v>
      </c>
      <c r="E109" s="1">
        <f>SIMULIMO!J109</f>
        <v>10077.975390107989</v>
      </c>
      <c r="F109" s="1">
        <f>SIMULIMO!K109</f>
        <v>10210.588390107983</v>
      </c>
      <c r="G109" s="1">
        <f>SIMULIMO!L109</f>
        <v>10344.527520107989</v>
      </c>
      <c r="H109" s="1">
        <f>SIMULIMO!M109</f>
        <v>10479.806041407981</v>
      </c>
      <c r="I109" s="1">
        <f>SIMULIMO!N109</f>
        <v>10616.437347920984</v>
      </c>
      <c r="J109" s="1">
        <f>SIMULIMO!O109</f>
        <v>9268.5815816772119</v>
      </c>
      <c r="K109" s="1">
        <f>SIMULIMO!P109</f>
        <v>9029.2624182524596</v>
      </c>
      <c r="L109" s="1">
        <f>SIMULIMO!Q109</f>
        <v>9121.125580554115</v>
      </c>
      <c r="M109" s="1">
        <f>SIMULIMO!R109</f>
        <v>8931.8697010958349</v>
      </c>
      <c r="N109" s="1">
        <f>SIMULIMO!S109</f>
        <v>9025.5030586351295</v>
      </c>
      <c r="O109" s="1">
        <f>SIMULIMO!T109</f>
        <v>9120.0340072376675</v>
      </c>
      <c r="P109" s="1">
        <f>SIMULIMO!U109</f>
        <v>8944.0104610850503</v>
      </c>
      <c r="Q109" s="1">
        <f>SIMULIMO!V109</f>
        <v>8636.6033027793674</v>
      </c>
      <c r="R109" s="1">
        <f>SIMULIMO!W109</f>
        <v>8316.4537268711647</v>
      </c>
      <c r="S109" s="107">
        <f>SIMULIMO!X106+SIMULIMO!X109</f>
        <v>257930.73456732786</v>
      </c>
      <c r="T109" s="1"/>
      <c r="U109" s="1"/>
      <c r="V109" s="1"/>
      <c r="W109" s="1"/>
      <c r="X109" s="1"/>
      <c r="Y109" s="1"/>
      <c r="Z109" s="1"/>
      <c r="AA109" s="1"/>
      <c r="AB109" s="1"/>
      <c r="AC109" s="1"/>
      <c r="AD109" s="1"/>
      <c r="AE109" s="1"/>
      <c r="AF109" s="1"/>
    </row>
    <row r="110" spans="2:32" x14ac:dyDescent="0.25">
      <c r="B110" s="105">
        <v>18</v>
      </c>
      <c r="C110" s="1">
        <f>SIMULIMO!H109</f>
        <v>-190183.32460989201</v>
      </c>
      <c r="D110" s="1">
        <f>SIMULIMO!I109</f>
        <v>9946.6753901079865</v>
      </c>
      <c r="E110" s="1">
        <f>SIMULIMO!J109</f>
        <v>10077.975390107989</v>
      </c>
      <c r="F110" s="1">
        <f>SIMULIMO!K109</f>
        <v>10210.588390107983</v>
      </c>
      <c r="G110" s="1">
        <f>SIMULIMO!L109</f>
        <v>10344.527520107989</v>
      </c>
      <c r="H110" s="1">
        <f>SIMULIMO!M109</f>
        <v>10479.806041407981</v>
      </c>
      <c r="I110" s="1">
        <f>SIMULIMO!N109</f>
        <v>10616.437347920984</v>
      </c>
      <c r="J110" s="1">
        <f>SIMULIMO!O109</f>
        <v>9268.5815816772119</v>
      </c>
      <c r="K110" s="1">
        <f>SIMULIMO!P109</f>
        <v>9029.2624182524596</v>
      </c>
      <c r="L110" s="1">
        <f>SIMULIMO!Q109</f>
        <v>9121.125580554115</v>
      </c>
      <c r="M110" s="1">
        <f>SIMULIMO!R109</f>
        <v>8931.8697010958349</v>
      </c>
      <c r="N110" s="1">
        <f>SIMULIMO!S109</f>
        <v>9025.5030586351295</v>
      </c>
      <c r="O110" s="1">
        <f>SIMULIMO!T109</f>
        <v>9120.0340072376675</v>
      </c>
      <c r="P110" s="1">
        <f>SIMULIMO!U109</f>
        <v>8944.0104610850503</v>
      </c>
      <c r="Q110" s="1">
        <f>SIMULIMO!V109</f>
        <v>8636.6033027793674</v>
      </c>
      <c r="R110" s="1">
        <f>SIMULIMO!W109</f>
        <v>8316.4537268711647</v>
      </c>
      <c r="S110" s="1">
        <f>SIMULIMO!X109</f>
        <v>7983.0787084615913</v>
      </c>
      <c r="T110" s="107">
        <f>SIMULIMO!Y106+SIMULIMO!Y109</f>
        <v>262694.82916266</v>
      </c>
      <c r="U110" s="2"/>
      <c r="V110" s="1"/>
      <c r="W110" s="1"/>
      <c r="X110" s="1"/>
      <c r="Y110" s="1"/>
      <c r="Z110" s="1"/>
      <c r="AA110" s="1"/>
      <c r="AB110" s="1"/>
      <c r="AC110" s="1"/>
      <c r="AD110" s="1"/>
      <c r="AE110" s="1"/>
      <c r="AF110" s="1"/>
    </row>
    <row r="111" spans="2:32" x14ac:dyDescent="0.25">
      <c r="B111" s="105">
        <v>19</v>
      </c>
      <c r="C111" s="1">
        <f>SIMULIMO!H109</f>
        <v>-190183.32460989201</v>
      </c>
      <c r="D111" s="1">
        <f>SIMULIMO!I109</f>
        <v>9946.6753901079865</v>
      </c>
      <c r="E111" s="1">
        <f>SIMULIMO!J109</f>
        <v>10077.975390107989</v>
      </c>
      <c r="F111" s="1">
        <f>SIMULIMO!K109</f>
        <v>10210.588390107983</v>
      </c>
      <c r="G111" s="1">
        <f>SIMULIMO!L109</f>
        <v>10344.527520107989</v>
      </c>
      <c r="H111" s="1">
        <f>SIMULIMO!M109</f>
        <v>10479.806041407981</v>
      </c>
      <c r="I111" s="1">
        <f>SIMULIMO!N109</f>
        <v>10616.437347920984</v>
      </c>
      <c r="J111" s="1">
        <f>SIMULIMO!O109</f>
        <v>9268.5815816772119</v>
      </c>
      <c r="K111" s="1">
        <f>SIMULIMO!P109</f>
        <v>9029.2624182524596</v>
      </c>
      <c r="L111" s="1">
        <f>SIMULIMO!Q109</f>
        <v>9121.125580554115</v>
      </c>
      <c r="M111" s="1">
        <f>SIMULIMO!R109</f>
        <v>8931.8697010958349</v>
      </c>
      <c r="N111" s="1">
        <f>SIMULIMO!S109</f>
        <v>9025.5030586351295</v>
      </c>
      <c r="O111" s="1">
        <f>SIMULIMO!T109</f>
        <v>9120.0340072376675</v>
      </c>
      <c r="P111" s="1">
        <f>SIMULIMO!U109</f>
        <v>8944.0104610850503</v>
      </c>
      <c r="Q111" s="1">
        <f>SIMULIMO!V109</f>
        <v>8636.6033027793674</v>
      </c>
      <c r="R111" s="1">
        <f>SIMULIMO!W109</f>
        <v>8316.4537268711647</v>
      </c>
      <c r="S111" s="1">
        <f>SIMULIMO!X109</f>
        <v>7983.0787084615913</v>
      </c>
      <c r="T111" s="1">
        <f>SIMULIMO!Y109</f>
        <v>7850.5117067333949</v>
      </c>
      <c r="U111" s="107">
        <f>SIMULIMO!Z106+SIMULIMO!Z109</f>
        <v>267792.71515013056</v>
      </c>
      <c r="V111" s="1"/>
      <c r="W111" s="1"/>
      <c r="X111" s="1"/>
      <c r="Y111" s="1"/>
      <c r="Z111" s="1"/>
      <c r="AA111" s="1"/>
      <c r="AB111" s="1"/>
      <c r="AC111" s="1"/>
      <c r="AD111" s="1"/>
      <c r="AE111" s="1"/>
      <c r="AF111" s="1"/>
    </row>
    <row r="112" spans="2:32" x14ac:dyDescent="0.25">
      <c r="B112" s="105">
        <v>20</v>
      </c>
      <c r="C112" s="1">
        <f>SIMULIMO!H109</f>
        <v>-190183.32460989201</v>
      </c>
      <c r="D112" s="1">
        <f>SIMULIMO!I109</f>
        <v>9946.6753901079865</v>
      </c>
      <c r="E112" s="1">
        <f>SIMULIMO!J109</f>
        <v>10077.975390107989</v>
      </c>
      <c r="F112" s="1">
        <f>SIMULIMO!K109</f>
        <v>10210.588390107983</v>
      </c>
      <c r="G112" s="1">
        <f>SIMULIMO!L109</f>
        <v>10344.527520107989</v>
      </c>
      <c r="H112" s="1">
        <f>SIMULIMO!M109</f>
        <v>10479.806041407981</v>
      </c>
      <c r="I112" s="1">
        <f>SIMULIMO!N109</f>
        <v>10616.437347920984</v>
      </c>
      <c r="J112" s="1">
        <f>SIMULIMO!O109</f>
        <v>9268.5815816772119</v>
      </c>
      <c r="K112" s="1">
        <f>SIMULIMO!P109</f>
        <v>9029.2624182524596</v>
      </c>
      <c r="L112" s="1">
        <f>SIMULIMO!Q109</f>
        <v>9121.125580554115</v>
      </c>
      <c r="M112" s="1">
        <f>SIMULIMO!R109</f>
        <v>8931.8697010958349</v>
      </c>
      <c r="N112" s="1">
        <f>SIMULIMO!S109</f>
        <v>9025.5030586351295</v>
      </c>
      <c r="O112" s="1">
        <f>SIMULIMO!T109</f>
        <v>9120.0340072376675</v>
      </c>
      <c r="P112" s="1">
        <f>SIMULIMO!U109</f>
        <v>8944.0104610850503</v>
      </c>
      <c r="Q112" s="1">
        <f>SIMULIMO!V109</f>
        <v>8636.6033027793674</v>
      </c>
      <c r="R112" s="1">
        <f>SIMULIMO!W109</f>
        <v>8316.4537268711647</v>
      </c>
      <c r="S112" s="1">
        <f>SIMULIMO!X109</f>
        <v>7983.0787084615913</v>
      </c>
      <c r="T112" s="1">
        <f>SIMULIMO!Y109</f>
        <v>7850.5117067333949</v>
      </c>
      <c r="U112" s="1">
        <f>SIMULIMO!Z109</f>
        <v>7914.3170295648661</v>
      </c>
      <c r="V112" s="107">
        <f>SIMULIMO!AA106+SIMULIMO!AA109</f>
        <v>273030.50415971928</v>
      </c>
      <c r="W112" s="1"/>
      <c r="X112" s="1"/>
      <c r="Y112" s="1"/>
      <c r="Z112" s="1"/>
      <c r="AA112" s="1"/>
      <c r="AB112" s="1"/>
      <c r="AC112" s="1"/>
      <c r="AD112" s="1"/>
      <c r="AE112" s="1"/>
      <c r="AF112" s="1"/>
    </row>
    <row r="113" spans="2:32" x14ac:dyDescent="0.25">
      <c r="B113" s="105">
        <v>21</v>
      </c>
      <c r="C113" s="1">
        <f>SIMULIMO!H109</f>
        <v>-190183.32460989201</v>
      </c>
      <c r="D113" s="1">
        <f>SIMULIMO!I109</f>
        <v>9946.6753901079865</v>
      </c>
      <c r="E113" s="1">
        <f>SIMULIMO!J109</f>
        <v>10077.975390107989</v>
      </c>
      <c r="F113" s="1">
        <f>SIMULIMO!K109</f>
        <v>10210.588390107983</v>
      </c>
      <c r="G113" s="1">
        <f>SIMULIMO!L109</f>
        <v>10344.527520107989</v>
      </c>
      <c r="H113" s="1">
        <f>SIMULIMO!M109</f>
        <v>10479.806041407981</v>
      </c>
      <c r="I113" s="1">
        <f>SIMULIMO!N109</f>
        <v>10616.437347920984</v>
      </c>
      <c r="J113" s="1">
        <f>SIMULIMO!O109</f>
        <v>9268.5815816772119</v>
      </c>
      <c r="K113" s="1">
        <f>SIMULIMO!P109</f>
        <v>9029.2624182524596</v>
      </c>
      <c r="L113" s="1">
        <f>SIMULIMO!Q109</f>
        <v>9121.125580554115</v>
      </c>
      <c r="M113" s="1">
        <f>SIMULIMO!R109</f>
        <v>8931.8697010958349</v>
      </c>
      <c r="N113" s="1">
        <f>SIMULIMO!S109</f>
        <v>9025.5030586351295</v>
      </c>
      <c r="O113" s="1">
        <f>SIMULIMO!T109</f>
        <v>9120.0340072376675</v>
      </c>
      <c r="P113" s="1">
        <f>SIMULIMO!U109</f>
        <v>8944.0104610850503</v>
      </c>
      <c r="Q113" s="1">
        <f>SIMULIMO!V109</f>
        <v>8636.6033027793674</v>
      </c>
      <c r="R113" s="1">
        <f>SIMULIMO!W109</f>
        <v>8316.4537268711647</v>
      </c>
      <c r="S113" s="1">
        <f>SIMULIMO!X109</f>
        <v>7983.0787084615913</v>
      </c>
      <c r="T113" s="1">
        <f>SIMULIMO!Y109</f>
        <v>7850.5117067333949</v>
      </c>
      <c r="U113" s="1">
        <f>SIMULIMO!Z109</f>
        <v>7914.3170295648661</v>
      </c>
      <c r="V113" s="1">
        <f>SIMULIMO!AA109</f>
        <v>7978.6888874009319</v>
      </c>
      <c r="W113" s="107">
        <f>SIMULIMO!AB106+SIMULIMO!AB109</f>
        <v>278410.14349484118</v>
      </c>
      <c r="X113" s="1"/>
      <c r="Y113" s="1"/>
      <c r="Z113" s="1"/>
      <c r="AA113" s="1"/>
      <c r="AB113" s="1"/>
      <c r="AC113" s="1"/>
      <c r="AD113" s="1"/>
      <c r="AE113" s="1"/>
      <c r="AF113" s="1"/>
    </row>
    <row r="114" spans="2:32" x14ac:dyDescent="0.25">
      <c r="B114" s="105">
        <v>22</v>
      </c>
      <c r="C114" s="1">
        <f>SIMULIMO!H109</f>
        <v>-190183.32460989201</v>
      </c>
      <c r="D114" s="1">
        <f>SIMULIMO!I109</f>
        <v>9946.6753901079865</v>
      </c>
      <c r="E114" s="1">
        <f>SIMULIMO!J109</f>
        <v>10077.975390107989</v>
      </c>
      <c r="F114" s="1">
        <f>SIMULIMO!K109</f>
        <v>10210.588390107983</v>
      </c>
      <c r="G114" s="1">
        <f>SIMULIMO!L109</f>
        <v>10344.527520107989</v>
      </c>
      <c r="H114" s="1">
        <f>SIMULIMO!M109</f>
        <v>10479.806041407981</v>
      </c>
      <c r="I114" s="1">
        <f>SIMULIMO!N109</f>
        <v>10616.437347920984</v>
      </c>
      <c r="J114" s="1">
        <f>SIMULIMO!O109</f>
        <v>9268.5815816772119</v>
      </c>
      <c r="K114" s="1">
        <f>SIMULIMO!P109</f>
        <v>9029.2624182524596</v>
      </c>
      <c r="L114" s="1">
        <f>SIMULIMO!Q109</f>
        <v>9121.125580554115</v>
      </c>
      <c r="M114" s="1">
        <f>SIMULIMO!R109</f>
        <v>8931.8697010958349</v>
      </c>
      <c r="N114" s="1">
        <f>SIMULIMO!S109</f>
        <v>9025.5030586351295</v>
      </c>
      <c r="O114" s="1">
        <f>SIMULIMO!T109</f>
        <v>9120.0340072376675</v>
      </c>
      <c r="P114" s="1">
        <f>SIMULIMO!U109</f>
        <v>8944.0104610850503</v>
      </c>
      <c r="Q114" s="1">
        <f>SIMULIMO!V109</f>
        <v>8636.6033027793674</v>
      </c>
      <c r="R114" s="1">
        <f>SIMULIMO!W109</f>
        <v>8316.4537268711647</v>
      </c>
      <c r="S114" s="1">
        <f>SIMULIMO!X109</f>
        <v>7983.0787084615913</v>
      </c>
      <c r="T114" s="1">
        <f>SIMULIMO!Y109</f>
        <v>7850.5117067333949</v>
      </c>
      <c r="U114" s="1">
        <f>SIMULIMO!Z109</f>
        <v>7914.3170295648661</v>
      </c>
      <c r="V114" s="1">
        <f>SIMULIMO!AA109</f>
        <v>7978.6888874009319</v>
      </c>
      <c r="W114" s="1">
        <f>SIMULIMO!AB109</f>
        <v>8043.631937886712</v>
      </c>
      <c r="X114" s="107">
        <f>SIMULIMO!AC106+SIMULIMO!AC109</f>
        <v>283872.65549791168</v>
      </c>
      <c r="Y114" s="1"/>
      <c r="Z114" s="1"/>
      <c r="AA114" s="1"/>
      <c r="AB114" s="1"/>
      <c r="AC114" s="1"/>
      <c r="AD114" s="1"/>
      <c r="AE114" s="1"/>
      <c r="AF114" s="1"/>
    </row>
    <row r="115" spans="2:32" x14ac:dyDescent="0.25">
      <c r="B115" s="105">
        <v>23</v>
      </c>
      <c r="C115" s="1">
        <f>SIMULIMO!H109</f>
        <v>-190183.32460989201</v>
      </c>
      <c r="D115" s="1">
        <f>SIMULIMO!I109</f>
        <v>9946.6753901079865</v>
      </c>
      <c r="E115" s="1">
        <f>SIMULIMO!J109</f>
        <v>10077.975390107989</v>
      </c>
      <c r="F115" s="1">
        <f>SIMULIMO!K109</f>
        <v>10210.588390107983</v>
      </c>
      <c r="G115" s="1">
        <f>SIMULIMO!L109</f>
        <v>10344.527520107989</v>
      </c>
      <c r="H115" s="1">
        <f>SIMULIMO!M109</f>
        <v>10479.806041407981</v>
      </c>
      <c r="I115" s="1">
        <f>SIMULIMO!N109</f>
        <v>10616.437347920984</v>
      </c>
      <c r="J115" s="1">
        <f>SIMULIMO!O109</f>
        <v>9268.5815816772119</v>
      </c>
      <c r="K115" s="1">
        <f>SIMULIMO!P109</f>
        <v>9029.2624182524596</v>
      </c>
      <c r="L115" s="1">
        <f>SIMULIMO!Q109</f>
        <v>9121.125580554115</v>
      </c>
      <c r="M115" s="1">
        <f>SIMULIMO!R109</f>
        <v>8931.8697010958349</v>
      </c>
      <c r="N115" s="1">
        <f>SIMULIMO!S109</f>
        <v>9025.5030586351295</v>
      </c>
      <c r="O115" s="1">
        <f>SIMULIMO!T109</f>
        <v>9120.0340072376675</v>
      </c>
      <c r="P115" s="1">
        <f>SIMULIMO!U109</f>
        <v>8944.0104610850503</v>
      </c>
      <c r="Q115" s="1">
        <f>SIMULIMO!V109</f>
        <v>8636.6033027793674</v>
      </c>
      <c r="R115" s="1">
        <f>SIMULIMO!W109</f>
        <v>8316.4537268711647</v>
      </c>
      <c r="S115" s="1">
        <f>SIMULIMO!X109</f>
        <v>7983.0787084615913</v>
      </c>
      <c r="T115" s="1">
        <f>SIMULIMO!Y109</f>
        <v>7850.5117067333949</v>
      </c>
      <c r="U115" s="1">
        <f>SIMULIMO!Z109</f>
        <v>7914.3170295648661</v>
      </c>
      <c r="V115" s="1">
        <f>SIMULIMO!AA109</f>
        <v>7978.6888874009319</v>
      </c>
      <c r="W115" s="1">
        <f>SIMULIMO!AB109</f>
        <v>8043.631937886712</v>
      </c>
      <c r="X115" s="1">
        <f>SIMULIMO!AC109</f>
        <v>8109.1508710450798</v>
      </c>
      <c r="Y115" s="107">
        <f>SIMULIMO!AD106+SIMULIMO!AD109</f>
        <v>289553.85100693809</v>
      </c>
      <c r="Z115" s="1"/>
      <c r="AA115" s="1"/>
      <c r="AB115" s="1"/>
      <c r="AC115" s="1"/>
      <c r="AD115" s="1"/>
      <c r="AE115" s="1"/>
      <c r="AF115" s="1"/>
    </row>
    <row r="116" spans="2:32" x14ac:dyDescent="0.25">
      <c r="B116" s="105">
        <v>24</v>
      </c>
      <c r="C116" s="1">
        <f>SIMULIMO!H109</f>
        <v>-190183.32460989201</v>
      </c>
      <c r="D116" s="1">
        <f>SIMULIMO!I109</f>
        <v>9946.6753901079865</v>
      </c>
      <c r="E116" s="1">
        <f>SIMULIMO!J109</f>
        <v>10077.975390107989</v>
      </c>
      <c r="F116" s="1">
        <f>SIMULIMO!K109</f>
        <v>10210.588390107983</v>
      </c>
      <c r="G116" s="1">
        <f>SIMULIMO!L109</f>
        <v>10344.527520107989</v>
      </c>
      <c r="H116" s="1">
        <f>SIMULIMO!M109</f>
        <v>10479.806041407981</v>
      </c>
      <c r="I116" s="1">
        <f>SIMULIMO!N109</f>
        <v>10616.437347920984</v>
      </c>
      <c r="J116" s="1">
        <f>SIMULIMO!O109</f>
        <v>9268.5815816772119</v>
      </c>
      <c r="K116" s="1">
        <f>SIMULIMO!P109</f>
        <v>9029.2624182524596</v>
      </c>
      <c r="L116" s="1">
        <f>SIMULIMO!Q109</f>
        <v>9121.125580554115</v>
      </c>
      <c r="M116" s="1">
        <f>SIMULIMO!R109</f>
        <v>8931.8697010958349</v>
      </c>
      <c r="N116" s="1">
        <f>SIMULIMO!S109</f>
        <v>9025.5030586351295</v>
      </c>
      <c r="O116" s="1">
        <f>SIMULIMO!T109</f>
        <v>9120.0340072376675</v>
      </c>
      <c r="P116" s="1">
        <f>SIMULIMO!U109</f>
        <v>8944.0104610850503</v>
      </c>
      <c r="Q116" s="1">
        <f>SIMULIMO!V109</f>
        <v>8636.6033027793674</v>
      </c>
      <c r="R116" s="1">
        <f>SIMULIMO!W109</f>
        <v>8316.4537268711647</v>
      </c>
      <c r="S116" s="1">
        <f>SIMULIMO!X109</f>
        <v>7983.0787084615913</v>
      </c>
      <c r="T116" s="1">
        <f>SIMULIMO!Y109</f>
        <v>7850.5117067333949</v>
      </c>
      <c r="U116" s="1">
        <f>SIMULIMO!Z109</f>
        <v>7914.3170295648661</v>
      </c>
      <c r="V116" s="1">
        <f>SIMULIMO!AA109</f>
        <v>7978.6888874009319</v>
      </c>
      <c r="W116" s="1">
        <f>SIMULIMO!AB109</f>
        <v>8043.631937886712</v>
      </c>
      <c r="X116" s="1">
        <f>SIMULIMO!AC109</f>
        <v>8109.1508710450798</v>
      </c>
      <c r="Y116" s="1">
        <f>SIMULIMO!AD109</f>
        <v>8175.2504094002879</v>
      </c>
      <c r="Z116" s="107">
        <f>SIMULIMO!AE106+SIMULIMO!AE109</f>
        <v>295389.96471281286</v>
      </c>
      <c r="AA116" s="1"/>
      <c r="AB116" s="1"/>
      <c r="AC116" s="1"/>
      <c r="AD116" s="1"/>
      <c r="AE116" s="1"/>
      <c r="AF116" s="1"/>
    </row>
    <row r="117" spans="2:32" x14ac:dyDescent="0.25">
      <c r="B117" s="105">
        <v>25</v>
      </c>
      <c r="C117" s="1">
        <f>SIMULIMO!H109</f>
        <v>-190183.32460989201</v>
      </c>
      <c r="D117" s="1">
        <f>SIMULIMO!I109</f>
        <v>9946.6753901079865</v>
      </c>
      <c r="E117" s="1">
        <f>SIMULIMO!J109</f>
        <v>10077.975390107989</v>
      </c>
      <c r="F117" s="1">
        <f>SIMULIMO!K109</f>
        <v>10210.588390107983</v>
      </c>
      <c r="G117" s="1">
        <f>SIMULIMO!L109</f>
        <v>10344.527520107989</v>
      </c>
      <c r="H117" s="1">
        <f>SIMULIMO!M109</f>
        <v>10479.806041407981</v>
      </c>
      <c r="I117" s="1">
        <f>SIMULIMO!N109</f>
        <v>10616.437347920984</v>
      </c>
      <c r="J117" s="1">
        <f>SIMULIMO!O109</f>
        <v>9268.5815816772119</v>
      </c>
      <c r="K117" s="1">
        <f>SIMULIMO!P109</f>
        <v>9029.2624182524596</v>
      </c>
      <c r="L117" s="1">
        <f>SIMULIMO!Q109</f>
        <v>9121.125580554115</v>
      </c>
      <c r="M117" s="1">
        <f>SIMULIMO!R109</f>
        <v>8931.8697010958349</v>
      </c>
      <c r="N117" s="1">
        <f>SIMULIMO!S109</f>
        <v>9025.5030586351295</v>
      </c>
      <c r="O117" s="1">
        <f>SIMULIMO!T109</f>
        <v>9120.0340072376675</v>
      </c>
      <c r="P117" s="1">
        <f>SIMULIMO!U109</f>
        <v>8944.0104610850503</v>
      </c>
      <c r="Q117" s="1">
        <f>SIMULIMO!V109</f>
        <v>8636.6033027793674</v>
      </c>
      <c r="R117" s="1">
        <f>SIMULIMO!W109</f>
        <v>8316.4537268711647</v>
      </c>
      <c r="S117" s="1">
        <f>SIMULIMO!X109</f>
        <v>7983.0787084615913</v>
      </c>
      <c r="T117" s="1">
        <f>SIMULIMO!Y109</f>
        <v>7850.5117067333949</v>
      </c>
      <c r="U117" s="1">
        <f>SIMULIMO!Z109</f>
        <v>7914.3170295648661</v>
      </c>
      <c r="V117" s="1">
        <f>SIMULIMO!AA109</f>
        <v>7978.6888874009319</v>
      </c>
      <c r="W117" s="1">
        <f>SIMULIMO!AB109</f>
        <v>8043.631937886712</v>
      </c>
      <c r="X117" s="1">
        <f>SIMULIMO!AC109</f>
        <v>8109.1508710450798</v>
      </c>
      <c r="Y117" s="1">
        <f>SIMULIMO!AD109</f>
        <v>8175.2504094002879</v>
      </c>
      <c r="Z117" s="1">
        <f>SIMULIMO!AE109</f>
        <v>8241.9353081001482</v>
      </c>
      <c r="AA117" s="107">
        <f>SIMULIMO!AF106+SIMULIMO!AF109</f>
        <v>301383.15483370365</v>
      </c>
      <c r="AB117" s="1"/>
      <c r="AC117" s="1"/>
      <c r="AD117" s="1"/>
      <c r="AE117" s="1"/>
      <c r="AF117" s="1"/>
    </row>
    <row r="118" spans="2:32" x14ac:dyDescent="0.25">
      <c r="B118" s="105">
        <v>26</v>
      </c>
      <c r="C118" s="1">
        <f>SIMULIMO!H109</f>
        <v>-190183.32460989201</v>
      </c>
      <c r="D118" s="1">
        <f>SIMULIMO!I109</f>
        <v>9946.6753901079865</v>
      </c>
      <c r="E118" s="1">
        <f>SIMULIMO!J109</f>
        <v>10077.975390107989</v>
      </c>
      <c r="F118" s="1">
        <f>SIMULIMO!K109</f>
        <v>10210.588390107983</v>
      </c>
      <c r="G118" s="1">
        <f>SIMULIMO!L109</f>
        <v>10344.527520107989</v>
      </c>
      <c r="H118" s="1">
        <f>SIMULIMO!M109</f>
        <v>10479.806041407981</v>
      </c>
      <c r="I118" s="1">
        <f>SIMULIMO!N109</f>
        <v>10616.437347920984</v>
      </c>
      <c r="J118" s="1">
        <f>SIMULIMO!O109</f>
        <v>9268.5815816772119</v>
      </c>
      <c r="K118" s="1">
        <f>SIMULIMO!P109</f>
        <v>9029.2624182524596</v>
      </c>
      <c r="L118" s="1">
        <f>SIMULIMO!Q109</f>
        <v>9121.125580554115</v>
      </c>
      <c r="M118" s="1">
        <f>SIMULIMO!R109</f>
        <v>8931.8697010958349</v>
      </c>
      <c r="N118" s="1">
        <f>SIMULIMO!S109</f>
        <v>9025.5030586351295</v>
      </c>
      <c r="O118" s="1">
        <f>SIMULIMO!T109</f>
        <v>9120.0340072376675</v>
      </c>
      <c r="P118" s="1">
        <f>SIMULIMO!U109</f>
        <v>8944.0104610850503</v>
      </c>
      <c r="Q118" s="1">
        <f>SIMULIMO!V109</f>
        <v>8636.6033027793674</v>
      </c>
      <c r="R118" s="1">
        <f>SIMULIMO!W109</f>
        <v>8316.4537268711647</v>
      </c>
      <c r="S118" s="1">
        <f>SIMULIMO!X109</f>
        <v>7983.0787084615913</v>
      </c>
      <c r="T118" s="1">
        <f>SIMULIMO!Y109</f>
        <v>7850.5117067333949</v>
      </c>
      <c r="U118" s="1">
        <f>SIMULIMO!Z109</f>
        <v>7914.3170295648661</v>
      </c>
      <c r="V118" s="1">
        <f>SIMULIMO!AA109</f>
        <v>7978.6888874009319</v>
      </c>
      <c r="W118" s="1">
        <f>SIMULIMO!AB109</f>
        <v>8043.631937886712</v>
      </c>
      <c r="X118" s="1">
        <f>SIMULIMO!AC109</f>
        <v>8109.1508710450798</v>
      </c>
      <c r="Y118" s="1">
        <f>SIMULIMO!AD109</f>
        <v>8175.2504094002879</v>
      </c>
      <c r="Z118" s="1">
        <f>SIMULIMO!AE109</f>
        <v>8241.9353081001482</v>
      </c>
      <c r="AA118" s="1">
        <f>SIMULIMO!AF109</f>
        <v>8309.2103550365282</v>
      </c>
      <c r="AB118" s="107">
        <f>SIMULIMO!AG106+SIMULIMO!AG109</f>
        <v>307558.195321062</v>
      </c>
      <c r="AC118" s="1"/>
      <c r="AD118" s="1"/>
      <c r="AE118" s="1"/>
      <c r="AF118" s="1"/>
    </row>
    <row r="119" spans="2:32" x14ac:dyDescent="0.25">
      <c r="B119" s="105">
        <v>27</v>
      </c>
      <c r="C119" s="1">
        <f>SIMULIMO!H109</f>
        <v>-190183.32460989201</v>
      </c>
      <c r="D119" s="1">
        <f>SIMULIMO!I109</f>
        <v>9946.6753901079865</v>
      </c>
      <c r="E119" s="1">
        <f>SIMULIMO!J109</f>
        <v>10077.975390107989</v>
      </c>
      <c r="F119" s="1">
        <f>SIMULIMO!K109</f>
        <v>10210.588390107983</v>
      </c>
      <c r="G119" s="1">
        <f>SIMULIMO!L109</f>
        <v>10344.527520107989</v>
      </c>
      <c r="H119" s="1">
        <f>SIMULIMO!M109</f>
        <v>10479.806041407981</v>
      </c>
      <c r="I119" s="1">
        <f>SIMULIMO!N109</f>
        <v>10616.437347920984</v>
      </c>
      <c r="J119" s="1">
        <f>SIMULIMO!O109</f>
        <v>9268.5815816772119</v>
      </c>
      <c r="K119" s="1">
        <f>SIMULIMO!P109</f>
        <v>9029.2624182524596</v>
      </c>
      <c r="L119" s="1">
        <f>SIMULIMO!Q109</f>
        <v>9121.125580554115</v>
      </c>
      <c r="M119" s="1">
        <f>SIMULIMO!R109</f>
        <v>8931.8697010958349</v>
      </c>
      <c r="N119" s="1">
        <f>SIMULIMO!S109</f>
        <v>9025.5030586351295</v>
      </c>
      <c r="O119" s="1">
        <f>SIMULIMO!T109</f>
        <v>9120.0340072376675</v>
      </c>
      <c r="P119" s="1">
        <f>SIMULIMO!U109</f>
        <v>8944.0104610850503</v>
      </c>
      <c r="Q119" s="1">
        <f>SIMULIMO!V109</f>
        <v>8636.6033027793674</v>
      </c>
      <c r="R119" s="1">
        <f>SIMULIMO!W109</f>
        <v>8316.4537268711647</v>
      </c>
      <c r="S119" s="1">
        <f>SIMULIMO!X109</f>
        <v>7983.0787084615913</v>
      </c>
      <c r="T119" s="1">
        <f>SIMULIMO!Y109</f>
        <v>7850.5117067333949</v>
      </c>
      <c r="U119" s="1">
        <f>SIMULIMO!Z109</f>
        <v>7914.3170295648661</v>
      </c>
      <c r="V119" s="1">
        <f>SIMULIMO!AA109</f>
        <v>7978.6888874009319</v>
      </c>
      <c r="W119" s="1">
        <f>SIMULIMO!AB109</f>
        <v>8043.631937886712</v>
      </c>
      <c r="X119" s="1">
        <f>SIMULIMO!AC109</f>
        <v>8109.1508710450798</v>
      </c>
      <c r="Y119" s="1">
        <f>SIMULIMO!AD109</f>
        <v>8175.2504094002879</v>
      </c>
      <c r="Z119" s="1">
        <f>SIMULIMO!AE109</f>
        <v>8241.9353081001482</v>
      </c>
      <c r="AA119" s="1">
        <f>SIMULIMO!AF109</f>
        <v>8309.2103550365282</v>
      </c>
      <c r="AB119" s="1">
        <f>SIMULIMO!AG109</f>
        <v>11340.213213798294</v>
      </c>
      <c r="AC119" s="107">
        <f>SIMULIMO!AH106+SIMULIMO!AH109</f>
        <v>310909.70464392059</v>
      </c>
      <c r="AD119" s="1"/>
      <c r="AE119" s="1"/>
      <c r="AF119" s="1"/>
    </row>
    <row r="120" spans="2:32" x14ac:dyDescent="0.25">
      <c r="B120" s="105">
        <v>28</v>
      </c>
      <c r="C120" s="1">
        <f>SIMULIMO!H109</f>
        <v>-190183.32460989201</v>
      </c>
      <c r="D120" s="1">
        <f>SIMULIMO!I109</f>
        <v>9946.6753901079865</v>
      </c>
      <c r="E120" s="1">
        <f>SIMULIMO!J109</f>
        <v>10077.975390107989</v>
      </c>
      <c r="F120" s="1">
        <f>SIMULIMO!K109</f>
        <v>10210.588390107983</v>
      </c>
      <c r="G120" s="1">
        <f>SIMULIMO!L109</f>
        <v>10344.527520107989</v>
      </c>
      <c r="H120" s="1">
        <f>SIMULIMO!M109</f>
        <v>10479.806041407981</v>
      </c>
      <c r="I120" s="1">
        <f>SIMULIMO!N109</f>
        <v>10616.437347920984</v>
      </c>
      <c r="J120" s="1">
        <f>SIMULIMO!O109</f>
        <v>9268.5815816772119</v>
      </c>
      <c r="K120" s="1">
        <f>SIMULIMO!P109</f>
        <v>9029.2624182524596</v>
      </c>
      <c r="L120" s="1">
        <f>SIMULIMO!Q109</f>
        <v>9121.125580554115</v>
      </c>
      <c r="M120" s="1">
        <f>SIMULIMO!R109</f>
        <v>8931.8697010958349</v>
      </c>
      <c r="N120" s="1">
        <f>SIMULIMO!S109</f>
        <v>9025.5030586351295</v>
      </c>
      <c r="O120" s="1">
        <f>SIMULIMO!T109</f>
        <v>9120.0340072376675</v>
      </c>
      <c r="P120" s="1">
        <f>SIMULIMO!U109</f>
        <v>8944.0104610850503</v>
      </c>
      <c r="Q120" s="1">
        <f>SIMULIMO!V109</f>
        <v>8636.6033027793674</v>
      </c>
      <c r="R120" s="1">
        <f>SIMULIMO!W109</f>
        <v>8316.4537268711647</v>
      </c>
      <c r="S120" s="1">
        <f>SIMULIMO!X109</f>
        <v>7983.0787084615913</v>
      </c>
      <c r="T120" s="1">
        <f>SIMULIMO!Y109</f>
        <v>7850.5117067333949</v>
      </c>
      <c r="U120" s="1">
        <f>SIMULIMO!Z109</f>
        <v>7914.3170295648661</v>
      </c>
      <c r="V120" s="1">
        <f>SIMULIMO!AA109</f>
        <v>7978.6888874009319</v>
      </c>
      <c r="W120" s="1">
        <f>SIMULIMO!AB109</f>
        <v>8043.631937886712</v>
      </c>
      <c r="X120" s="1">
        <f>SIMULIMO!AC109</f>
        <v>8109.1508710450798</v>
      </c>
      <c r="Y120" s="1">
        <f>SIMULIMO!AD109</f>
        <v>8175.2504094002879</v>
      </c>
      <c r="Z120" s="1">
        <f>SIMULIMO!AE109</f>
        <v>8241.9353081001482</v>
      </c>
      <c r="AA120" s="1">
        <f>SIMULIMO!AF109</f>
        <v>8309.2103550365282</v>
      </c>
      <c r="AB120" s="1">
        <f>SIMULIMO!AG109</f>
        <v>11340.213213798294</v>
      </c>
      <c r="AC120" s="1">
        <f>SIMULIMO!AH109</f>
        <v>11428.239345936277</v>
      </c>
      <c r="AD120" s="107">
        <f>SIMULIMO!AI106+SIMULIMO!AI109</f>
        <v>314383.19540890428</v>
      </c>
      <c r="AE120" s="1"/>
      <c r="AF120" s="1"/>
    </row>
    <row r="121" spans="2:32" x14ac:dyDescent="0.25">
      <c r="B121" s="105">
        <v>29</v>
      </c>
      <c r="C121" s="1">
        <f>SIMULIMO!H109</f>
        <v>-190183.32460989201</v>
      </c>
      <c r="D121" s="1">
        <f>SIMULIMO!I109</f>
        <v>9946.6753901079865</v>
      </c>
      <c r="E121" s="1">
        <f>SIMULIMO!J109</f>
        <v>10077.975390107989</v>
      </c>
      <c r="F121" s="1">
        <f>SIMULIMO!K109</f>
        <v>10210.588390107983</v>
      </c>
      <c r="G121" s="1">
        <f>SIMULIMO!L109</f>
        <v>10344.527520107989</v>
      </c>
      <c r="H121" s="1">
        <f>SIMULIMO!M109</f>
        <v>10479.806041407981</v>
      </c>
      <c r="I121" s="1">
        <f>SIMULIMO!N109</f>
        <v>10616.437347920984</v>
      </c>
      <c r="J121" s="1">
        <f>SIMULIMO!O109</f>
        <v>9268.5815816772119</v>
      </c>
      <c r="K121" s="1">
        <f>SIMULIMO!P109</f>
        <v>9029.2624182524596</v>
      </c>
      <c r="L121" s="1">
        <f>SIMULIMO!Q109</f>
        <v>9121.125580554115</v>
      </c>
      <c r="M121" s="1">
        <f>SIMULIMO!R109</f>
        <v>8931.8697010958349</v>
      </c>
      <c r="N121" s="1">
        <f>SIMULIMO!S109</f>
        <v>9025.5030586351295</v>
      </c>
      <c r="O121" s="1">
        <f>SIMULIMO!T109</f>
        <v>9120.0340072376675</v>
      </c>
      <c r="P121" s="1">
        <f>SIMULIMO!U109</f>
        <v>8944.0104610850503</v>
      </c>
      <c r="Q121" s="1">
        <f>SIMULIMO!V109</f>
        <v>8636.6033027793674</v>
      </c>
      <c r="R121" s="1">
        <f>SIMULIMO!W109</f>
        <v>8316.4537268711647</v>
      </c>
      <c r="S121" s="1">
        <f>SIMULIMO!X109</f>
        <v>7983.0787084615913</v>
      </c>
      <c r="T121" s="1">
        <f>SIMULIMO!Y109</f>
        <v>7850.5117067333949</v>
      </c>
      <c r="U121" s="1">
        <f>SIMULIMO!Z109</f>
        <v>7914.3170295648661</v>
      </c>
      <c r="V121" s="1">
        <f>SIMULIMO!AA109</f>
        <v>7978.6888874009319</v>
      </c>
      <c r="W121" s="1">
        <f>SIMULIMO!AB109</f>
        <v>8043.631937886712</v>
      </c>
      <c r="X121" s="1">
        <f>SIMULIMO!AC109</f>
        <v>8109.1508710450798</v>
      </c>
      <c r="Y121" s="1">
        <f>SIMULIMO!AD109</f>
        <v>8175.2504094002879</v>
      </c>
      <c r="Z121" s="1">
        <f>SIMULIMO!AE109</f>
        <v>8241.9353081001482</v>
      </c>
      <c r="AA121" s="1">
        <f>SIMULIMO!AF109</f>
        <v>8309.2103550365282</v>
      </c>
      <c r="AB121" s="1">
        <f>SIMULIMO!AG109</f>
        <v>11340.213213798294</v>
      </c>
      <c r="AC121" s="1">
        <f>SIMULIMO!AH109</f>
        <v>11428.239345936277</v>
      </c>
      <c r="AD121" s="1">
        <f>SIMULIMO!AI109</f>
        <v>11517.145739395635</v>
      </c>
      <c r="AE121" s="107">
        <f>SIMULIMO!AJ106+SIMULIMO!AJ109</f>
        <v>317980.35320512339</v>
      </c>
      <c r="AF121" s="1"/>
    </row>
    <row r="122" spans="2:32" x14ac:dyDescent="0.25">
      <c r="B122" s="105">
        <v>30</v>
      </c>
      <c r="C122" s="1">
        <f>SIMULIMO!H109</f>
        <v>-190183.32460989201</v>
      </c>
      <c r="D122" s="1">
        <f>SIMULIMO!I109</f>
        <v>9946.6753901079865</v>
      </c>
      <c r="E122" s="1">
        <f>SIMULIMO!J109</f>
        <v>10077.975390107989</v>
      </c>
      <c r="F122" s="1">
        <f>SIMULIMO!K109</f>
        <v>10210.588390107983</v>
      </c>
      <c r="G122" s="1">
        <f>SIMULIMO!L109</f>
        <v>10344.527520107989</v>
      </c>
      <c r="H122" s="1">
        <f>SIMULIMO!M109</f>
        <v>10479.806041407981</v>
      </c>
      <c r="I122" s="1">
        <f>SIMULIMO!N109</f>
        <v>10616.437347920984</v>
      </c>
      <c r="J122" s="1">
        <f>SIMULIMO!O109</f>
        <v>9268.5815816772119</v>
      </c>
      <c r="K122" s="1">
        <f>SIMULIMO!P109</f>
        <v>9029.2624182524596</v>
      </c>
      <c r="L122" s="1">
        <f>SIMULIMO!Q109</f>
        <v>9121.125580554115</v>
      </c>
      <c r="M122" s="1">
        <f>SIMULIMO!R109</f>
        <v>8931.8697010958349</v>
      </c>
      <c r="N122" s="1">
        <f>SIMULIMO!S109</f>
        <v>9025.5030586351295</v>
      </c>
      <c r="O122" s="1">
        <f>SIMULIMO!T109</f>
        <v>9120.0340072376675</v>
      </c>
      <c r="P122" s="1">
        <f>SIMULIMO!U109</f>
        <v>8944.0104610850503</v>
      </c>
      <c r="Q122" s="1">
        <f>SIMULIMO!V109</f>
        <v>8636.6033027793674</v>
      </c>
      <c r="R122" s="1">
        <f>SIMULIMO!W109</f>
        <v>8316.4537268711647</v>
      </c>
      <c r="S122" s="1">
        <f>SIMULIMO!X109</f>
        <v>7983.0787084615913</v>
      </c>
      <c r="T122" s="1">
        <f>SIMULIMO!Y109</f>
        <v>7850.5117067333949</v>
      </c>
      <c r="U122" s="1">
        <f>SIMULIMO!Z109</f>
        <v>7914.3170295648661</v>
      </c>
      <c r="V122" s="1">
        <f>SIMULIMO!AA109</f>
        <v>7978.6888874009319</v>
      </c>
      <c r="W122" s="1">
        <f>SIMULIMO!AB109</f>
        <v>8043.631937886712</v>
      </c>
      <c r="X122" s="1">
        <f>SIMULIMO!AC109</f>
        <v>8109.1508710450798</v>
      </c>
      <c r="Y122" s="1">
        <f>SIMULIMO!AD109</f>
        <v>8175.2504094002879</v>
      </c>
      <c r="Z122" s="1">
        <f>SIMULIMO!AE109</f>
        <v>8241.9353081001482</v>
      </c>
      <c r="AA122" s="1">
        <f>SIMULIMO!AF109</f>
        <v>8309.2103550365282</v>
      </c>
      <c r="AB122" s="1">
        <f>SIMULIMO!AG109</f>
        <v>11340.213213798294</v>
      </c>
      <c r="AC122" s="1">
        <f>SIMULIMO!AH109</f>
        <v>11428.239345936277</v>
      </c>
      <c r="AD122" s="1">
        <f>SIMULIMO!AI109</f>
        <v>11517.145739395635</v>
      </c>
      <c r="AE122" s="1">
        <f>SIMULIMO!AJ109</f>
        <v>11606.941196789598</v>
      </c>
      <c r="AF122" s="107">
        <f>SIMULIMO!AK106+SIMULIMO!AK109</f>
        <v>321702.88513532595</v>
      </c>
    </row>
    <row r="127" spans="2:32" ht="21" x14ac:dyDescent="0.35">
      <c r="B127" s="180" t="s">
        <v>270</v>
      </c>
    </row>
    <row r="129" spans="2:32" ht="15.75" x14ac:dyDescent="0.25">
      <c r="B129" s="183" t="s">
        <v>269</v>
      </c>
      <c r="C129" s="183">
        <v>1</v>
      </c>
      <c r="D129" s="183">
        <v>2</v>
      </c>
      <c r="E129" s="183">
        <v>3</v>
      </c>
      <c r="F129" s="183">
        <v>4</v>
      </c>
      <c r="G129" s="183">
        <v>5</v>
      </c>
      <c r="H129" s="183">
        <v>6</v>
      </c>
      <c r="I129" s="183">
        <v>7</v>
      </c>
      <c r="J129" s="183">
        <v>8</v>
      </c>
      <c r="K129" s="183">
        <v>9</v>
      </c>
      <c r="L129" s="183">
        <v>10</v>
      </c>
      <c r="M129" s="183">
        <v>11</v>
      </c>
      <c r="N129" s="183">
        <v>12</v>
      </c>
      <c r="O129" s="183">
        <v>13</v>
      </c>
      <c r="P129" s="183">
        <v>14</v>
      </c>
      <c r="Q129" s="183">
        <v>15</v>
      </c>
      <c r="R129" s="183">
        <v>16</v>
      </c>
      <c r="S129" s="183">
        <v>17</v>
      </c>
      <c r="T129" s="183">
        <v>18</v>
      </c>
      <c r="U129" s="183">
        <v>19</v>
      </c>
      <c r="V129" s="183">
        <v>20</v>
      </c>
      <c r="W129" s="183">
        <v>21</v>
      </c>
      <c r="X129" s="183">
        <v>22</v>
      </c>
      <c r="Y129" s="183">
        <v>23</v>
      </c>
      <c r="Z129" s="183">
        <v>24</v>
      </c>
      <c r="AA129" s="183">
        <v>25</v>
      </c>
      <c r="AB129" s="183">
        <v>26</v>
      </c>
      <c r="AC129" s="183">
        <v>27</v>
      </c>
      <c r="AD129" s="183">
        <v>28</v>
      </c>
      <c r="AE129" s="183">
        <v>29</v>
      </c>
      <c r="AF129" s="183">
        <v>30</v>
      </c>
    </row>
    <row r="130" spans="2:32" s="187" customFormat="1" ht="15.75" x14ac:dyDescent="0.25">
      <c r="B130" s="185" t="s">
        <v>268</v>
      </c>
      <c r="C130" s="186" t="str">
        <f>IFERROR(IRR(C132),"N/A")</f>
        <v>N/A</v>
      </c>
      <c r="D130" s="186">
        <f>IFERROR(IRR(C133:D133),"N/A")</f>
        <v>-3.92903902690388E-2</v>
      </c>
      <c r="E130" s="186">
        <f>IFERROR(IRR(C134:E134),"N/A")</f>
        <v>1.2382671318887706E-2</v>
      </c>
      <c r="F130" s="186">
        <f>IFERROR(IRR(C135:F135),"N/A")</f>
        <v>2.9968350588137627E-2</v>
      </c>
      <c r="G130" s="186">
        <f>IFERROR(IRR(C136:G136),"N/A")</f>
        <v>3.8694825352994178E-2</v>
      </c>
      <c r="H130" s="186">
        <f>IFERROR(IRR(C137:H137),"N/A")</f>
        <v>4.3828287639220198E-2</v>
      </c>
      <c r="I130" s="186">
        <f>IFERROR(IRR(C138:I138),"N/A")</f>
        <v>4.7155346045584245E-2</v>
      </c>
      <c r="J130" s="186">
        <f>IFERROR(IRR(C139:J139),"N/A")</f>
        <v>4.9449201928486008E-2</v>
      </c>
      <c r="K130" s="186">
        <f>IFERROR(IRR(C140:K140),"N/A")</f>
        <v>5.1098780165042212E-2</v>
      </c>
      <c r="L130" s="186">
        <f>IFERROR(IRR(C141:L141),"N/A")</f>
        <v>5.2320959060235372E-2</v>
      </c>
      <c r="M130" s="186">
        <f>IFERROR(IRR(C142:M142),"N/A")</f>
        <v>5.324614724694321E-2</v>
      </c>
      <c r="N130" s="186">
        <f>IFERROR(IRR(C143:N143),"N/A")</f>
        <v>5.3949456204504198E-2</v>
      </c>
      <c r="O130" s="186">
        <f>IFERROR(IRR(C144:O144),"N/A")</f>
        <v>5.4387829144313615E-2</v>
      </c>
      <c r="P130" s="186">
        <f>IFERROR(IRR(C145:P145),"N/A")</f>
        <v>5.4627126548065563E-2</v>
      </c>
      <c r="Q130" s="186">
        <f>IFERROR(IRR(C146:Q146),"N/A")</f>
        <v>5.471376029905084E-2</v>
      </c>
      <c r="R130" s="186">
        <f>IFERROR(IRR(C147:R147),"N/A")</f>
        <v>5.4681282551349852E-2</v>
      </c>
      <c r="S130" s="186">
        <f>IFERROR(IRR(C148:S148),"N/A")</f>
        <v>5.4488757713124558E-2</v>
      </c>
      <c r="T130" s="186">
        <f>IFERROR(IRR(C149:T149),"N/A")</f>
        <v>5.4249840218544509E-2</v>
      </c>
      <c r="U130" s="186">
        <f>IFERROR(IRR(C150:U150),"N/A")</f>
        <v>5.4037441694006372E-2</v>
      </c>
      <c r="V130" s="186">
        <f>IFERROR(IRR(C151:V151),"N/A")</f>
        <v>5.3846921325250374E-2</v>
      </c>
      <c r="W130" s="186">
        <f>IFERROR(IRR(C152:W152),"N/A")</f>
        <v>5.3674580480237877E-2</v>
      </c>
      <c r="X130" s="186">
        <f>IFERROR(IRR(C153:X153),"N/A")</f>
        <v>5.3509896086697983E-2</v>
      </c>
      <c r="Y130" s="186">
        <f>IFERROR(IRR(C154:Y154),"N/A")</f>
        <v>5.3367491835155434E-2</v>
      </c>
      <c r="Z130" s="186">
        <f>IFERROR(IRR(C155:Z155),"N/A")</f>
        <v>5.3236382131075288E-2</v>
      </c>
      <c r="AA130" s="186">
        <f>IFERROR(IRR(C156:AA156),"N/A")</f>
        <v>5.3114821966137038E-2</v>
      </c>
      <c r="AB130" s="186">
        <f>IFERROR(IRR(C157:AB157),"N/A")</f>
        <v>5.3005243362500343E-2</v>
      </c>
      <c r="AC130" s="186">
        <f>IFERROR(IRR(C158:AC158),"N/A")</f>
        <v>5.291180724015665E-2</v>
      </c>
      <c r="AD130" s="186">
        <f>IFERROR(IRR(C159:AD159),"N/A")</f>
        <v>5.2832063882005897E-2</v>
      </c>
      <c r="AE130" s="186">
        <f>IFERROR(IRR(C160:AE160),"N/A")</f>
        <v>5.2763953262780605E-2</v>
      </c>
      <c r="AF130" s="186">
        <f>IFERROR(IRR(C161:AF161),"N/A")</f>
        <v>5.2705734849330277E-2</v>
      </c>
    </row>
    <row r="131" spans="2:32" x14ac:dyDescent="0.25">
      <c r="B131" s="106"/>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row>
    <row r="132" spans="2:32" x14ac:dyDescent="0.25">
      <c r="B132" s="105">
        <v>1</v>
      </c>
      <c r="C132" s="107">
        <f>SIMULIMO!H148+SIMULIMO!H139</f>
        <v>-191672.65500615444</v>
      </c>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row>
    <row r="133" spans="2:32" x14ac:dyDescent="0.25">
      <c r="B133" s="105">
        <v>2</v>
      </c>
      <c r="C133" s="1">
        <f>SIMULIMO!H139</f>
        <v>-192432.82460989201</v>
      </c>
      <c r="D133" s="107">
        <f>SIMULIMO!I136+SIMULIMO!I139</f>
        <v>184872.06383039587</v>
      </c>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row>
    <row r="134" spans="2:32" x14ac:dyDescent="0.25">
      <c r="B134" s="105">
        <v>3</v>
      </c>
      <c r="C134" s="1">
        <f>SIMULIMO!H139</f>
        <v>-192432.82460989201</v>
      </c>
      <c r="D134" s="1">
        <f>SIMULIMO!I139</f>
        <v>7674.6803901079866</v>
      </c>
      <c r="E134" s="107">
        <f>SIMULIMO!J136+SIMULIMO!J139</f>
        <v>189458.28184189613</v>
      </c>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row>
    <row r="135" spans="2:32" x14ac:dyDescent="0.25">
      <c r="B135" s="105">
        <v>4</v>
      </c>
      <c r="C135" s="1">
        <f>SIMULIMO!H139</f>
        <v>-192432.82460989201</v>
      </c>
      <c r="D135" s="1">
        <f>SIMULIMO!I139</f>
        <v>7674.6803901079866</v>
      </c>
      <c r="E135" s="1">
        <f>SIMULIMO!J139</f>
        <v>7783.2604401079871</v>
      </c>
      <c r="F135" s="107">
        <f>SIMULIMO!K136+SIMULIMO!K139</f>
        <v>194099.07988340888</v>
      </c>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row>
    <row r="136" spans="2:32" x14ac:dyDescent="0.25">
      <c r="B136" s="105">
        <v>5</v>
      </c>
      <c r="C136" s="1">
        <f>SIMULIMO!H139</f>
        <v>-192432.82460989201</v>
      </c>
      <c r="D136" s="1">
        <f>SIMULIMO!I139</f>
        <v>7674.6803901079866</v>
      </c>
      <c r="E136" s="1">
        <f>SIMULIMO!J139</f>
        <v>7783.2604401079871</v>
      </c>
      <c r="F136" s="1">
        <f>SIMULIMO!K139</f>
        <v>7892.9262906079839</v>
      </c>
      <c r="G136" s="107">
        <f>SIMULIMO!L136+SIMULIMO!L139</f>
        <v>198795.12659133988</v>
      </c>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row>
    <row r="137" spans="2:32" x14ac:dyDescent="0.25">
      <c r="B137" s="105">
        <v>6</v>
      </c>
      <c r="C137" s="1">
        <f>SIMULIMO!H139</f>
        <v>-192432.82460989201</v>
      </c>
      <c r="D137" s="1">
        <f>SIMULIMO!I139</f>
        <v>7674.6803901079866</v>
      </c>
      <c r="E137" s="1">
        <f>SIMULIMO!J139</f>
        <v>7783.2604401079871</v>
      </c>
      <c r="F137" s="1">
        <f>SIMULIMO!K139</f>
        <v>7892.9262906079839</v>
      </c>
      <c r="G137" s="1">
        <f>SIMULIMO!L139</f>
        <v>8003.6887996129881</v>
      </c>
      <c r="H137" s="107">
        <f>SIMULIMO!M136+SIMULIMO!M139</f>
        <v>203547.09901924236</v>
      </c>
      <c r="I137" s="1"/>
      <c r="J137" s="1"/>
      <c r="K137" s="1"/>
      <c r="L137" s="1"/>
      <c r="M137" s="1"/>
      <c r="N137" s="1"/>
      <c r="O137" s="1"/>
      <c r="P137" s="1"/>
      <c r="Q137" s="1"/>
      <c r="R137" s="1"/>
      <c r="S137" s="1"/>
      <c r="T137" s="1"/>
      <c r="U137" s="1"/>
      <c r="V137" s="1"/>
      <c r="W137" s="1"/>
      <c r="X137" s="1"/>
      <c r="Y137" s="1"/>
      <c r="Z137" s="1"/>
      <c r="AA137" s="1"/>
      <c r="AB137" s="1"/>
      <c r="AC137" s="1"/>
      <c r="AD137" s="1"/>
      <c r="AE137" s="1"/>
      <c r="AF137" s="1"/>
    </row>
    <row r="138" spans="2:32" x14ac:dyDescent="0.25">
      <c r="B138" s="105">
        <v>7</v>
      </c>
      <c r="C138" s="1">
        <f>SIMULIMO!H139</f>
        <v>-192432.82460989201</v>
      </c>
      <c r="D138" s="1">
        <f>SIMULIMO!I139</f>
        <v>7674.6803901079866</v>
      </c>
      <c r="E138" s="1">
        <f>SIMULIMO!J139</f>
        <v>7783.2604401079871</v>
      </c>
      <c r="F138" s="1">
        <f>SIMULIMO!K139</f>
        <v>7892.9262906079839</v>
      </c>
      <c r="G138" s="1">
        <f>SIMULIMO!L139</f>
        <v>8003.6887996129881</v>
      </c>
      <c r="H138" s="1">
        <f>SIMULIMO!M139</f>
        <v>8115.5589337080319</v>
      </c>
      <c r="I138" s="107">
        <f>SIMULIMO!N136+SIMULIMO!N139</f>
        <v>208355.68274637518</v>
      </c>
      <c r="J138" s="1"/>
      <c r="K138" s="1"/>
      <c r="L138" s="1"/>
      <c r="M138" s="1"/>
      <c r="N138" s="1"/>
      <c r="O138" s="1"/>
      <c r="P138" s="1"/>
      <c r="Q138" s="1"/>
      <c r="R138" s="1"/>
      <c r="S138" s="1"/>
      <c r="T138" s="1"/>
      <c r="U138" s="1"/>
      <c r="V138" s="1"/>
      <c r="W138" s="1"/>
      <c r="X138" s="1"/>
      <c r="Y138" s="1"/>
      <c r="Z138" s="1"/>
      <c r="AA138" s="1"/>
      <c r="AB138" s="1"/>
      <c r="AC138" s="1"/>
      <c r="AD138" s="1"/>
      <c r="AE138" s="1"/>
      <c r="AF138" s="1"/>
    </row>
    <row r="139" spans="2:32" x14ac:dyDescent="0.25">
      <c r="B139" s="105">
        <v>8</v>
      </c>
      <c r="C139" s="1">
        <f>SIMULIMO!H139</f>
        <v>-192432.82460989201</v>
      </c>
      <c r="D139" s="1">
        <f>SIMULIMO!I139</f>
        <v>7674.6803901079866</v>
      </c>
      <c r="E139" s="1">
        <f>SIMULIMO!J139</f>
        <v>7783.2604401079871</v>
      </c>
      <c r="F139" s="1">
        <f>SIMULIMO!K139</f>
        <v>7892.9262906079839</v>
      </c>
      <c r="G139" s="1">
        <f>SIMULIMO!L139</f>
        <v>8003.6887996129881</v>
      </c>
      <c r="H139" s="1">
        <f>SIMULIMO!M139</f>
        <v>8115.5589337080319</v>
      </c>
      <c r="I139" s="1">
        <f>SIMULIMO!N139</f>
        <v>8228.5477691440356</v>
      </c>
      <c r="J139" s="107">
        <f>SIMULIMO!O136+SIMULIMO!O139</f>
        <v>213221.57198769116</v>
      </c>
      <c r="K139" s="1"/>
      <c r="L139" s="1"/>
      <c r="M139" s="1"/>
      <c r="N139" s="1"/>
      <c r="O139" s="1"/>
      <c r="P139" s="1"/>
      <c r="Q139" s="1"/>
      <c r="R139" s="1"/>
      <c r="S139" s="1"/>
      <c r="T139" s="1"/>
      <c r="U139" s="1"/>
      <c r="V139" s="1"/>
      <c r="W139" s="1"/>
      <c r="X139" s="1"/>
      <c r="Y139" s="1"/>
      <c r="Z139" s="1"/>
      <c r="AA139" s="1"/>
      <c r="AB139" s="1"/>
      <c r="AC139" s="1"/>
      <c r="AD139" s="1"/>
      <c r="AE139" s="1"/>
      <c r="AF139" s="1"/>
    </row>
    <row r="140" spans="2:32" x14ac:dyDescent="0.25">
      <c r="B140" s="105">
        <v>9</v>
      </c>
      <c r="C140" s="1">
        <f>SIMULIMO!H139</f>
        <v>-192432.82460989201</v>
      </c>
      <c r="D140" s="1">
        <f>SIMULIMO!I139</f>
        <v>7674.6803901079866</v>
      </c>
      <c r="E140" s="1">
        <f>SIMULIMO!J139</f>
        <v>7783.2604401079871</v>
      </c>
      <c r="F140" s="1">
        <f>SIMULIMO!K139</f>
        <v>7892.9262906079839</v>
      </c>
      <c r="G140" s="1">
        <f>SIMULIMO!L139</f>
        <v>8003.6887996129881</v>
      </c>
      <c r="H140" s="1">
        <f>SIMULIMO!M139</f>
        <v>8115.5589337080319</v>
      </c>
      <c r="I140" s="1">
        <f>SIMULIMO!N139</f>
        <v>8228.5477691440356</v>
      </c>
      <c r="J140" s="1">
        <f>SIMULIMO!O139</f>
        <v>8342.6664929343988</v>
      </c>
      <c r="K140" s="107">
        <f>SIMULIMO!P136+SIMULIMO!P139</f>
        <v>218145.46970527244</v>
      </c>
      <c r="L140" s="1"/>
      <c r="M140" s="1"/>
      <c r="N140" s="1"/>
      <c r="O140" s="1"/>
      <c r="P140" s="1"/>
      <c r="Q140" s="1"/>
      <c r="R140" s="1"/>
      <c r="S140" s="1"/>
      <c r="T140" s="1"/>
      <c r="U140" s="1"/>
      <c r="V140" s="1"/>
      <c r="W140" s="1"/>
      <c r="X140" s="1"/>
      <c r="Y140" s="1"/>
      <c r="Z140" s="1"/>
      <c r="AA140" s="1"/>
      <c r="AB140" s="1"/>
      <c r="AC140" s="1"/>
      <c r="AD140" s="1"/>
      <c r="AE140" s="1"/>
      <c r="AF140" s="1"/>
    </row>
    <row r="141" spans="2:32" x14ac:dyDescent="0.25">
      <c r="B141" s="105">
        <v>10</v>
      </c>
      <c r="C141" s="1">
        <f>SIMULIMO!H139</f>
        <v>-192432.82460989201</v>
      </c>
      <c r="D141" s="1">
        <f>SIMULIMO!I139</f>
        <v>7674.6803901079866</v>
      </c>
      <c r="E141" s="1">
        <f>SIMULIMO!J139</f>
        <v>7783.2604401079871</v>
      </c>
      <c r="F141" s="1">
        <f>SIMULIMO!K139</f>
        <v>7892.9262906079839</v>
      </c>
      <c r="G141" s="1">
        <f>SIMULIMO!L139</f>
        <v>8003.6887996129881</v>
      </c>
      <c r="H141" s="1">
        <f>SIMULIMO!M139</f>
        <v>8115.5589337080319</v>
      </c>
      <c r="I141" s="1">
        <f>SIMULIMO!N139</f>
        <v>8228.5477691440356</v>
      </c>
      <c r="J141" s="1">
        <f>SIMULIMO!O139</f>
        <v>8342.6664929343988</v>
      </c>
      <c r="K141" s="1">
        <f>SIMULIMO!P139</f>
        <v>8457.9264039626651</v>
      </c>
      <c r="L141" s="107">
        <f>SIMULIMO!Q136+SIMULIMO!Q139</f>
        <v>223128.08772123483</v>
      </c>
      <c r="M141" s="1"/>
      <c r="N141" s="1"/>
      <c r="O141" s="1"/>
      <c r="P141" s="1"/>
      <c r="Q141" s="1"/>
      <c r="R141" s="1"/>
      <c r="S141" s="1"/>
      <c r="T141" s="1"/>
      <c r="U141" s="1"/>
      <c r="V141" s="1"/>
      <c r="W141" s="1"/>
      <c r="X141" s="1"/>
      <c r="Y141" s="1"/>
      <c r="Z141" s="1"/>
      <c r="AA141" s="1"/>
      <c r="AB141" s="1"/>
      <c r="AC141" s="1"/>
      <c r="AD141" s="1"/>
      <c r="AE141" s="1"/>
      <c r="AF141" s="1"/>
    </row>
    <row r="142" spans="2:32" x14ac:dyDescent="0.25">
      <c r="B142" s="105">
        <v>11</v>
      </c>
      <c r="C142" s="1">
        <f>SIMULIMO!H139</f>
        <v>-192432.82460989201</v>
      </c>
      <c r="D142" s="1">
        <f>SIMULIMO!I139</f>
        <v>7674.6803901079866</v>
      </c>
      <c r="E142" s="1">
        <f>SIMULIMO!J139</f>
        <v>7783.2604401079871</v>
      </c>
      <c r="F142" s="1">
        <f>SIMULIMO!K139</f>
        <v>7892.9262906079839</v>
      </c>
      <c r="G142" s="1">
        <f>SIMULIMO!L139</f>
        <v>8003.6887996129881</v>
      </c>
      <c r="H142" s="1">
        <f>SIMULIMO!M139</f>
        <v>8115.5589337080319</v>
      </c>
      <c r="I142" s="1">
        <f>SIMULIMO!N139</f>
        <v>8228.5477691440356</v>
      </c>
      <c r="J142" s="1">
        <f>SIMULIMO!O139</f>
        <v>8342.6664929343988</v>
      </c>
      <c r="K142" s="1">
        <f>SIMULIMO!P139</f>
        <v>8457.9264039626651</v>
      </c>
      <c r="L142" s="1">
        <f>SIMULIMO!Q139</f>
        <v>8574.3389141012067</v>
      </c>
      <c r="M142" s="107">
        <f>SIMULIMO!R136+SIMULIMO!R139</f>
        <v>228170.14683211863</v>
      </c>
      <c r="N142" s="1"/>
      <c r="O142" s="1"/>
      <c r="P142" s="1"/>
      <c r="Q142" s="1"/>
      <c r="R142" s="1"/>
      <c r="S142" s="1"/>
      <c r="T142" s="1"/>
      <c r="U142" s="1"/>
      <c r="V142" s="1"/>
      <c r="W142" s="1"/>
      <c r="X142" s="1"/>
      <c r="Y142" s="1"/>
      <c r="Z142" s="1"/>
      <c r="AA142" s="1"/>
      <c r="AB142" s="1"/>
      <c r="AC142" s="1"/>
      <c r="AD142" s="1"/>
      <c r="AE142" s="1"/>
      <c r="AF142" s="1"/>
    </row>
    <row r="143" spans="2:32" x14ac:dyDescent="0.25">
      <c r="B143" s="105">
        <v>12</v>
      </c>
      <c r="C143" s="1">
        <f>SIMULIMO!H139</f>
        <v>-192432.82460989201</v>
      </c>
      <c r="D143" s="1">
        <f>SIMULIMO!I139</f>
        <v>7674.6803901079866</v>
      </c>
      <c r="E143" s="1">
        <f>SIMULIMO!J139</f>
        <v>7783.2604401079871</v>
      </c>
      <c r="F143" s="1">
        <f>SIMULIMO!K139</f>
        <v>7892.9262906079839</v>
      </c>
      <c r="G143" s="1">
        <f>SIMULIMO!L139</f>
        <v>8003.6887996129881</v>
      </c>
      <c r="H143" s="1">
        <f>SIMULIMO!M139</f>
        <v>8115.5589337080319</v>
      </c>
      <c r="I143" s="1">
        <f>SIMULIMO!N139</f>
        <v>8228.5477691440356</v>
      </c>
      <c r="J143" s="1">
        <f>SIMULIMO!O139</f>
        <v>8342.6664929343988</v>
      </c>
      <c r="K143" s="1">
        <f>SIMULIMO!P139</f>
        <v>8457.9264039626651</v>
      </c>
      <c r="L143" s="1">
        <f>SIMULIMO!Q139</f>
        <v>8574.3389141012067</v>
      </c>
      <c r="M143" s="1">
        <f>SIMULIMO!R139</f>
        <v>8691.9155493411381</v>
      </c>
      <c r="N143" s="107">
        <f>SIMULIMO!S136+SIMULIMO!S139</f>
        <v>233248.72391987676</v>
      </c>
      <c r="O143" s="1"/>
      <c r="P143" s="1"/>
      <c r="Q143" s="1"/>
      <c r="R143" s="1"/>
      <c r="S143" s="1"/>
      <c r="T143" s="1"/>
      <c r="U143" s="1"/>
      <c r="V143" s="1"/>
      <c r="W143" s="1"/>
      <c r="X143" s="1"/>
      <c r="Y143" s="1"/>
      <c r="Z143" s="1"/>
      <c r="AA143" s="1"/>
      <c r="AB143" s="1"/>
      <c r="AC143" s="1"/>
      <c r="AD143" s="1"/>
      <c r="AE143" s="1"/>
      <c r="AF143" s="1"/>
    </row>
    <row r="144" spans="2:32" x14ac:dyDescent="0.25">
      <c r="B144" s="105">
        <v>13</v>
      </c>
      <c r="C144" s="1">
        <f>SIMULIMO!H139</f>
        <v>-192432.82460989201</v>
      </c>
      <c r="D144" s="1">
        <f>SIMULIMO!I139</f>
        <v>7674.6803901079866</v>
      </c>
      <c r="E144" s="1">
        <f>SIMULIMO!J139</f>
        <v>7783.2604401079871</v>
      </c>
      <c r="F144" s="1">
        <f>SIMULIMO!K139</f>
        <v>7892.9262906079839</v>
      </c>
      <c r="G144" s="1">
        <f>SIMULIMO!L139</f>
        <v>8003.6887996129881</v>
      </c>
      <c r="H144" s="1">
        <f>SIMULIMO!M139</f>
        <v>8115.5589337080319</v>
      </c>
      <c r="I144" s="1">
        <f>SIMULIMO!N139</f>
        <v>8228.5477691440356</v>
      </c>
      <c r="J144" s="1">
        <f>SIMULIMO!O139</f>
        <v>8342.6664929343988</v>
      </c>
      <c r="K144" s="1">
        <f>SIMULIMO!P139</f>
        <v>8457.9264039626651</v>
      </c>
      <c r="L144" s="1">
        <f>SIMULIMO!Q139</f>
        <v>8574.3389141012067</v>
      </c>
      <c r="M144" s="1">
        <f>SIMULIMO!R139</f>
        <v>8691.9155493411381</v>
      </c>
      <c r="N144" s="1">
        <f>SIMULIMO!S139</f>
        <v>8787.0149460226821</v>
      </c>
      <c r="O144" s="107">
        <f>SIMULIMO!T136+SIMULIMO!T139</f>
        <v>238047.39211553222</v>
      </c>
      <c r="P144" s="1"/>
      <c r="Q144" s="1"/>
      <c r="R144" s="1"/>
      <c r="S144" s="1"/>
      <c r="T144" s="1"/>
      <c r="U144" s="1"/>
      <c r="V144" s="1"/>
      <c r="W144" s="1"/>
      <c r="X144" s="1"/>
      <c r="Y144" s="1"/>
      <c r="Z144" s="1"/>
      <c r="AA144" s="1"/>
      <c r="AB144" s="1"/>
      <c r="AC144" s="1"/>
      <c r="AD144" s="1"/>
      <c r="AE144" s="1"/>
      <c r="AF144" s="1"/>
    </row>
    <row r="145" spans="2:32" x14ac:dyDescent="0.25">
      <c r="B145" s="105">
        <v>14</v>
      </c>
      <c r="C145" s="1">
        <f>SIMULIMO!H139</f>
        <v>-192432.82460989201</v>
      </c>
      <c r="D145" s="1">
        <f>SIMULIMO!I139</f>
        <v>7674.6803901079866</v>
      </c>
      <c r="E145" s="1">
        <f>SIMULIMO!J139</f>
        <v>7783.2604401079871</v>
      </c>
      <c r="F145" s="1">
        <f>SIMULIMO!K139</f>
        <v>7892.9262906079839</v>
      </c>
      <c r="G145" s="1">
        <f>SIMULIMO!L139</f>
        <v>8003.6887996129881</v>
      </c>
      <c r="H145" s="1">
        <f>SIMULIMO!M139</f>
        <v>8115.5589337080319</v>
      </c>
      <c r="I145" s="1">
        <f>SIMULIMO!N139</f>
        <v>8228.5477691440356</v>
      </c>
      <c r="J145" s="1">
        <f>SIMULIMO!O139</f>
        <v>8342.6664929343988</v>
      </c>
      <c r="K145" s="1">
        <f>SIMULIMO!P139</f>
        <v>8457.9264039626651</v>
      </c>
      <c r="L145" s="1">
        <f>SIMULIMO!Q139</f>
        <v>8574.3389141012067</v>
      </c>
      <c r="M145" s="1">
        <f>SIMULIMO!R139</f>
        <v>8691.9155493411381</v>
      </c>
      <c r="N145" s="1">
        <f>SIMULIMO!S139</f>
        <v>8787.0149460226821</v>
      </c>
      <c r="O145" s="1">
        <f>SIMULIMO!T139</f>
        <v>8542.4828982197305</v>
      </c>
      <c r="P145" s="107">
        <f>SIMULIMO!U136+SIMULIMO!U139</f>
        <v>242895.14468102102</v>
      </c>
      <c r="Q145" s="1"/>
      <c r="R145" s="1"/>
      <c r="S145" s="1"/>
      <c r="T145" s="1"/>
      <c r="U145" s="1"/>
      <c r="V145" s="1"/>
      <c r="W145" s="1"/>
      <c r="X145" s="1"/>
      <c r="Y145" s="1"/>
      <c r="Z145" s="1"/>
      <c r="AA145" s="1"/>
      <c r="AB145" s="1"/>
      <c r="AC145" s="1"/>
      <c r="AD145" s="1"/>
      <c r="AE145" s="1"/>
      <c r="AF145" s="1"/>
    </row>
    <row r="146" spans="2:32" x14ac:dyDescent="0.25">
      <c r="B146" s="105">
        <v>15</v>
      </c>
      <c r="C146" s="1">
        <f>SIMULIMO!H139</f>
        <v>-192432.82460989201</v>
      </c>
      <c r="D146" s="1">
        <f>SIMULIMO!I139</f>
        <v>7674.6803901079866</v>
      </c>
      <c r="E146" s="1">
        <f>SIMULIMO!J139</f>
        <v>7783.2604401079871</v>
      </c>
      <c r="F146" s="1">
        <f>SIMULIMO!K139</f>
        <v>7892.9262906079839</v>
      </c>
      <c r="G146" s="1">
        <f>SIMULIMO!L139</f>
        <v>8003.6887996129881</v>
      </c>
      <c r="H146" s="1">
        <f>SIMULIMO!M139</f>
        <v>8115.5589337080319</v>
      </c>
      <c r="I146" s="1">
        <f>SIMULIMO!N139</f>
        <v>8228.5477691440356</v>
      </c>
      <c r="J146" s="1">
        <f>SIMULIMO!O139</f>
        <v>8342.6664929343988</v>
      </c>
      <c r="K146" s="1">
        <f>SIMULIMO!P139</f>
        <v>8457.9264039626651</v>
      </c>
      <c r="L146" s="1">
        <f>SIMULIMO!Q139</f>
        <v>8574.3389141012067</v>
      </c>
      <c r="M146" s="1">
        <f>SIMULIMO!R139</f>
        <v>8691.9155493411381</v>
      </c>
      <c r="N146" s="1">
        <f>SIMULIMO!S139</f>
        <v>8787.0149460226821</v>
      </c>
      <c r="O146" s="1">
        <f>SIMULIMO!T139</f>
        <v>8542.4828982197305</v>
      </c>
      <c r="P146" s="1">
        <f>SIMULIMO!U139</f>
        <v>8286.5761217726613</v>
      </c>
      <c r="Q146" s="107">
        <f>SIMULIMO!V136+SIMULIMO!V139</f>
        <v>247792.28426170599</v>
      </c>
      <c r="R146" s="1"/>
      <c r="S146" s="1"/>
      <c r="T146" s="1"/>
      <c r="U146" s="1"/>
      <c r="V146" s="1"/>
      <c r="W146" s="1"/>
      <c r="X146" s="1"/>
      <c r="Y146" s="1"/>
      <c r="Z146" s="1"/>
      <c r="AA146" s="1"/>
      <c r="AB146" s="1"/>
      <c r="AC146" s="1"/>
      <c r="AD146" s="1"/>
      <c r="AE146" s="1"/>
      <c r="AF146" s="1"/>
    </row>
    <row r="147" spans="2:32" x14ac:dyDescent="0.25">
      <c r="B147" s="105">
        <v>16</v>
      </c>
      <c r="C147" s="1">
        <f>SIMULIMO!H139</f>
        <v>-192432.82460989201</v>
      </c>
      <c r="D147" s="1">
        <f>SIMULIMO!I139</f>
        <v>7674.6803901079866</v>
      </c>
      <c r="E147" s="1">
        <f>SIMULIMO!J139</f>
        <v>7783.2604401079871</v>
      </c>
      <c r="F147" s="1">
        <f>SIMULIMO!K139</f>
        <v>7892.9262906079839</v>
      </c>
      <c r="G147" s="1">
        <f>SIMULIMO!L139</f>
        <v>8003.6887996129881</v>
      </c>
      <c r="H147" s="1">
        <f>SIMULIMO!M139</f>
        <v>8115.5589337080319</v>
      </c>
      <c r="I147" s="1">
        <f>SIMULIMO!N139</f>
        <v>8228.5477691440356</v>
      </c>
      <c r="J147" s="1">
        <f>SIMULIMO!O139</f>
        <v>8342.6664929343988</v>
      </c>
      <c r="K147" s="1">
        <f>SIMULIMO!P139</f>
        <v>8457.9264039626651</v>
      </c>
      <c r="L147" s="1">
        <f>SIMULIMO!Q139</f>
        <v>8574.3389141012067</v>
      </c>
      <c r="M147" s="1">
        <f>SIMULIMO!R139</f>
        <v>8691.9155493411381</v>
      </c>
      <c r="N147" s="1">
        <f>SIMULIMO!S139</f>
        <v>8787.0149460226821</v>
      </c>
      <c r="O147" s="1">
        <f>SIMULIMO!T139</f>
        <v>8542.4828982197305</v>
      </c>
      <c r="P147" s="1">
        <f>SIMULIMO!U139</f>
        <v>8286.5761217726613</v>
      </c>
      <c r="Q147" s="1">
        <f>SIMULIMO!V139</f>
        <v>8018.8513874354339</v>
      </c>
      <c r="R147" s="107">
        <f>SIMULIMO!W136+SIMULIMO!W139</f>
        <v>252739.10617166891</v>
      </c>
      <c r="S147" s="1"/>
      <c r="T147" s="1"/>
      <c r="U147" s="1"/>
      <c r="V147" s="1"/>
      <c r="W147" s="1"/>
      <c r="X147" s="1"/>
      <c r="Y147" s="1"/>
      <c r="Z147" s="1"/>
      <c r="AA147" s="1"/>
      <c r="AB147" s="1"/>
      <c r="AC147" s="1"/>
      <c r="AD147" s="1"/>
      <c r="AE147" s="1"/>
      <c r="AF147" s="1"/>
    </row>
    <row r="148" spans="2:32" x14ac:dyDescent="0.25">
      <c r="B148" s="105">
        <v>17</v>
      </c>
      <c r="C148" s="1">
        <f>SIMULIMO!H139</f>
        <v>-192432.82460989201</v>
      </c>
      <c r="D148" s="1">
        <f>SIMULIMO!I139</f>
        <v>7674.6803901079866</v>
      </c>
      <c r="E148" s="1">
        <f>SIMULIMO!J139</f>
        <v>7783.2604401079871</v>
      </c>
      <c r="F148" s="1">
        <f>SIMULIMO!K139</f>
        <v>7892.9262906079839</v>
      </c>
      <c r="G148" s="1">
        <f>SIMULIMO!L139</f>
        <v>8003.6887996129881</v>
      </c>
      <c r="H148" s="1">
        <f>SIMULIMO!M139</f>
        <v>8115.5589337080319</v>
      </c>
      <c r="I148" s="1">
        <f>SIMULIMO!N139</f>
        <v>8228.5477691440356</v>
      </c>
      <c r="J148" s="1">
        <f>SIMULIMO!O139</f>
        <v>8342.6664929343988</v>
      </c>
      <c r="K148" s="1">
        <f>SIMULIMO!P139</f>
        <v>8457.9264039626651</v>
      </c>
      <c r="L148" s="1">
        <f>SIMULIMO!Q139</f>
        <v>8574.3389141012067</v>
      </c>
      <c r="M148" s="1">
        <f>SIMULIMO!R139</f>
        <v>8691.9155493411381</v>
      </c>
      <c r="N148" s="1">
        <f>SIMULIMO!S139</f>
        <v>8787.0149460226821</v>
      </c>
      <c r="O148" s="1">
        <f>SIMULIMO!T139</f>
        <v>8542.4828982197305</v>
      </c>
      <c r="P148" s="1">
        <f>SIMULIMO!U139</f>
        <v>8286.5761217726613</v>
      </c>
      <c r="Q148" s="1">
        <f>SIMULIMO!V139</f>
        <v>8018.8513874354339</v>
      </c>
      <c r="R148" s="1">
        <f>SIMULIMO!W139</f>
        <v>7738.8486852221677</v>
      </c>
      <c r="S148" s="107">
        <f>SIMULIMO!X136+SIMULIMO!X139</f>
        <v>257393.74644645309</v>
      </c>
      <c r="T148" s="1"/>
      <c r="U148" s="1"/>
      <c r="V148" s="1"/>
      <c r="W148" s="1"/>
      <c r="X148" s="1"/>
      <c r="Y148" s="1"/>
      <c r="Z148" s="1"/>
      <c r="AA148" s="1"/>
      <c r="AB148" s="1"/>
      <c r="AC148" s="1"/>
      <c r="AD148" s="1"/>
      <c r="AE148" s="1"/>
      <c r="AF148" s="1"/>
    </row>
    <row r="149" spans="2:32" x14ac:dyDescent="0.25">
      <c r="B149" s="105">
        <v>18</v>
      </c>
      <c r="C149" s="1">
        <f>SIMULIMO!H139</f>
        <v>-192432.82460989201</v>
      </c>
      <c r="D149" s="1">
        <f>SIMULIMO!I139</f>
        <v>7674.6803901079866</v>
      </c>
      <c r="E149" s="1">
        <f>SIMULIMO!J139</f>
        <v>7783.2604401079871</v>
      </c>
      <c r="F149" s="1">
        <f>SIMULIMO!K139</f>
        <v>7892.9262906079839</v>
      </c>
      <c r="G149" s="1">
        <f>SIMULIMO!L139</f>
        <v>8003.6887996129881</v>
      </c>
      <c r="H149" s="1">
        <f>SIMULIMO!M139</f>
        <v>8115.5589337080319</v>
      </c>
      <c r="I149" s="1">
        <f>SIMULIMO!N139</f>
        <v>8228.5477691440356</v>
      </c>
      <c r="J149" s="1">
        <f>SIMULIMO!O139</f>
        <v>8342.6664929343988</v>
      </c>
      <c r="K149" s="1">
        <f>SIMULIMO!P139</f>
        <v>8457.9264039626651</v>
      </c>
      <c r="L149" s="1">
        <f>SIMULIMO!Q139</f>
        <v>8574.3389141012067</v>
      </c>
      <c r="M149" s="1">
        <f>SIMULIMO!R139</f>
        <v>8691.9155493411381</v>
      </c>
      <c r="N149" s="1">
        <f>SIMULIMO!S139</f>
        <v>8787.0149460226821</v>
      </c>
      <c r="O149" s="1">
        <f>SIMULIMO!T139</f>
        <v>8542.4828982197305</v>
      </c>
      <c r="P149" s="1">
        <f>SIMULIMO!U139</f>
        <v>8286.5761217726613</v>
      </c>
      <c r="Q149" s="1">
        <f>SIMULIMO!V139</f>
        <v>8018.8513874354339</v>
      </c>
      <c r="R149" s="1">
        <f>SIMULIMO!W139</f>
        <v>7738.8486852221677</v>
      </c>
      <c r="S149" s="1">
        <f>SIMULIMO!X139</f>
        <v>7446.0905875868229</v>
      </c>
      <c r="T149" s="107">
        <f>SIMULIMO!Y136+SIMULIMO!Y139</f>
        <v>262198.93367639097</v>
      </c>
      <c r="U149" s="1"/>
      <c r="V149" s="1"/>
      <c r="W149" s="1"/>
      <c r="X149" s="1"/>
      <c r="Y149" s="1"/>
      <c r="Z149" s="1"/>
      <c r="AA149" s="1"/>
      <c r="AB149" s="1"/>
      <c r="AC149" s="1"/>
      <c r="AD149" s="1"/>
      <c r="AE149" s="1"/>
      <c r="AF149" s="1"/>
    </row>
    <row r="150" spans="2:32" x14ac:dyDescent="0.25">
      <c r="B150" s="105">
        <v>19</v>
      </c>
      <c r="C150" s="1">
        <f>SIMULIMO!H139</f>
        <v>-192432.82460989201</v>
      </c>
      <c r="D150" s="1">
        <f>SIMULIMO!I139</f>
        <v>7674.6803901079866</v>
      </c>
      <c r="E150" s="1">
        <f>SIMULIMO!J139</f>
        <v>7783.2604401079871</v>
      </c>
      <c r="F150" s="1">
        <f>SIMULIMO!K139</f>
        <v>7892.9262906079839</v>
      </c>
      <c r="G150" s="1">
        <f>SIMULIMO!L139</f>
        <v>8003.6887996129881</v>
      </c>
      <c r="H150" s="1">
        <f>SIMULIMO!M139</f>
        <v>8115.5589337080319</v>
      </c>
      <c r="I150" s="1">
        <f>SIMULIMO!N139</f>
        <v>8228.5477691440356</v>
      </c>
      <c r="J150" s="1">
        <f>SIMULIMO!O139</f>
        <v>8342.6664929343988</v>
      </c>
      <c r="K150" s="1">
        <f>SIMULIMO!P139</f>
        <v>8457.9264039626651</v>
      </c>
      <c r="L150" s="1">
        <f>SIMULIMO!Q139</f>
        <v>8574.3389141012067</v>
      </c>
      <c r="M150" s="1">
        <f>SIMULIMO!R139</f>
        <v>8691.9155493411381</v>
      </c>
      <c r="N150" s="1">
        <f>SIMULIMO!S139</f>
        <v>8787.0149460226821</v>
      </c>
      <c r="O150" s="1">
        <f>SIMULIMO!T139</f>
        <v>8542.4828982197305</v>
      </c>
      <c r="P150" s="1">
        <f>SIMULIMO!U139</f>
        <v>8286.5761217726613</v>
      </c>
      <c r="Q150" s="1">
        <f>SIMULIMO!V139</f>
        <v>8018.8513874354339</v>
      </c>
      <c r="R150" s="1">
        <f>SIMULIMO!W139</f>
        <v>7738.8486852221677</v>
      </c>
      <c r="S150" s="1">
        <f>SIMULIMO!X139</f>
        <v>7446.0905875868229</v>
      </c>
      <c r="T150" s="1">
        <f>SIMULIMO!Y139</f>
        <v>7354.6162204643651</v>
      </c>
      <c r="U150" s="107">
        <f>SIMULIMO!Z136+SIMULIMO!Z139</f>
        <v>267338.39374933363</v>
      </c>
      <c r="V150" s="1"/>
      <c r="W150" s="1"/>
      <c r="X150" s="1"/>
      <c r="Y150" s="1"/>
      <c r="Z150" s="1"/>
      <c r="AA150" s="1"/>
      <c r="AB150" s="1"/>
      <c r="AC150" s="1"/>
      <c r="AD150" s="1"/>
      <c r="AE150" s="1"/>
      <c r="AF150" s="1"/>
    </row>
    <row r="151" spans="2:32" x14ac:dyDescent="0.25">
      <c r="B151" s="105">
        <v>20</v>
      </c>
      <c r="C151" s="1">
        <f>SIMULIMO!H139</f>
        <v>-192432.82460989201</v>
      </c>
      <c r="D151" s="1">
        <f>SIMULIMO!I139</f>
        <v>7674.6803901079866</v>
      </c>
      <c r="E151" s="1">
        <f>SIMULIMO!J139</f>
        <v>7783.2604401079871</v>
      </c>
      <c r="F151" s="1">
        <f>SIMULIMO!K139</f>
        <v>7892.9262906079839</v>
      </c>
      <c r="G151" s="1">
        <f>SIMULIMO!L139</f>
        <v>8003.6887996129881</v>
      </c>
      <c r="H151" s="1">
        <f>SIMULIMO!M139</f>
        <v>8115.5589337080319</v>
      </c>
      <c r="I151" s="1">
        <f>SIMULIMO!N139</f>
        <v>8228.5477691440356</v>
      </c>
      <c r="J151" s="1">
        <f>SIMULIMO!O139</f>
        <v>8342.6664929343988</v>
      </c>
      <c r="K151" s="1">
        <f>SIMULIMO!P139</f>
        <v>8457.9264039626651</v>
      </c>
      <c r="L151" s="1">
        <f>SIMULIMO!Q139</f>
        <v>8574.3389141012067</v>
      </c>
      <c r="M151" s="1">
        <f>SIMULIMO!R139</f>
        <v>8691.9155493411381</v>
      </c>
      <c r="N151" s="1">
        <f>SIMULIMO!S139</f>
        <v>8787.0149460226821</v>
      </c>
      <c r="O151" s="1">
        <f>SIMULIMO!T139</f>
        <v>8542.4828982197305</v>
      </c>
      <c r="P151" s="1">
        <f>SIMULIMO!U139</f>
        <v>8286.5761217726613</v>
      </c>
      <c r="Q151" s="1">
        <f>SIMULIMO!V139</f>
        <v>8018.8513874354339</v>
      </c>
      <c r="R151" s="1">
        <f>SIMULIMO!W139</f>
        <v>7738.8486852221677</v>
      </c>
      <c r="S151" s="1">
        <f>SIMULIMO!X139</f>
        <v>7446.0905875868229</v>
      </c>
      <c r="T151" s="1">
        <f>SIMULIMO!Y139</f>
        <v>7354.6162204643651</v>
      </c>
      <c r="U151" s="1">
        <f>SIMULIMO!Z139</f>
        <v>7459.9956287679352</v>
      </c>
      <c r="V151" s="107">
        <f>SIMULIMO!AA136+SIMULIMO!AA139</f>
        <v>272618.24410347285</v>
      </c>
      <c r="W151" s="1"/>
      <c r="X151" s="1"/>
      <c r="Y151" s="1"/>
      <c r="Z151" s="1"/>
      <c r="AA151" s="1"/>
      <c r="AB151" s="1"/>
      <c r="AC151" s="1"/>
      <c r="AD151" s="1"/>
      <c r="AE151" s="1"/>
      <c r="AF151" s="1"/>
    </row>
    <row r="152" spans="2:32" x14ac:dyDescent="0.25">
      <c r="B152" s="105">
        <v>21</v>
      </c>
      <c r="C152" s="1">
        <f>SIMULIMO!H139</f>
        <v>-192432.82460989201</v>
      </c>
      <c r="D152" s="1">
        <f>SIMULIMO!I139</f>
        <v>7674.6803901079866</v>
      </c>
      <c r="E152" s="1">
        <f>SIMULIMO!J139</f>
        <v>7783.2604401079871</v>
      </c>
      <c r="F152" s="1">
        <f>SIMULIMO!K139</f>
        <v>7892.9262906079839</v>
      </c>
      <c r="G152" s="1">
        <f>SIMULIMO!L139</f>
        <v>8003.6887996129881</v>
      </c>
      <c r="H152" s="1">
        <f>SIMULIMO!M139</f>
        <v>8115.5589337080319</v>
      </c>
      <c r="I152" s="1">
        <f>SIMULIMO!N139</f>
        <v>8228.5477691440356</v>
      </c>
      <c r="J152" s="1">
        <f>SIMULIMO!O139</f>
        <v>8342.6664929343988</v>
      </c>
      <c r="K152" s="1">
        <f>SIMULIMO!P139</f>
        <v>8457.9264039626651</v>
      </c>
      <c r="L152" s="1">
        <f>SIMULIMO!Q139</f>
        <v>8574.3389141012067</v>
      </c>
      <c r="M152" s="1">
        <f>SIMULIMO!R139</f>
        <v>8691.9155493411381</v>
      </c>
      <c r="N152" s="1">
        <f>SIMULIMO!S139</f>
        <v>8787.0149460226821</v>
      </c>
      <c r="O152" s="1">
        <f>SIMULIMO!T139</f>
        <v>8542.4828982197305</v>
      </c>
      <c r="P152" s="1">
        <f>SIMULIMO!U139</f>
        <v>8286.5761217726613</v>
      </c>
      <c r="Q152" s="1">
        <f>SIMULIMO!V139</f>
        <v>8018.8513874354339</v>
      </c>
      <c r="R152" s="1">
        <f>SIMULIMO!W139</f>
        <v>7738.8486852221677</v>
      </c>
      <c r="S152" s="1">
        <f>SIMULIMO!X139</f>
        <v>7446.0905875868229</v>
      </c>
      <c r="T152" s="1">
        <f>SIMULIMO!Y139</f>
        <v>7354.6162204643651</v>
      </c>
      <c r="U152" s="1">
        <f>SIMULIMO!Z139</f>
        <v>7459.9956287679352</v>
      </c>
      <c r="V152" s="1">
        <f>SIMULIMO!AA139</f>
        <v>7566.4288311545333</v>
      </c>
      <c r="W152" s="107">
        <f>SIMULIMO!AB136+SIMULIMO!AB139</f>
        <v>278040.43792251946</v>
      </c>
      <c r="X152" s="1"/>
      <c r="Y152" s="1"/>
      <c r="Z152" s="1"/>
      <c r="AA152" s="1"/>
      <c r="AB152" s="1"/>
      <c r="AC152" s="1"/>
      <c r="AD152" s="1"/>
      <c r="AE152" s="1"/>
      <c r="AF152" s="1"/>
    </row>
    <row r="153" spans="2:32" x14ac:dyDescent="0.25">
      <c r="B153" s="105">
        <v>22</v>
      </c>
      <c r="C153" s="1">
        <f>SIMULIMO!H139</f>
        <v>-192432.82460989201</v>
      </c>
      <c r="D153" s="1">
        <f>SIMULIMO!I139</f>
        <v>7674.6803901079866</v>
      </c>
      <c r="E153" s="1">
        <f>SIMULIMO!J139</f>
        <v>7783.2604401079871</v>
      </c>
      <c r="F153" s="1">
        <f>SIMULIMO!K139</f>
        <v>7892.9262906079839</v>
      </c>
      <c r="G153" s="1">
        <f>SIMULIMO!L139</f>
        <v>8003.6887996129881</v>
      </c>
      <c r="H153" s="1">
        <f>SIMULIMO!M139</f>
        <v>8115.5589337080319</v>
      </c>
      <c r="I153" s="1">
        <f>SIMULIMO!N139</f>
        <v>8228.5477691440356</v>
      </c>
      <c r="J153" s="1">
        <f>SIMULIMO!O139</f>
        <v>8342.6664929343988</v>
      </c>
      <c r="K153" s="1">
        <f>SIMULIMO!P139</f>
        <v>8457.9264039626651</v>
      </c>
      <c r="L153" s="1">
        <f>SIMULIMO!Q139</f>
        <v>8574.3389141012067</v>
      </c>
      <c r="M153" s="1">
        <f>SIMULIMO!R139</f>
        <v>8691.9155493411381</v>
      </c>
      <c r="N153" s="1">
        <f>SIMULIMO!S139</f>
        <v>8787.0149460226821</v>
      </c>
      <c r="O153" s="1">
        <f>SIMULIMO!T139</f>
        <v>8542.4828982197305</v>
      </c>
      <c r="P153" s="1">
        <f>SIMULIMO!U139</f>
        <v>8286.5761217726613</v>
      </c>
      <c r="Q153" s="1">
        <f>SIMULIMO!V139</f>
        <v>8018.8513874354339</v>
      </c>
      <c r="R153" s="1">
        <f>SIMULIMO!W139</f>
        <v>7738.8486852221677</v>
      </c>
      <c r="S153" s="1">
        <f>SIMULIMO!X139</f>
        <v>7446.0905875868229</v>
      </c>
      <c r="T153" s="1">
        <f>SIMULIMO!Y139</f>
        <v>7354.6162204643651</v>
      </c>
      <c r="U153" s="1">
        <f>SIMULIMO!Z139</f>
        <v>7459.9956287679352</v>
      </c>
      <c r="V153" s="1">
        <f>SIMULIMO!AA139</f>
        <v>7566.4288311545333</v>
      </c>
      <c r="W153" s="1">
        <f>SIMULIMO!AB139</f>
        <v>7673.9263655649938</v>
      </c>
      <c r="X153" s="107">
        <f>SIMULIMO!AC136+SIMULIMO!AC139</f>
        <v>283546.00350218615</v>
      </c>
      <c r="Y153" s="1"/>
      <c r="Z153" s="1"/>
      <c r="AA153" s="1"/>
      <c r="AB153" s="1"/>
      <c r="AC153" s="1"/>
      <c r="AD153" s="1"/>
      <c r="AE153" s="1"/>
      <c r="AF153" s="1"/>
    </row>
    <row r="154" spans="2:32" x14ac:dyDescent="0.25">
      <c r="B154" s="105">
        <v>23</v>
      </c>
      <c r="C154" s="1">
        <f>SIMULIMO!H139</f>
        <v>-192432.82460989201</v>
      </c>
      <c r="D154" s="1">
        <f>SIMULIMO!I139</f>
        <v>7674.6803901079866</v>
      </c>
      <c r="E154" s="1">
        <f>SIMULIMO!J139</f>
        <v>7783.2604401079871</v>
      </c>
      <c r="F154" s="1">
        <f>SIMULIMO!K139</f>
        <v>7892.9262906079839</v>
      </c>
      <c r="G154" s="1">
        <f>SIMULIMO!L139</f>
        <v>8003.6887996129881</v>
      </c>
      <c r="H154" s="1">
        <f>SIMULIMO!M139</f>
        <v>8115.5589337080319</v>
      </c>
      <c r="I154" s="1">
        <f>SIMULIMO!N139</f>
        <v>8228.5477691440356</v>
      </c>
      <c r="J154" s="1">
        <f>SIMULIMO!O139</f>
        <v>8342.6664929343988</v>
      </c>
      <c r="K154" s="1">
        <f>SIMULIMO!P139</f>
        <v>8457.9264039626651</v>
      </c>
      <c r="L154" s="1">
        <f>SIMULIMO!Q139</f>
        <v>8574.3389141012067</v>
      </c>
      <c r="M154" s="1">
        <f>SIMULIMO!R139</f>
        <v>8691.9155493411381</v>
      </c>
      <c r="N154" s="1">
        <f>SIMULIMO!S139</f>
        <v>8787.0149460226821</v>
      </c>
      <c r="O154" s="1">
        <f>SIMULIMO!T139</f>
        <v>8542.4828982197305</v>
      </c>
      <c r="P154" s="1">
        <f>SIMULIMO!U139</f>
        <v>8286.5761217726613</v>
      </c>
      <c r="Q154" s="1">
        <f>SIMULIMO!V139</f>
        <v>8018.8513874354339</v>
      </c>
      <c r="R154" s="1">
        <f>SIMULIMO!W139</f>
        <v>7738.8486852221677</v>
      </c>
      <c r="S154" s="1">
        <f>SIMULIMO!X139</f>
        <v>7446.0905875868229</v>
      </c>
      <c r="T154" s="1">
        <f>SIMULIMO!Y139</f>
        <v>7354.6162204643651</v>
      </c>
      <c r="U154" s="1">
        <f>SIMULIMO!Z139</f>
        <v>7459.9956287679352</v>
      </c>
      <c r="V154" s="1">
        <f>SIMULIMO!AA139</f>
        <v>7566.4288311545333</v>
      </c>
      <c r="W154" s="1">
        <f>SIMULIMO!AB139</f>
        <v>7673.9263655649938</v>
      </c>
      <c r="X154" s="1">
        <f>SIMULIMO!AC139</f>
        <v>7782.498875319563</v>
      </c>
      <c r="Y154" s="107">
        <f>SIMULIMO!AD136+SIMULIMO!AD139</f>
        <v>289270.7577077095</v>
      </c>
      <c r="Z154" s="1"/>
      <c r="AA154" s="1"/>
      <c r="AB154" s="1"/>
      <c r="AC154" s="1"/>
      <c r="AD154" s="1"/>
      <c r="AE154" s="1"/>
      <c r="AF154" s="1"/>
    </row>
    <row r="155" spans="2:32" x14ac:dyDescent="0.25">
      <c r="B155" s="105">
        <v>24</v>
      </c>
      <c r="C155" s="1">
        <f>SIMULIMO!H139</f>
        <v>-192432.82460989201</v>
      </c>
      <c r="D155" s="1">
        <f>SIMULIMO!I139</f>
        <v>7674.6803901079866</v>
      </c>
      <c r="E155" s="1">
        <f>SIMULIMO!J139</f>
        <v>7783.2604401079871</v>
      </c>
      <c r="F155" s="1">
        <f>SIMULIMO!K139</f>
        <v>7892.9262906079839</v>
      </c>
      <c r="G155" s="1">
        <f>SIMULIMO!L139</f>
        <v>8003.6887996129881</v>
      </c>
      <c r="H155" s="1">
        <f>SIMULIMO!M139</f>
        <v>8115.5589337080319</v>
      </c>
      <c r="I155" s="1">
        <f>SIMULIMO!N139</f>
        <v>8228.5477691440356</v>
      </c>
      <c r="J155" s="1">
        <f>SIMULIMO!O139</f>
        <v>8342.6664929343988</v>
      </c>
      <c r="K155" s="1">
        <f>SIMULIMO!P139</f>
        <v>8457.9264039626651</v>
      </c>
      <c r="L155" s="1">
        <f>SIMULIMO!Q139</f>
        <v>8574.3389141012067</v>
      </c>
      <c r="M155" s="1">
        <f>SIMULIMO!R139</f>
        <v>8691.9155493411381</v>
      </c>
      <c r="N155" s="1">
        <f>SIMULIMO!S139</f>
        <v>8787.0149460226821</v>
      </c>
      <c r="O155" s="1">
        <f>SIMULIMO!T139</f>
        <v>8542.4828982197305</v>
      </c>
      <c r="P155" s="1">
        <f>SIMULIMO!U139</f>
        <v>8286.5761217726613</v>
      </c>
      <c r="Q155" s="1">
        <f>SIMULIMO!V139</f>
        <v>8018.8513874354339</v>
      </c>
      <c r="R155" s="1">
        <f>SIMULIMO!W139</f>
        <v>7738.8486852221677</v>
      </c>
      <c r="S155" s="1">
        <f>SIMULIMO!X139</f>
        <v>7446.0905875868229</v>
      </c>
      <c r="T155" s="1">
        <f>SIMULIMO!Y139</f>
        <v>7354.6162204643651</v>
      </c>
      <c r="U155" s="1">
        <f>SIMULIMO!Z139</f>
        <v>7459.9956287679352</v>
      </c>
      <c r="V155" s="1">
        <f>SIMULIMO!AA139</f>
        <v>7566.4288311545333</v>
      </c>
      <c r="W155" s="1">
        <f>SIMULIMO!AB139</f>
        <v>7673.9263655649938</v>
      </c>
      <c r="X155" s="1">
        <f>SIMULIMO!AC139</f>
        <v>7782.498875319563</v>
      </c>
      <c r="Y155" s="1">
        <f>SIMULIMO!AD139</f>
        <v>7892.1571101716827</v>
      </c>
      <c r="Z155" s="107">
        <f>SIMULIMO!AE136+SIMULIMO!AE139</f>
        <v>295150.94133208506</v>
      </c>
      <c r="AA155" s="1"/>
      <c r="AB155" s="1"/>
      <c r="AC155" s="1"/>
      <c r="AD155" s="1"/>
      <c r="AE155" s="1"/>
      <c r="AF155" s="1"/>
    </row>
    <row r="156" spans="2:32" x14ac:dyDescent="0.25">
      <c r="B156" s="105">
        <v>25</v>
      </c>
      <c r="C156" s="1">
        <f>SIMULIMO!H139</f>
        <v>-192432.82460989201</v>
      </c>
      <c r="D156" s="1">
        <f>SIMULIMO!I139</f>
        <v>7674.6803901079866</v>
      </c>
      <c r="E156" s="1">
        <f>SIMULIMO!J139</f>
        <v>7783.2604401079871</v>
      </c>
      <c r="F156" s="1">
        <f>SIMULIMO!K139</f>
        <v>7892.9262906079839</v>
      </c>
      <c r="G156" s="1">
        <f>SIMULIMO!L139</f>
        <v>8003.6887996129881</v>
      </c>
      <c r="H156" s="1">
        <f>SIMULIMO!M139</f>
        <v>8115.5589337080319</v>
      </c>
      <c r="I156" s="1">
        <f>SIMULIMO!N139</f>
        <v>8228.5477691440356</v>
      </c>
      <c r="J156" s="1">
        <f>SIMULIMO!O139</f>
        <v>8342.6664929343988</v>
      </c>
      <c r="K156" s="1">
        <f>SIMULIMO!P139</f>
        <v>8457.9264039626651</v>
      </c>
      <c r="L156" s="1">
        <f>SIMULIMO!Q139</f>
        <v>8574.3389141012067</v>
      </c>
      <c r="M156" s="1">
        <f>SIMULIMO!R139</f>
        <v>8691.9155493411381</v>
      </c>
      <c r="N156" s="1">
        <f>SIMULIMO!S139</f>
        <v>8787.0149460226821</v>
      </c>
      <c r="O156" s="1">
        <f>SIMULIMO!T139</f>
        <v>8542.4828982197305</v>
      </c>
      <c r="P156" s="1">
        <f>SIMULIMO!U139</f>
        <v>8286.5761217726613</v>
      </c>
      <c r="Q156" s="1">
        <f>SIMULIMO!V139</f>
        <v>8018.8513874354339</v>
      </c>
      <c r="R156" s="1">
        <f>SIMULIMO!W139</f>
        <v>7738.8486852221677</v>
      </c>
      <c r="S156" s="1">
        <f>SIMULIMO!X139</f>
        <v>7446.0905875868229</v>
      </c>
      <c r="T156" s="1">
        <f>SIMULIMO!Y139</f>
        <v>7354.6162204643651</v>
      </c>
      <c r="U156" s="1">
        <f>SIMULIMO!Z139</f>
        <v>7459.9956287679352</v>
      </c>
      <c r="V156" s="1">
        <f>SIMULIMO!AA139</f>
        <v>7566.4288311545333</v>
      </c>
      <c r="W156" s="1">
        <f>SIMULIMO!AB139</f>
        <v>7673.9263655649938</v>
      </c>
      <c r="X156" s="1">
        <f>SIMULIMO!AC139</f>
        <v>7782.498875319563</v>
      </c>
      <c r="Y156" s="1">
        <f>SIMULIMO!AD139</f>
        <v>7892.1571101716827</v>
      </c>
      <c r="Z156" s="1">
        <f>SIMULIMO!AE139</f>
        <v>8002.9119273723227</v>
      </c>
      <c r="AA156" s="107">
        <f>SIMULIMO!AF136+SIMULIMO!AF139</f>
        <v>301188.7187714121</v>
      </c>
      <c r="AB156" s="1"/>
      <c r="AC156" s="1"/>
      <c r="AD156" s="1"/>
      <c r="AE156" s="1"/>
      <c r="AF156" s="1"/>
    </row>
    <row r="157" spans="2:32" x14ac:dyDescent="0.25">
      <c r="B157" s="105">
        <v>26</v>
      </c>
      <c r="C157" s="1">
        <f>SIMULIMO!H139</f>
        <v>-192432.82460989201</v>
      </c>
      <c r="D157" s="1">
        <f>SIMULIMO!I139</f>
        <v>7674.6803901079866</v>
      </c>
      <c r="E157" s="1">
        <f>SIMULIMO!J139</f>
        <v>7783.2604401079871</v>
      </c>
      <c r="F157" s="1">
        <f>SIMULIMO!K139</f>
        <v>7892.9262906079839</v>
      </c>
      <c r="G157" s="1">
        <f>SIMULIMO!L139</f>
        <v>8003.6887996129881</v>
      </c>
      <c r="H157" s="1">
        <f>SIMULIMO!M139</f>
        <v>8115.5589337080319</v>
      </c>
      <c r="I157" s="1">
        <f>SIMULIMO!N139</f>
        <v>8228.5477691440356</v>
      </c>
      <c r="J157" s="1">
        <f>SIMULIMO!O139</f>
        <v>8342.6664929343988</v>
      </c>
      <c r="K157" s="1">
        <f>SIMULIMO!P139</f>
        <v>8457.9264039626651</v>
      </c>
      <c r="L157" s="1">
        <f>SIMULIMO!Q139</f>
        <v>8574.3389141012067</v>
      </c>
      <c r="M157" s="1">
        <f>SIMULIMO!R139</f>
        <v>8691.9155493411381</v>
      </c>
      <c r="N157" s="1">
        <f>SIMULIMO!S139</f>
        <v>8787.0149460226821</v>
      </c>
      <c r="O157" s="1">
        <f>SIMULIMO!T139</f>
        <v>8542.4828982197305</v>
      </c>
      <c r="P157" s="1">
        <f>SIMULIMO!U139</f>
        <v>8286.5761217726613</v>
      </c>
      <c r="Q157" s="1">
        <f>SIMULIMO!V139</f>
        <v>8018.8513874354339</v>
      </c>
      <c r="R157" s="1">
        <f>SIMULIMO!W139</f>
        <v>7738.8486852221677</v>
      </c>
      <c r="S157" s="1">
        <f>SIMULIMO!X139</f>
        <v>7446.0905875868229</v>
      </c>
      <c r="T157" s="1">
        <f>SIMULIMO!Y139</f>
        <v>7354.6162204643651</v>
      </c>
      <c r="U157" s="1">
        <f>SIMULIMO!Z139</f>
        <v>7459.9956287679352</v>
      </c>
      <c r="V157" s="1">
        <f>SIMULIMO!AA139</f>
        <v>7566.4288311545333</v>
      </c>
      <c r="W157" s="1">
        <f>SIMULIMO!AB139</f>
        <v>7673.9263655649938</v>
      </c>
      <c r="X157" s="1">
        <f>SIMULIMO!AC139</f>
        <v>7782.498875319563</v>
      </c>
      <c r="Y157" s="1">
        <f>SIMULIMO!AD139</f>
        <v>7892.1571101716827</v>
      </c>
      <c r="Z157" s="1">
        <f>SIMULIMO!AE139</f>
        <v>8002.9119273723227</v>
      </c>
      <c r="AA157" s="1">
        <f>SIMULIMO!AF139</f>
        <v>8114.7742927449654</v>
      </c>
      <c r="AB157" s="107">
        <f>SIMULIMO!AG136+SIMULIMO!AG139</f>
        <v>307429.06199892703</v>
      </c>
      <c r="AC157" s="1"/>
      <c r="AD157" s="1"/>
      <c r="AE157" s="1"/>
      <c r="AF157" s="1"/>
    </row>
    <row r="158" spans="2:32" x14ac:dyDescent="0.25">
      <c r="B158" s="105">
        <v>27</v>
      </c>
      <c r="C158" s="1">
        <f>SIMULIMO!H139</f>
        <v>-192432.82460989201</v>
      </c>
      <c r="D158" s="1">
        <f>SIMULIMO!I139</f>
        <v>7674.6803901079866</v>
      </c>
      <c r="E158" s="1">
        <f>SIMULIMO!J139</f>
        <v>7783.2604401079871</v>
      </c>
      <c r="F158" s="1">
        <f>SIMULIMO!K139</f>
        <v>7892.9262906079839</v>
      </c>
      <c r="G158" s="1">
        <f>SIMULIMO!L139</f>
        <v>8003.6887996129881</v>
      </c>
      <c r="H158" s="1">
        <f>SIMULIMO!M139</f>
        <v>8115.5589337080319</v>
      </c>
      <c r="I158" s="1">
        <f>SIMULIMO!N139</f>
        <v>8228.5477691440356</v>
      </c>
      <c r="J158" s="1">
        <f>SIMULIMO!O139</f>
        <v>8342.6664929343988</v>
      </c>
      <c r="K158" s="1">
        <f>SIMULIMO!P139</f>
        <v>8457.9264039626651</v>
      </c>
      <c r="L158" s="1">
        <f>SIMULIMO!Q139</f>
        <v>8574.3389141012067</v>
      </c>
      <c r="M158" s="1">
        <f>SIMULIMO!R139</f>
        <v>8691.9155493411381</v>
      </c>
      <c r="N158" s="1">
        <f>SIMULIMO!S139</f>
        <v>8787.0149460226821</v>
      </c>
      <c r="O158" s="1">
        <f>SIMULIMO!T139</f>
        <v>8542.4828982197305</v>
      </c>
      <c r="P158" s="1">
        <f>SIMULIMO!U139</f>
        <v>8286.5761217726613</v>
      </c>
      <c r="Q158" s="1">
        <f>SIMULIMO!V139</f>
        <v>8018.8513874354339</v>
      </c>
      <c r="R158" s="1">
        <f>SIMULIMO!W139</f>
        <v>7738.8486852221677</v>
      </c>
      <c r="S158" s="1">
        <f>SIMULIMO!X139</f>
        <v>7446.0905875868229</v>
      </c>
      <c r="T158" s="1">
        <f>SIMULIMO!Y139</f>
        <v>7354.6162204643651</v>
      </c>
      <c r="U158" s="1">
        <f>SIMULIMO!Z139</f>
        <v>7459.9956287679352</v>
      </c>
      <c r="V158" s="1">
        <f>SIMULIMO!AA139</f>
        <v>7566.4288311545333</v>
      </c>
      <c r="W158" s="1">
        <f>SIMULIMO!AB139</f>
        <v>7673.9263655649938</v>
      </c>
      <c r="X158" s="1">
        <f>SIMULIMO!AC139</f>
        <v>7782.498875319563</v>
      </c>
      <c r="Y158" s="1">
        <f>SIMULIMO!AD139</f>
        <v>7892.1571101716827</v>
      </c>
      <c r="Z158" s="1">
        <f>SIMULIMO!AE139</f>
        <v>8002.9119273723227</v>
      </c>
      <c r="AA158" s="1">
        <f>SIMULIMO!AF139</f>
        <v>8114.7742927449654</v>
      </c>
      <c r="AB158" s="1">
        <f>SIMULIMO!AG139</f>
        <v>11211.07989166335</v>
      </c>
      <c r="AC158" s="107">
        <f>SIMULIMO!AH136+SIMULIMO!AH139</f>
        <v>310806.65598856431</v>
      </c>
      <c r="AD158" s="1"/>
      <c r="AE158" s="1"/>
      <c r="AF158" s="1"/>
    </row>
    <row r="159" spans="2:32" x14ac:dyDescent="0.25">
      <c r="B159" s="105">
        <v>28</v>
      </c>
      <c r="C159" s="1">
        <f>SIMULIMO!H139</f>
        <v>-192432.82460989201</v>
      </c>
      <c r="D159" s="1">
        <f>SIMULIMO!I139</f>
        <v>7674.6803901079866</v>
      </c>
      <c r="E159" s="1">
        <f>SIMULIMO!J139</f>
        <v>7783.2604401079871</v>
      </c>
      <c r="F159" s="1">
        <f>SIMULIMO!K139</f>
        <v>7892.9262906079839</v>
      </c>
      <c r="G159" s="1">
        <f>SIMULIMO!L139</f>
        <v>8003.6887996129881</v>
      </c>
      <c r="H159" s="1">
        <f>SIMULIMO!M139</f>
        <v>8115.5589337080319</v>
      </c>
      <c r="I159" s="1">
        <f>SIMULIMO!N139</f>
        <v>8228.5477691440356</v>
      </c>
      <c r="J159" s="1">
        <f>SIMULIMO!O139</f>
        <v>8342.6664929343988</v>
      </c>
      <c r="K159" s="1">
        <f>SIMULIMO!P139</f>
        <v>8457.9264039626651</v>
      </c>
      <c r="L159" s="1">
        <f>SIMULIMO!Q139</f>
        <v>8574.3389141012067</v>
      </c>
      <c r="M159" s="1">
        <f>SIMULIMO!R139</f>
        <v>8691.9155493411381</v>
      </c>
      <c r="N159" s="1">
        <f>SIMULIMO!S139</f>
        <v>8787.0149460226821</v>
      </c>
      <c r="O159" s="1">
        <f>SIMULIMO!T139</f>
        <v>8542.4828982197305</v>
      </c>
      <c r="P159" s="1">
        <f>SIMULIMO!U139</f>
        <v>8286.5761217726613</v>
      </c>
      <c r="Q159" s="1">
        <f>SIMULIMO!V139</f>
        <v>8018.8513874354339</v>
      </c>
      <c r="R159" s="1">
        <f>SIMULIMO!W139</f>
        <v>7738.8486852221677</v>
      </c>
      <c r="S159" s="1">
        <f>SIMULIMO!X139</f>
        <v>7446.0905875868229</v>
      </c>
      <c r="T159" s="1">
        <f>SIMULIMO!Y139</f>
        <v>7354.6162204643651</v>
      </c>
      <c r="U159" s="1">
        <f>SIMULIMO!Z139</f>
        <v>7459.9956287679352</v>
      </c>
      <c r="V159" s="1">
        <f>SIMULIMO!AA139</f>
        <v>7566.4288311545333</v>
      </c>
      <c r="W159" s="1">
        <f>SIMULIMO!AB139</f>
        <v>7673.9263655649938</v>
      </c>
      <c r="X159" s="1">
        <f>SIMULIMO!AC139</f>
        <v>7782.498875319563</v>
      </c>
      <c r="Y159" s="1">
        <f>SIMULIMO!AD139</f>
        <v>7892.1571101716827</v>
      </c>
      <c r="Z159" s="1">
        <f>SIMULIMO!AE139</f>
        <v>8002.9119273723227</v>
      </c>
      <c r="AA159" s="1">
        <f>SIMULIMO!AF139</f>
        <v>8114.7742927449654</v>
      </c>
      <c r="AB159" s="1">
        <f>SIMULIMO!AG139</f>
        <v>11211.07989166335</v>
      </c>
      <c r="AC159" s="1">
        <f>SIMULIMO!AH139</f>
        <v>11325.190690579982</v>
      </c>
      <c r="AD159" s="107">
        <f>SIMULIMO!AI136+SIMULIMO!AI139</f>
        <v>314306.49226699444</v>
      </c>
      <c r="AE159" s="1"/>
      <c r="AF159" s="1"/>
    </row>
    <row r="160" spans="2:32" x14ac:dyDescent="0.25">
      <c r="B160" s="105">
        <v>29</v>
      </c>
      <c r="C160" s="1">
        <f>SIMULIMO!H139</f>
        <v>-192432.82460989201</v>
      </c>
      <c r="D160" s="1">
        <f>SIMULIMO!I139</f>
        <v>7674.6803901079866</v>
      </c>
      <c r="E160" s="1">
        <f>SIMULIMO!J139</f>
        <v>7783.2604401079871</v>
      </c>
      <c r="F160" s="1">
        <f>SIMULIMO!K139</f>
        <v>7892.9262906079839</v>
      </c>
      <c r="G160" s="1">
        <f>SIMULIMO!L139</f>
        <v>8003.6887996129881</v>
      </c>
      <c r="H160" s="1">
        <f>SIMULIMO!M139</f>
        <v>8115.5589337080319</v>
      </c>
      <c r="I160" s="1">
        <f>SIMULIMO!N139</f>
        <v>8228.5477691440356</v>
      </c>
      <c r="J160" s="1">
        <f>SIMULIMO!O139</f>
        <v>8342.6664929343988</v>
      </c>
      <c r="K160" s="1">
        <f>SIMULIMO!P139</f>
        <v>8457.9264039626651</v>
      </c>
      <c r="L160" s="1">
        <f>SIMULIMO!Q139</f>
        <v>8574.3389141012067</v>
      </c>
      <c r="M160" s="1">
        <f>SIMULIMO!R139</f>
        <v>8691.9155493411381</v>
      </c>
      <c r="N160" s="1">
        <f>SIMULIMO!S139</f>
        <v>8787.0149460226821</v>
      </c>
      <c r="O160" s="1">
        <f>SIMULIMO!T139</f>
        <v>8542.4828982197305</v>
      </c>
      <c r="P160" s="1">
        <f>SIMULIMO!U139</f>
        <v>8286.5761217726613</v>
      </c>
      <c r="Q160" s="1">
        <f>SIMULIMO!V139</f>
        <v>8018.8513874354339</v>
      </c>
      <c r="R160" s="1">
        <f>SIMULIMO!W139</f>
        <v>7738.8486852221677</v>
      </c>
      <c r="S160" s="1">
        <f>SIMULIMO!X139</f>
        <v>7446.0905875868229</v>
      </c>
      <c r="T160" s="1">
        <f>SIMULIMO!Y139</f>
        <v>7354.6162204643651</v>
      </c>
      <c r="U160" s="1">
        <f>SIMULIMO!Z139</f>
        <v>7459.9956287679352</v>
      </c>
      <c r="V160" s="1">
        <f>SIMULIMO!AA139</f>
        <v>7566.4288311545333</v>
      </c>
      <c r="W160" s="1">
        <f>SIMULIMO!AB139</f>
        <v>7673.9263655649938</v>
      </c>
      <c r="X160" s="1">
        <f>SIMULIMO!AC139</f>
        <v>7782.498875319563</v>
      </c>
      <c r="Y160" s="1">
        <f>SIMULIMO!AD139</f>
        <v>7892.1571101716827</v>
      </c>
      <c r="Z160" s="1">
        <f>SIMULIMO!AE139</f>
        <v>8002.9119273723227</v>
      </c>
      <c r="AA160" s="1">
        <f>SIMULIMO!AF139</f>
        <v>8114.7742927449654</v>
      </c>
      <c r="AB160" s="1">
        <f>SIMULIMO!AG139</f>
        <v>11211.07989166335</v>
      </c>
      <c r="AC160" s="1">
        <f>SIMULIMO!AH139</f>
        <v>11325.190690579982</v>
      </c>
      <c r="AD160" s="1">
        <f>SIMULIMO!AI139</f>
        <v>11440.442597485777</v>
      </c>
      <c r="AE160" s="107">
        <f>SIMULIMO!AJ136+SIMULIMO!AJ139</f>
        <v>317930.25903179444</v>
      </c>
      <c r="AF160" s="1"/>
    </row>
    <row r="161" spans="2:32" x14ac:dyDescent="0.25">
      <c r="B161" s="105">
        <v>30</v>
      </c>
      <c r="C161" s="1">
        <f>SIMULIMO!H139</f>
        <v>-192432.82460989201</v>
      </c>
      <c r="D161" s="1">
        <f>SIMULIMO!I139</f>
        <v>7674.6803901079866</v>
      </c>
      <c r="E161" s="1">
        <f>SIMULIMO!J139</f>
        <v>7783.2604401079871</v>
      </c>
      <c r="F161" s="1">
        <f>SIMULIMO!K139</f>
        <v>7892.9262906079839</v>
      </c>
      <c r="G161" s="1">
        <f>SIMULIMO!L139</f>
        <v>8003.6887996129881</v>
      </c>
      <c r="H161" s="1">
        <f>SIMULIMO!M139</f>
        <v>8115.5589337080319</v>
      </c>
      <c r="I161" s="1">
        <f>SIMULIMO!N139</f>
        <v>8228.5477691440356</v>
      </c>
      <c r="J161" s="1">
        <f>SIMULIMO!O139</f>
        <v>8342.6664929343988</v>
      </c>
      <c r="K161" s="1">
        <f>SIMULIMO!P139</f>
        <v>8457.9264039626651</v>
      </c>
      <c r="L161" s="1">
        <f>SIMULIMO!Q139</f>
        <v>8574.3389141012067</v>
      </c>
      <c r="M161" s="1">
        <f>SIMULIMO!R139</f>
        <v>8691.9155493411381</v>
      </c>
      <c r="N161" s="1">
        <f>SIMULIMO!S139</f>
        <v>8787.0149460226821</v>
      </c>
      <c r="O161" s="1">
        <f>SIMULIMO!T139</f>
        <v>8542.4828982197305</v>
      </c>
      <c r="P161" s="1">
        <f>SIMULIMO!U139</f>
        <v>8286.5761217726613</v>
      </c>
      <c r="Q161" s="1">
        <f>SIMULIMO!V139</f>
        <v>8018.8513874354339</v>
      </c>
      <c r="R161" s="1">
        <f>SIMULIMO!W139</f>
        <v>7738.8486852221677</v>
      </c>
      <c r="S161" s="1">
        <f>SIMULIMO!X139</f>
        <v>7446.0905875868229</v>
      </c>
      <c r="T161" s="1">
        <f>SIMULIMO!Y139</f>
        <v>7354.6162204643651</v>
      </c>
      <c r="U161" s="1">
        <f>SIMULIMO!Z139</f>
        <v>7459.9956287679352</v>
      </c>
      <c r="V161" s="1">
        <f>SIMULIMO!AA139</f>
        <v>7566.4288311545333</v>
      </c>
      <c r="W161" s="1">
        <f>SIMULIMO!AB139</f>
        <v>7673.9263655649938</v>
      </c>
      <c r="X161" s="1">
        <f>SIMULIMO!AC139</f>
        <v>7782.498875319563</v>
      </c>
      <c r="Y161" s="1">
        <f>SIMULIMO!AD139</f>
        <v>7892.1571101716827</v>
      </c>
      <c r="Z161" s="1">
        <f>SIMULIMO!AE139</f>
        <v>8002.9119273723227</v>
      </c>
      <c r="AA161" s="1">
        <f>SIMULIMO!AF139</f>
        <v>8114.7742927449654</v>
      </c>
      <c r="AB161" s="1">
        <f>SIMULIMO!AG139</f>
        <v>11211.07989166335</v>
      </c>
      <c r="AC161" s="1">
        <f>SIMULIMO!AH139</f>
        <v>11325.190690579982</v>
      </c>
      <c r="AD161" s="1">
        <f>SIMULIMO!AI139</f>
        <v>11440.442597485777</v>
      </c>
      <c r="AE161" s="1">
        <f>SIMULIMO!AJ139</f>
        <v>11556.847023460638</v>
      </c>
      <c r="AF161" s="107">
        <f>SIMULIMO!AK136+SIMULIMO!AK139</f>
        <v>321679.66602026368</v>
      </c>
    </row>
    <row r="166" spans="2:32" ht="21" x14ac:dyDescent="0.35">
      <c r="B166" s="180" t="s">
        <v>263</v>
      </c>
    </row>
    <row r="168" spans="2:32" ht="15.75" x14ac:dyDescent="0.25">
      <c r="B168" s="183" t="s">
        <v>269</v>
      </c>
      <c r="C168" s="183">
        <v>1</v>
      </c>
      <c r="D168" s="183">
        <v>2</v>
      </c>
      <c r="E168" s="183">
        <v>3</v>
      </c>
      <c r="F168" s="183">
        <v>4</v>
      </c>
      <c r="G168" s="183">
        <v>5</v>
      </c>
      <c r="H168" s="183">
        <v>6</v>
      </c>
      <c r="I168" s="183">
        <v>7</v>
      </c>
      <c r="J168" s="183">
        <v>8</v>
      </c>
      <c r="K168" s="183">
        <v>9</v>
      </c>
      <c r="L168" s="183">
        <v>10</v>
      </c>
      <c r="M168" s="183">
        <v>11</v>
      </c>
      <c r="N168" s="183">
        <v>12</v>
      </c>
      <c r="O168" s="183">
        <v>13</v>
      </c>
      <c r="P168" s="183">
        <v>14</v>
      </c>
      <c r="Q168" s="183">
        <v>15</v>
      </c>
      <c r="R168" s="183">
        <v>16</v>
      </c>
      <c r="S168" s="183">
        <v>17</v>
      </c>
      <c r="T168" s="183">
        <v>18</v>
      </c>
      <c r="U168" s="183">
        <v>19</v>
      </c>
      <c r="V168" s="183">
        <v>20</v>
      </c>
      <c r="W168" s="183">
        <v>21</v>
      </c>
      <c r="X168" s="183">
        <v>22</v>
      </c>
      <c r="Y168" s="183">
        <v>23</v>
      </c>
      <c r="Z168" s="183">
        <v>24</v>
      </c>
      <c r="AA168" s="183">
        <v>25</v>
      </c>
      <c r="AB168" s="183">
        <v>26</v>
      </c>
      <c r="AC168" s="183">
        <v>27</v>
      </c>
      <c r="AD168" s="183">
        <v>28</v>
      </c>
      <c r="AE168" s="183">
        <v>29</v>
      </c>
      <c r="AF168" s="183">
        <v>30</v>
      </c>
    </row>
    <row r="169" spans="2:32" s="187" customFormat="1" ht="15.75" x14ac:dyDescent="0.25">
      <c r="B169" s="185" t="s">
        <v>268</v>
      </c>
      <c r="C169" s="186" t="str">
        <f>IFERROR(IRR(C171),"N/A")</f>
        <v>N/A</v>
      </c>
      <c r="D169" s="186">
        <f>IFERROR(IRR(C172:D172),"N/A")</f>
        <v>-2.4275602416970243E-2</v>
      </c>
      <c r="E169" s="186">
        <f>IFERROR(IRR(C173:E173),"N/A")</f>
        <v>1.9373075382866478E-2</v>
      </c>
      <c r="F169" s="186">
        <f>IFERROR(IRR(C174:F174),"N/A")</f>
        <v>3.4092805266311421E-2</v>
      </c>
      <c r="G169" s="186">
        <f>IFERROR(IRR(C175:G175),"N/A")</f>
        <v>4.1345025971108562E-2</v>
      </c>
      <c r="H169" s="186">
        <f>IFERROR(IRR(C176:H176),"N/A")</f>
        <v>4.5578017231363344E-2</v>
      </c>
      <c r="I169" s="186">
        <f>IFERROR(IRR(C177:I177),"N/A")</f>
        <v>4.8296395611735043E-2</v>
      </c>
      <c r="J169" s="186">
        <f>IFERROR(IRR(C178:J178),"N/A")</f>
        <v>5.0150171983411651E-2</v>
      </c>
      <c r="K169" s="186">
        <f>IFERROR(IRR(C179:K179),"N/A")</f>
        <v>5.1465898063019155E-2</v>
      </c>
      <c r="L169" s="186">
        <f>IFERROR(IRR(C180:L180),"N/A")</f>
        <v>5.2400390380544337E-2</v>
      </c>
      <c r="M169" s="186">
        <f>IFERROR(IRR(C181:M181),"N/A")</f>
        <v>5.2954838056458842E-2</v>
      </c>
      <c r="N169" s="186">
        <f>IFERROR(IRR(C182:N182),"N/A")</f>
        <v>5.3238867688460978E-2</v>
      </c>
      <c r="O169" s="186">
        <f>IFERROR(IRR(C183:O183),"N/A")</f>
        <v>5.3324778776927761E-2</v>
      </c>
      <c r="P169" s="186">
        <f>IFERROR(IRR(C184:P184),"N/A")</f>
        <v>5.3262031921784914E-2</v>
      </c>
      <c r="Q169" s="186">
        <f>IFERROR(IRR(C185:Q185),"N/A")</f>
        <v>5.3085482558463015E-2</v>
      </c>
      <c r="R169" s="186">
        <f>IFERROR(IRR(C186:R186),"N/A")</f>
        <v>5.2820297917069992E-2</v>
      </c>
      <c r="S169" s="186">
        <f>IFERROR(IRR(C187:S187),"N/A")</f>
        <v>5.2417020440846063E-2</v>
      </c>
      <c r="T169" s="186">
        <f>IFERROR(IRR(C188:T188),"N/A")</f>
        <v>5.1987491465804725E-2</v>
      </c>
      <c r="U169" s="186">
        <f>IFERROR(IRR(C189:U189),"N/A")</f>
        <v>5.1603648726123996E-2</v>
      </c>
      <c r="V169" s="186">
        <f>IFERROR(IRR(C190:V190),"N/A")</f>
        <v>5.1258046656660783E-2</v>
      </c>
      <c r="W169" s="186">
        <f>IFERROR(IRR(C191:W191),"N/A")</f>
        <v>5.0944710385147918E-2</v>
      </c>
      <c r="X169" s="186">
        <f>IFERROR(IRR(C192:X192),"N/A")</f>
        <v>5.0650846336402156E-2</v>
      </c>
      <c r="Y169" s="186">
        <f>IFERROR(IRR(C193:Y193),"N/A")</f>
        <v>5.039041728310778E-2</v>
      </c>
      <c r="Z169" s="186">
        <f>IFERROR(IRR(C194:Z194),"N/A")</f>
        <v>5.0150701058721436E-2</v>
      </c>
      <c r="AA169" s="186">
        <f>IFERROR(IRR(C195:AA195),"N/A")</f>
        <v>4.9928857828356099E-2</v>
      </c>
      <c r="AB169" s="186">
        <f>IFERROR(IRR(C196:AB196),"N/A")</f>
        <v>4.9724699732900168E-2</v>
      </c>
      <c r="AC169" s="186">
        <f>IFERROR(IRR(C197:AC197),"N/A")</f>
        <v>4.9545013022495255E-2</v>
      </c>
      <c r="AD169" s="186">
        <f>IFERROR(IRR(C198:AD198),"N/A")</f>
        <v>4.9386422828384458E-2</v>
      </c>
      <c r="AE169" s="186">
        <f>IFERROR(IRR(C199:AE199),"N/A")</f>
        <v>4.9246074383322958E-2</v>
      </c>
      <c r="AF169" s="186">
        <f>IFERROR(IRR(C200:AF200),"N/A")</f>
        <v>4.9121540155882215E-2</v>
      </c>
    </row>
    <row r="170" spans="2:32" x14ac:dyDescent="0.25">
      <c r="B170" s="106"/>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row>
    <row r="171" spans="2:32" x14ac:dyDescent="0.25">
      <c r="B171" s="105">
        <v>1</v>
      </c>
      <c r="C171" s="107">
        <f>SIMULIMO!H169+SIMULIMO!H172</f>
        <v>-16288.553684973827</v>
      </c>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row>
    <row r="172" spans="2:32" x14ac:dyDescent="0.25">
      <c r="B172" s="105">
        <v>2</v>
      </c>
      <c r="C172" s="1">
        <f>SIMULIMO!H172</f>
        <v>-189061.14381736718</v>
      </c>
      <c r="D172" s="107">
        <f>SIMULIMO!I169+SIMULIMO!I172</f>
        <v>184471.57065755915</v>
      </c>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row>
    <row r="173" spans="2:32" x14ac:dyDescent="0.25">
      <c r="B173" s="105">
        <v>3</v>
      </c>
      <c r="C173" s="1">
        <f>SIMULIMO!H172</f>
        <v>-189061.14381736718</v>
      </c>
      <c r="D173" s="1">
        <f>SIMULIMO!I172</f>
        <v>7274.1872172712829</v>
      </c>
      <c r="E173" s="107">
        <f>SIMULIMO!J169+SIMULIMO!J172</f>
        <v>189042.3824867426</v>
      </c>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row>
    <row r="174" spans="2:32" x14ac:dyDescent="0.25">
      <c r="B174" s="105">
        <v>4</v>
      </c>
      <c r="C174" s="1">
        <f>SIMULIMO!H172</f>
        <v>-189061.14381736718</v>
      </c>
      <c r="D174" s="1">
        <f>SIMULIMO!I172</f>
        <v>7274.1872172712829</v>
      </c>
      <c r="E174" s="1">
        <f>SIMULIMO!J172</f>
        <v>7367.3610849544548</v>
      </c>
      <c r="F174" s="107">
        <f>SIMULIMO!K169+SIMULIMO!K172</f>
        <v>193667.58612563284</v>
      </c>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row>
    <row r="175" spans="2:32" x14ac:dyDescent="0.25">
      <c r="B175" s="105">
        <v>5</v>
      </c>
      <c r="C175" s="1">
        <f>SIMULIMO!H172</f>
        <v>-189061.14381736718</v>
      </c>
      <c r="D175" s="1">
        <f>SIMULIMO!I172</f>
        <v>7274.1872172712829</v>
      </c>
      <c r="E175" s="1">
        <f>SIMULIMO!J172</f>
        <v>7367.3610849544548</v>
      </c>
      <c r="F175" s="1">
        <f>SIMULIMO!K172</f>
        <v>7461.4325328319355</v>
      </c>
      <c r="G175" s="107">
        <f>SIMULIMO!L169+SIMULIMO!L172</f>
        <v>198347.84784713329</v>
      </c>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row>
    <row r="176" spans="2:32" x14ac:dyDescent="0.25">
      <c r="B176" s="105">
        <v>6</v>
      </c>
      <c r="C176" s="1">
        <f>SIMULIMO!H172</f>
        <v>-189061.14381736718</v>
      </c>
      <c r="D176" s="1">
        <f>SIMULIMO!I172</f>
        <v>7274.1872172712829</v>
      </c>
      <c r="E176" s="1">
        <f>SIMULIMO!J172</f>
        <v>7367.3610849544548</v>
      </c>
      <c r="F176" s="1">
        <f>SIMULIMO!K172</f>
        <v>7461.4325328319355</v>
      </c>
      <c r="G176" s="1">
        <f>SIMULIMO!L172</f>
        <v>7556.4100554063998</v>
      </c>
      <c r="H176" s="107">
        <f>SIMULIMO!M169+SIMULIMO!M172</f>
        <v>203083.84231087824</v>
      </c>
      <c r="I176" s="1"/>
      <c r="J176" s="1"/>
      <c r="K176" s="1"/>
      <c r="L176" s="1"/>
      <c r="M176" s="1"/>
      <c r="N176" s="1"/>
      <c r="O176" s="1"/>
      <c r="P176" s="1"/>
      <c r="Q176" s="1"/>
      <c r="R176" s="1"/>
      <c r="S176" s="1"/>
      <c r="T176" s="1"/>
      <c r="U176" s="1"/>
      <c r="V176" s="1"/>
      <c r="W176" s="1"/>
      <c r="X176" s="1"/>
      <c r="Y176" s="1"/>
      <c r="Z176" s="1"/>
      <c r="AA176" s="1"/>
      <c r="AB176" s="1"/>
      <c r="AC176" s="1"/>
      <c r="AD176" s="1"/>
      <c r="AE176" s="1"/>
      <c r="AF176" s="1"/>
    </row>
    <row r="177" spans="2:32" x14ac:dyDescent="0.25">
      <c r="B177" s="105">
        <v>7</v>
      </c>
      <c r="C177" s="1">
        <f>SIMULIMO!H172</f>
        <v>-189061.14381736718</v>
      </c>
      <c r="D177" s="1">
        <f>SIMULIMO!I172</f>
        <v>7274.1872172712829</v>
      </c>
      <c r="E177" s="1">
        <f>SIMULIMO!J172</f>
        <v>7367.3610849544548</v>
      </c>
      <c r="F177" s="1">
        <f>SIMULIMO!K172</f>
        <v>7461.4325328319355</v>
      </c>
      <c r="G177" s="1">
        <f>SIMULIMO!L172</f>
        <v>7556.4100554063998</v>
      </c>
      <c r="H177" s="1">
        <f>SIMULIMO!M172</f>
        <v>7652.3022253439085</v>
      </c>
      <c r="I177" s="107">
        <f>SIMULIMO!N169+SIMULIMO!N172</f>
        <v>207876.25267139124</v>
      </c>
      <c r="J177" s="1"/>
      <c r="K177" s="1"/>
      <c r="L177" s="1"/>
      <c r="M177" s="1"/>
      <c r="N177" s="1"/>
      <c r="O177" s="1"/>
      <c r="P177" s="1"/>
      <c r="Q177" s="1"/>
      <c r="R177" s="1"/>
      <c r="S177" s="1"/>
      <c r="T177" s="1"/>
      <c r="U177" s="1"/>
      <c r="V177" s="1"/>
      <c r="W177" s="1"/>
      <c r="X177" s="1"/>
      <c r="Y177" s="1"/>
      <c r="Z177" s="1"/>
      <c r="AA177" s="1"/>
      <c r="AB177" s="1"/>
      <c r="AC177" s="1"/>
      <c r="AD177" s="1"/>
      <c r="AE177" s="1"/>
      <c r="AF177" s="1"/>
    </row>
    <row r="178" spans="2:32" x14ac:dyDescent="0.25">
      <c r="B178" s="105">
        <v>8</v>
      </c>
      <c r="C178" s="1">
        <f>SIMULIMO!H172</f>
        <v>-189061.14381736718</v>
      </c>
      <c r="D178" s="1">
        <f>SIMULIMO!I172</f>
        <v>7274.1872172712829</v>
      </c>
      <c r="E178" s="1">
        <f>SIMULIMO!J172</f>
        <v>7367.3610849544548</v>
      </c>
      <c r="F178" s="1">
        <f>SIMULIMO!K172</f>
        <v>7461.4325328319355</v>
      </c>
      <c r="G178" s="1">
        <f>SIMULIMO!L172</f>
        <v>7556.4100554063998</v>
      </c>
      <c r="H178" s="1">
        <f>SIMULIMO!M172</f>
        <v>7652.3022253439085</v>
      </c>
      <c r="I178" s="1">
        <f>SIMULIMO!N172</f>
        <v>7749.1176941600788</v>
      </c>
      <c r="J178" s="107">
        <f>SIMULIMO!O169+SIMULIMO!O172</f>
        <v>212725.77068766835</v>
      </c>
      <c r="K178" s="1"/>
      <c r="L178" s="1"/>
      <c r="M178" s="1"/>
      <c r="N178" s="1"/>
      <c r="O178" s="1"/>
      <c r="P178" s="1"/>
      <c r="Q178" s="1"/>
      <c r="R178" s="1"/>
      <c r="S178" s="1"/>
      <c r="T178" s="1"/>
      <c r="U178" s="1"/>
      <c r="V178" s="1"/>
      <c r="W178" s="1"/>
      <c r="X178" s="1"/>
      <c r="Y178" s="1"/>
      <c r="Z178" s="1"/>
      <c r="AA178" s="1"/>
      <c r="AB178" s="1"/>
      <c r="AC178" s="1"/>
      <c r="AD178" s="1"/>
      <c r="AE178" s="1"/>
      <c r="AF178" s="1"/>
    </row>
    <row r="179" spans="2:32" x14ac:dyDescent="0.25">
      <c r="B179" s="105">
        <v>9</v>
      </c>
      <c r="C179" s="1">
        <f>SIMULIMO!H172</f>
        <v>-189061.14381736718</v>
      </c>
      <c r="D179" s="1">
        <f>SIMULIMO!I172</f>
        <v>7274.1872172712829</v>
      </c>
      <c r="E179" s="1">
        <f>SIMULIMO!J172</f>
        <v>7367.3610849544548</v>
      </c>
      <c r="F179" s="1">
        <f>SIMULIMO!K172</f>
        <v>7461.4325328319355</v>
      </c>
      <c r="G179" s="1">
        <f>SIMULIMO!L172</f>
        <v>7556.4100554063998</v>
      </c>
      <c r="H179" s="1">
        <f>SIMULIMO!M172</f>
        <v>7652.3022253439085</v>
      </c>
      <c r="I179" s="1">
        <f>SIMULIMO!N172</f>
        <v>7749.1176941600788</v>
      </c>
      <c r="J179" s="1">
        <f>SIMULIMO!O172</f>
        <v>7846.8651929115958</v>
      </c>
      <c r="K179" s="107">
        <f>SIMULIMO!P169+SIMULIMO!P172</f>
        <v>217633.0968342032</v>
      </c>
      <c r="L179" s="1"/>
      <c r="M179" s="1"/>
      <c r="N179" s="1"/>
      <c r="O179" s="1"/>
      <c r="P179" s="1"/>
      <c r="Q179" s="1"/>
      <c r="R179" s="1"/>
      <c r="S179" s="1"/>
      <c r="T179" s="1"/>
      <c r="U179" s="1"/>
      <c r="V179" s="1"/>
      <c r="W179" s="1"/>
      <c r="X179" s="1"/>
      <c r="Y179" s="1"/>
      <c r="Z179" s="1"/>
      <c r="AA179" s="1"/>
      <c r="AB179" s="1"/>
      <c r="AC179" s="1"/>
      <c r="AD179" s="1"/>
      <c r="AE179" s="1"/>
      <c r="AF179" s="1"/>
    </row>
    <row r="180" spans="2:32" x14ac:dyDescent="0.25">
      <c r="B180" s="105">
        <v>10</v>
      </c>
      <c r="C180" s="1">
        <f>SIMULIMO!H172</f>
        <v>-189061.14381736718</v>
      </c>
      <c r="D180" s="1">
        <f>SIMULIMO!I172</f>
        <v>7274.1872172712829</v>
      </c>
      <c r="E180" s="1">
        <f>SIMULIMO!J172</f>
        <v>7367.3610849544548</v>
      </c>
      <c r="F180" s="1">
        <f>SIMULIMO!K172</f>
        <v>7461.4325328319355</v>
      </c>
      <c r="G180" s="1">
        <f>SIMULIMO!L172</f>
        <v>7556.4100554063998</v>
      </c>
      <c r="H180" s="1">
        <f>SIMULIMO!M172</f>
        <v>7652.3022253439085</v>
      </c>
      <c r="I180" s="1">
        <f>SIMULIMO!N172</f>
        <v>7749.1176941600788</v>
      </c>
      <c r="J180" s="1">
        <f>SIMULIMO!O172</f>
        <v>7846.8651929115958</v>
      </c>
      <c r="K180" s="1">
        <f>SIMULIMO!P172</f>
        <v>7945.5535328934238</v>
      </c>
      <c r="L180" s="107">
        <f>SIMULIMO!Q169+SIMULIMO!Q172</f>
        <v>222543.29126207266</v>
      </c>
      <c r="M180" s="1"/>
      <c r="N180" s="1"/>
      <c r="O180" s="1"/>
      <c r="P180" s="1"/>
      <c r="Q180" s="1"/>
      <c r="R180" s="1"/>
      <c r="S180" s="1"/>
      <c r="T180" s="1"/>
      <c r="U180" s="1"/>
      <c r="V180" s="1"/>
      <c r="W180" s="1"/>
      <c r="X180" s="1"/>
      <c r="Y180" s="1"/>
      <c r="Z180" s="1"/>
      <c r="AA180" s="1"/>
      <c r="AB180" s="1"/>
      <c r="AC180" s="1"/>
      <c r="AD180" s="1"/>
      <c r="AE180" s="1"/>
      <c r="AF180" s="1"/>
    </row>
    <row r="181" spans="2:32" x14ac:dyDescent="0.25">
      <c r="B181" s="105">
        <v>11</v>
      </c>
      <c r="C181" s="1">
        <f>SIMULIMO!H172</f>
        <v>-189061.14381736718</v>
      </c>
      <c r="D181" s="1">
        <f>SIMULIMO!I172</f>
        <v>7274.1872172712829</v>
      </c>
      <c r="E181" s="1">
        <f>SIMULIMO!J172</f>
        <v>7367.3610849544548</v>
      </c>
      <c r="F181" s="1">
        <f>SIMULIMO!K172</f>
        <v>7461.4325328319355</v>
      </c>
      <c r="G181" s="1">
        <f>SIMULIMO!L172</f>
        <v>7556.4100554063998</v>
      </c>
      <c r="H181" s="1">
        <f>SIMULIMO!M172</f>
        <v>7652.3022253439085</v>
      </c>
      <c r="I181" s="1">
        <f>SIMULIMO!N172</f>
        <v>7749.1176941600788</v>
      </c>
      <c r="J181" s="1">
        <f>SIMULIMO!O172</f>
        <v>7846.8651929115958</v>
      </c>
      <c r="K181" s="1">
        <f>SIMULIMO!P172</f>
        <v>7945.5535328934238</v>
      </c>
      <c r="L181" s="1">
        <f>SIMULIMO!Q172</f>
        <v>7989.5424549390518</v>
      </c>
      <c r="M181" s="107">
        <f>SIMULIMO!R169+SIMULIMO!R172</f>
        <v>227212.62095565343</v>
      </c>
      <c r="N181" s="1"/>
      <c r="O181" s="1"/>
      <c r="P181" s="1"/>
      <c r="Q181" s="1"/>
      <c r="R181" s="1"/>
      <c r="S181" s="1"/>
      <c r="T181" s="1"/>
      <c r="U181" s="1"/>
      <c r="V181" s="1"/>
      <c r="W181" s="1"/>
      <c r="X181" s="1"/>
      <c r="Y181" s="1"/>
      <c r="Z181" s="1"/>
      <c r="AA181" s="1"/>
      <c r="AB181" s="1"/>
      <c r="AC181" s="1"/>
      <c r="AD181" s="1"/>
      <c r="AE181" s="1"/>
      <c r="AF181" s="1"/>
    </row>
    <row r="182" spans="2:32" x14ac:dyDescent="0.25">
      <c r="B182" s="105">
        <v>12</v>
      </c>
      <c r="C182" s="1">
        <f>SIMULIMO!H172</f>
        <v>-189061.14381736718</v>
      </c>
      <c r="D182" s="1">
        <f>SIMULIMO!I172</f>
        <v>7274.1872172712829</v>
      </c>
      <c r="E182" s="1">
        <f>SIMULIMO!J172</f>
        <v>7367.3610849544548</v>
      </c>
      <c r="F182" s="1">
        <f>SIMULIMO!K172</f>
        <v>7461.4325328319355</v>
      </c>
      <c r="G182" s="1">
        <f>SIMULIMO!L172</f>
        <v>7556.4100554063998</v>
      </c>
      <c r="H182" s="1">
        <f>SIMULIMO!M172</f>
        <v>7652.3022253439085</v>
      </c>
      <c r="I182" s="1">
        <f>SIMULIMO!N172</f>
        <v>7749.1176941600788</v>
      </c>
      <c r="J182" s="1">
        <f>SIMULIMO!O172</f>
        <v>7846.8651929115958</v>
      </c>
      <c r="K182" s="1">
        <f>SIMULIMO!P172</f>
        <v>7945.5535328934238</v>
      </c>
      <c r="L182" s="1">
        <f>SIMULIMO!Q172</f>
        <v>7989.5424549390518</v>
      </c>
      <c r="M182" s="1">
        <f>SIMULIMO!R172</f>
        <v>7734.3896728759173</v>
      </c>
      <c r="N182" s="107">
        <f>SIMULIMO!S169+SIMULIMO!S172</f>
        <v>231930.02469261954</v>
      </c>
      <c r="O182" s="1"/>
      <c r="P182" s="1"/>
      <c r="Q182" s="1"/>
      <c r="R182" s="1"/>
      <c r="S182" s="1"/>
      <c r="T182" s="1"/>
      <c r="U182" s="1"/>
      <c r="V182" s="1"/>
      <c r="W182" s="1"/>
      <c r="X182" s="1"/>
      <c r="Y182" s="1"/>
      <c r="Z182" s="1"/>
      <c r="AA182" s="1"/>
      <c r="AB182" s="1"/>
      <c r="AC182" s="1"/>
      <c r="AD182" s="1"/>
      <c r="AE182" s="1"/>
      <c r="AF182" s="1"/>
    </row>
    <row r="183" spans="2:32" x14ac:dyDescent="0.25">
      <c r="B183" s="105">
        <v>13</v>
      </c>
      <c r="C183" s="1">
        <f>SIMULIMO!H172</f>
        <v>-189061.14381736718</v>
      </c>
      <c r="D183" s="1">
        <f>SIMULIMO!I172</f>
        <v>7274.1872172712829</v>
      </c>
      <c r="E183" s="1">
        <f>SIMULIMO!J172</f>
        <v>7367.3610849544548</v>
      </c>
      <c r="F183" s="1">
        <f>SIMULIMO!K172</f>
        <v>7461.4325328319355</v>
      </c>
      <c r="G183" s="1">
        <f>SIMULIMO!L172</f>
        <v>7556.4100554063998</v>
      </c>
      <c r="H183" s="1">
        <f>SIMULIMO!M172</f>
        <v>7652.3022253439085</v>
      </c>
      <c r="I183" s="1">
        <f>SIMULIMO!N172</f>
        <v>7749.1176941600788</v>
      </c>
      <c r="J183" s="1">
        <f>SIMULIMO!O172</f>
        <v>7846.8651929115958</v>
      </c>
      <c r="K183" s="1">
        <f>SIMULIMO!P172</f>
        <v>7945.5535328934238</v>
      </c>
      <c r="L183" s="1">
        <f>SIMULIMO!Q172</f>
        <v>7989.5424549390518</v>
      </c>
      <c r="M183" s="1">
        <f>SIMULIMO!R172</f>
        <v>7734.3896728759173</v>
      </c>
      <c r="N183" s="1">
        <f>SIMULIMO!S172</f>
        <v>7468.3157187654706</v>
      </c>
      <c r="O183" s="107">
        <f>SIMULIMO!T169+SIMULIMO!T172</f>
        <v>236695.81357382142</v>
      </c>
      <c r="P183" s="1"/>
      <c r="Q183" s="1"/>
      <c r="R183" s="1"/>
      <c r="S183" s="1"/>
      <c r="T183" s="1"/>
      <c r="U183" s="1"/>
      <c r="V183" s="1"/>
      <c r="W183" s="1"/>
      <c r="X183" s="1"/>
      <c r="Y183" s="1"/>
      <c r="Z183" s="1"/>
      <c r="AA183" s="1"/>
      <c r="AB183" s="1"/>
      <c r="AC183" s="1"/>
      <c r="AD183" s="1"/>
      <c r="AE183" s="1"/>
      <c r="AF183" s="1"/>
    </row>
    <row r="184" spans="2:32" x14ac:dyDescent="0.25">
      <c r="B184" s="105">
        <v>14</v>
      </c>
      <c r="C184" s="1">
        <f>SIMULIMO!H172</f>
        <v>-189061.14381736718</v>
      </c>
      <c r="D184" s="1">
        <f>SIMULIMO!I172</f>
        <v>7274.1872172712829</v>
      </c>
      <c r="E184" s="1">
        <f>SIMULIMO!J172</f>
        <v>7367.3610849544548</v>
      </c>
      <c r="F184" s="1">
        <f>SIMULIMO!K172</f>
        <v>7461.4325328319355</v>
      </c>
      <c r="G184" s="1">
        <f>SIMULIMO!L172</f>
        <v>7556.4100554063998</v>
      </c>
      <c r="H184" s="1">
        <f>SIMULIMO!M172</f>
        <v>7652.3022253439085</v>
      </c>
      <c r="I184" s="1">
        <f>SIMULIMO!N172</f>
        <v>7749.1176941600788</v>
      </c>
      <c r="J184" s="1">
        <f>SIMULIMO!O172</f>
        <v>7846.8651929115958</v>
      </c>
      <c r="K184" s="1">
        <f>SIMULIMO!P172</f>
        <v>7945.5535328934238</v>
      </c>
      <c r="L184" s="1">
        <f>SIMULIMO!Q172</f>
        <v>7989.5424549390518</v>
      </c>
      <c r="M184" s="1">
        <f>SIMULIMO!R172</f>
        <v>7734.3896728759173</v>
      </c>
      <c r="N184" s="1">
        <f>SIMULIMO!S172</f>
        <v>7468.3157187654706</v>
      </c>
      <c r="O184" s="1">
        <f>SIMULIMO!T172</f>
        <v>7190.9043565089269</v>
      </c>
      <c r="P184" s="107">
        <f>SIMULIMO!U169+SIMULIMO!U172</f>
        <v>241510.29227240218</v>
      </c>
      <c r="Q184" s="1"/>
      <c r="R184" s="1"/>
      <c r="S184" s="1"/>
      <c r="T184" s="1"/>
      <c r="U184" s="1"/>
      <c r="V184" s="1"/>
      <c r="W184" s="1"/>
      <c r="X184" s="1"/>
      <c r="Y184" s="1"/>
      <c r="Z184" s="1"/>
      <c r="AA184" s="1"/>
      <c r="AB184" s="1"/>
      <c r="AC184" s="1"/>
      <c r="AD184" s="1"/>
      <c r="AE184" s="1"/>
      <c r="AF184" s="1"/>
    </row>
    <row r="185" spans="2:32" x14ac:dyDescent="0.25">
      <c r="B185" s="105">
        <v>15</v>
      </c>
      <c r="C185" s="1">
        <f>SIMULIMO!H172</f>
        <v>-189061.14381736718</v>
      </c>
      <c r="D185" s="1">
        <f>SIMULIMO!I172</f>
        <v>7274.1872172712829</v>
      </c>
      <c r="E185" s="1">
        <f>SIMULIMO!J172</f>
        <v>7367.3610849544548</v>
      </c>
      <c r="F185" s="1">
        <f>SIMULIMO!K172</f>
        <v>7461.4325328319355</v>
      </c>
      <c r="G185" s="1">
        <f>SIMULIMO!L172</f>
        <v>7556.4100554063998</v>
      </c>
      <c r="H185" s="1">
        <f>SIMULIMO!M172</f>
        <v>7652.3022253439085</v>
      </c>
      <c r="I185" s="1">
        <f>SIMULIMO!N172</f>
        <v>7749.1176941600788</v>
      </c>
      <c r="J185" s="1">
        <f>SIMULIMO!O172</f>
        <v>7846.8651929115958</v>
      </c>
      <c r="K185" s="1">
        <f>SIMULIMO!P172</f>
        <v>7945.5535328934238</v>
      </c>
      <c r="L185" s="1">
        <f>SIMULIMO!Q172</f>
        <v>7989.5424549390518</v>
      </c>
      <c r="M185" s="1">
        <f>SIMULIMO!R172</f>
        <v>7734.3896728759173</v>
      </c>
      <c r="N185" s="1">
        <f>SIMULIMO!S172</f>
        <v>7468.3157187654706</v>
      </c>
      <c r="O185" s="1">
        <f>SIMULIMO!T172</f>
        <v>7190.9043565089269</v>
      </c>
      <c r="P185" s="1">
        <f>SIMULIMO!U172</f>
        <v>6901.7237131538313</v>
      </c>
      <c r="Q185" s="107">
        <f>SIMULIMO!V169+SIMULIMO!V172</f>
        <v>246373.75856163941</v>
      </c>
      <c r="R185" s="1"/>
      <c r="S185" s="1"/>
      <c r="T185" s="1"/>
      <c r="U185" s="1"/>
      <c r="V185" s="1"/>
      <c r="W185" s="1"/>
      <c r="X185" s="1"/>
      <c r="Y185" s="1"/>
      <c r="Z185" s="1"/>
      <c r="AA185" s="1"/>
      <c r="AB185" s="1"/>
      <c r="AC185" s="1"/>
      <c r="AD185" s="1"/>
      <c r="AE185" s="1"/>
      <c r="AF185" s="1"/>
    </row>
    <row r="186" spans="2:32" x14ac:dyDescent="0.25">
      <c r="B186" s="105">
        <v>16</v>
      </c>
      <c r="C186" s="1">
        <f>SIMULIMO!H172</f>
        <v>-189061.14381736718</v>
      </c>
      <c r="D186" s="1">
        <f>SIMULIMO!I172</f>
        <v>7274.1872172712829</v>
      </c>
      <c r="E186" s="1">
        <f>SIMULIMO!J172</f>
        <v>7367.3610849544548</v>
      </c>
      <c r="F186" s="1">
        <f>SIMULIMO!K172</f>
        <v>7461.4325328319355</v>
      </c>
      <c r="G186" s="1">
        <f>SIMULIMO!L172</f>
        <v>7556.4100554063998</v>
      </c>
      <c r="H186" s="1">
        <f>SIMULIMO!M172</f>
        <v>7652.3022253439085</v>
      </c>
      <c r="I186" s="1">
        <f>SIMULIMO!N172</f>
        <v>7749.1176941600788</v>
      </c>
      <c r="J186" s="1">
        <f>SIMULIMO!O172</f>
        <v>7846.8651929115958</v>
      </c>
      <c r="K186" s="1">
        <f>SIMULIMO!P172</f>
        <v>7945.5535328934238</v>
      </c>
      <c r="L186" s="1">
        <f>SIMULIMO!Q172</f>
        <v>7989.5424549390518</v>
      </c>
      <c r="M186" s="1">
        <f>SIMULIMO!R172</f>
        <v>7734.3896728759173</v>
      </c>
      <c r="N186" s="1">
        <f>SIMULIMO!S172</f>
        <v>7468.3157187654706</v>
      </c>
      <c r="O186" s="1">
        <f>SIMULIMO!T172</f>
        <v>7190.9043565089269</v>
      </c>
      <c r="P186" s="1">
        <f>SIMULIMO!U172</f>
        <v>6901.7237131538313</v>
      </c>
      <c r="Q186" s="1">
        <f>SIMULIMO!V172</f>
        <v>6600.325687368836</v>
      </c>
      <c r="R186" s="107">
        <f>SIMULIMO!W169+SIMULIMO!W172</f>
        <v>251286.5028217533</v>
      </c>
      <c r="S186" s="1"/>
      <c r="T186" s="1"/>
      <c r="U186" s="1"/>
      <c r="V186" s="1"/>
      <c r="W186" s="1"/>
      <c r="X186" s="1"/>
      <c r="Y186" s="1"/>
      <c r="Z186" s="1"/>
      <c r="AA186" s="1"/>
      <c r="AB186" s="1"/>
      <c r="AC186" s="1"/>
      <c r="AD186" s="1"/>
      <c r="AE186" s="1"/>
      <c r="AF186" s="1"/>
    </row>
    <row r="187" spans="2:32" x14ac:dyDescent="0.25">
      <c r="B187" s="105">
        <v>17</v>
      </c>
      <c r="C187" s="1">
        <f>SIMULIMO!H172</f>
        <v>-189061.14381736718</v>
      </c>
      <c r="D187" s="1">
        <f>SIMULIMO!I172</f>
        <v>7274.1872172712829</v>
      </c>
      <c r="E187" s="1">
        <f>SIMULIMO!J172</f>
        <v>7367.3610849544548</v>
      </c>
      <c r="F187" s="1">
        <f>SIMULIMO!K172</f>
        <v>7461.4325328319355</v>
      </c>
      <c r="G187" s="1">
        <f>SIMULIMO!L172</f>
        <v>7556.4100554063998</v>
      </c>
      <c r="H187" s="1">
        <f>SIMULIMO!M172</f>
        <v>7652.3022253439085</v>
      </c>
      <c r="I187" s="1">
        <f>SIMULIMO!N172</f>
        <v>7749.1176941600788</v>
      </c>
      <c r="J187" s="1">
        <f>SIMULIMO!O172</f>
        <v>7846.8651929115958</v>
      </c>
      <c r="K187" s="1">
        <f>SIMULIMO!P172</f>
        <v>7945.5535328934238</v>
      </c>
      <c r="L187" s="1">
        <f>SIMULIMO!Q172</f>
        <v>7989.5424549390518</v>
      </c>
      <c r="M187" s="1">
        <f>SIMULIMO!R172</f>
        <v>7734.3896728759173</v>
      </c>
      <c r="N187" s="1">
        <f>SIMULIMO!S172</f>
        <v>7468.3157187654706</v>
      </c>
      <c r="O187" s="1">
        <f>SIMULIMO!T172</f>
        <v>7190.9043565089269</v>
      </c>
      <c r="P187" s="1">
        <f>SIMULIMO!U172</f>
        <v>6901.7237131538313</v>
      </c>
      <c r="Q187" s="1">
        <f>SIMULIMO!V172</f>
        <v>6600.325687368836</v>
      </c>
      <c r="R187" s="1">
        <f>SIMULIMO!W172</f>
        <v>6286.245335306523</v>
      </c>
      <c r="S187" s="107">
        <f>SIMULIMO!X169+SIMULIMO!X172</f>
        <v>255906.65609184757</v>
      </c>
      <c r="T187" s="1"/>
      <c r="U187" s="1"/>
      <c r="V187" s="1"/>
      <c r="W187" s="1"/>
      <c r="X187" s="1"/>
      <c r="Y187" s="1"/>
      <c r="Z187" s="1"/>
      <c r="AA187" s="1"/>
      <c r="AB187" s="1"/>
      <c r="AC187" s="1"/>
      <c r="AD187" s="1"/>
      <c r="AE187" s="1"/>
      <c r="AF187" s="1"/>
    </row>
    <row r="188" spans="2:32" x14ac:dyDescent="0.25">
      <c r="B188" s="105">
        <v>18</v>
      </c>
      <c r="C188" s="1">
        <f>SIMULIMO!H172</f>
        <v>-189061.14381736718</v>
      </c>
      <c r="D188" s="1">
        <f>SIMULIMO!I172</f>
        <v>7274.1872172712829</v>
      </c>
      <c r="E188" s="1">
        <f>SIMULIMO!J172</f>
        <v>7367.3610849544548</v>
      </c>
      <c r="F188" s="1">
        <f>SIMULIMO!K172</f>
        <v>7461.4325328319355</v>
      </c>
      <c r="G188" s="1">
        <f>SIMULIMO!L172</f>
        <v>7556.4100554063998</v>
      </c>
      <c r="H188" s="1">
        <f>SIMULIMO!M172</f>
        <v>7652.3022253439085</v>
      </c>
      <c r="I188" s="1">
        <f>SIMULIMO!N172</f>
        <v>7749.1176941600788</v>
      </c>
      <c r="J188" s="1">
        <f>SIMULIMO!O172</f>
        <v>7846.8651929115958</v>
      </c>
      <c r="K188" s="1">
        <f>SIMULIMO!P172</f>
        <v>7945.5535328934238</v>
      </c>
      <c r="L188" s="1">
        <f>SIMULIMO!Q172</f>
        <v>7989.5424549390518</v>
      </c>
      <c r="M188" s="1">
        <f>SIMULIMO!R172</f>
        <v>7734.3896728759173</v>
      </c>
      <c r="N188" s="1">
        <f>SIMULIMO!S172</f>
        <v>7468.3157187654706</v>
      </c>
      <c r="O188" s="1">
        <f>SIMULIMO!T172</f>
        <v>7190.9043565089269</v>
      </c>
      <c r="P188" s="1">
        <f>SIMULIMO!U172</f>
        <v>6901.7237131538313</v>
      </c>
      <c r="Q188" s="1">
        <f>SIMULIMO!V172</f>
        <v>6600.325687368836</v>
      </c>
      <c r="R188" s="1">
        <f>SIMULIMO!W172</f>
        <v>6286.245335306523</v>
      </c>
      <c r="S188" s="1">
        <f>SIMULIMO!X172</f>
        <v>5959.0002329813051</v>
      </c>
      <c r="T188" s="107">
        <f>SIMULIMO!Y169+SIMULIMO!Y172</f>
        <v>260676.94190242491</v>
      </c>
      <c r="U188" s="1"/>
      <c r="V188" s="1"/>
      <c r="W188" s="1"/>
      <c r="X188" s="1"/>
      <c r="Y188" s="1"/>
      <c r="Z188" s="1"/>
      <c r="AA188" s="1"/>
      <c r="AB188" s="1"/>
      <c r="AC188" s="1"/>
      <c r="AD188" s="1"/>
      <c r="AE188" s="1"/>
      <c r="AF188" s="1"/>
    </row>
    <row r="189" spans="2:32" x14ac:dyDescent="0.25">
      <c r="B189" s="105">
        <v>19</v>
      </c>
      <c r="C189" s="1">
        <f>SIMULIMO!H172</f>
        <v>-189061.14381736718</v>
      </c>
      <c r="D189" s="1">
        <f>SIMULIMO!I172</f>
        <v>7274.1872172712829</v>
      </c>
      <c r="E189" s="1">
        <f>SIMULIMO!J172</f>
        <v>7367.3610849544548</v>
      </c>
      <c r="F189" s="1">
        <f>SIMULIMO!K172</f>
        <v>7461.4325328319355</v>
      </c>
      <c r="G189" s="1">
        <f>SIMULIMO!L172</f>
        <v>7556.4100554063998</v>
      </c>
      <c r="H189" s="1">
        <f>SIMULIMO!M172</f>
        <v>7652.3022253439085</v>
      </c>
      <c r="I189" s="1">
        <f>SIMULIMO!N172</f>
        <v>7749.1176941600788</v>
      </c>
      <c r="J189" s="1">
        <f>SIMULIMO!O172</f>
        <v>7846.8651929115958</v>
      </c>
      <c r="K189" s="1">
        <f>SIMULIMO!P172</f>
        <v>7945.5535328934238</v>
      </c>
      <c r="L189" s="1">
        <f>SIMULIMO!Q172</f>
        <v>7989.5424549390518</v>
      </c>
      <c r="M189" s="1">
        <f>SIMULIMO!R172</f>
        <v>7734.3896728759173</v>
      </c>
      <c r="N189" s="1">
        <f>SIMULIMO!S172</f>
        <v>7468.3157187654706</v>
      </c>
      <c r="O189" s="1">
        <f>SIMULIMO!T172</f>
        <v>7190.9043565089269</v>
      </c>
      <c r="P189" s="1">
        <f>SIMULIMO!U172</f>
        <v>6901.7237131538313</v>
      </c>
      <c r="Q189" s="1">
        <f>SIMULIMO!V172</f>
        <v>6600.325687368836</v>
      </c>
      <c r="R189" s="1">
        <f>SIMULIMO!W172</f>
        <v>6286.245335306523</v>
      </c>
      <c r="S189" s="1">
        <f>SIMULIMO!X172</f>
        <v>5959.0002329813051</v>
      </c>
      <c r="T189" s="1">
        <f>SIMULIMO!Y172</f>
        <v>5832.6244464983029</v>
      </c>
      <c r="U189" s="107">
        <f>SIMULIMO!Z169+SIMULIMO!Z172</f>
        <v>265781.08101729309</v>
      </c>
      <c r="V189" s="1"/>
      <c r="W189" s="1"/>
      <c r="X189" s="1"/>
      <c r="Y189" s="1"/>
      <c r="Z189" s="1"/>
      <c r="AA189" s="1"/>
      <c r="AB189" s="1"/>
      <c r="AC189" s="1"/>
      <c r="AD189" s="1"/>
      <c r="AE189" s="1"/>
      <c r="AF189" s="1"/>
    </row>
    <row r="190" spans="2:32" x14ac:dyDescent="0.25">
      <c r="B190" s="105">
        <v>20</v>
      </c>
      <c r="C190" s="1">
        <f>SIMULIMO!H172</f>
        <v>-189061.14381736718</v>
      </c>
      <c r="D190" s="1">
        <f>SIMULIMO!I172</f>
        <v>7274.1872172712829</v>
      </c>
      <c r="E190" s="1">
        <f>SIMULIMO!J172</f>
        <v>7367.3610849544548</v>
      </c>
      <c r="F190" s="1">
        <f>SIMULIMO!K172</f>
        <v>7461.4325328319355</v>
      </c>
      <c r="G190" s="1">
        <f>SIMULIMO!L172</f>
        <v>7556.4100554063998</v>
      </c>
      <c r="H190" s="1">
        <f>SIMULIMO!M172</f>
        <v>7652.3022253439085</v>
      </c>
      <c r="I190" s="1">
        <f>SIMULIMO!N172</f>
        <v>7749.1176941600788</v>
      </c>
      <c r="J190" s="1">
        <f>SIMULIMO!O172</f>
        <v>7846.8651929115958</v>
      </c>
      <c r="K190" s="1">
        <f>SIMULIMO!P172</f>
        <v>7945.5535328934238</v>
      </c>
      <c r="L190" s="1">
        <f>SIMULIMO!Q172</f>
        <v>7989.5424549390518</v>
      </c>
      <c r="M190" s="1">
        <f>SIMULIMO!R172</f>
        <v>7734.3896728759173</v>
      </c>
      <c r="N190" s="1">
        <f>SIMULIMO!S172</f>
        <v>7468.3157187654706</v>
      </c>
      <c r="O190" s="1">
        <f>SIMULIMO!T172</f>
        <v>7190.9043565089269</v>
      </c>
      <c r="P190" s="1">
        <f>SIMULIMO!U172</f>
        <v>6901.7237131538313</v>
      </c>
      <c r="Q190" s="1">
        <f>SIMULIMO!V172</f>
        <v>6600.325687368836</v>
      </c>
      <c r="R190" s="1">
        <f>SIMULIMO!W172</f>
        <v>6286.245335306523</v>
      </c>
      <c r="S190" s="1">
        <f>SIMULIMO!X172</f>
        <v>5959.0002329813051</v>
      </c>
      <c r="T190" s="1">
        <f>SIMULIMO!Y172</f>
        <v>5832.6244464983029</v>
      </c>
      <c r="U190" s="1">
        <f>SIMULIMO!Z172</f>
        <v>5902.6828967274241</v>
      </c>
      <c r="V190" s="107">
        <f>SIMULIMO!AA169+SIMULIMO!AA172</f>
        <v>271025.18568555341</v>
      </c>
      <c r="W190" s="1"/>
      <c r="X190" s="1"/>
      <c r="Y190" s="1"/>
      <c r="Z190" s="1"/>
      <c r="AA190" s="1"/>
      <c r="AB190" s="1"/>
      <c r="AC190" s="1"/>
      <c r="AD190" s="1"/>
      <c r="AE190" s="1"/>
      <c r="AF190" s="1"/>
    </row>
    <row r="191" spans="2:32" x14ac:dyDescent="0.25">
      <c r="B191" s="105">
        <v>21</v>
      </c>
      <c r="C191" s="1">
        <f>SIMULIMO!H172</f>
        <v>-189061.14381736718</v>
      </c>
      <c r="D191" s="1">
        <f>SIMULIMO!I172</f>
        <v>7274.1872172712829</v>
      </c>
      <c r="E191" s="1">
        <f>SIMULIMO!J172</f>
        <v>7367.3610849544548</v>
      </c>
      <c r="F191" s="1">
        <f>SIMULIMO!K172</f>
        <v>7461.4325328319355</v>
      </c>
      <c r="G191" s="1">
        <f>SIMULIMO!L172</f>
        <v>7556.4100554063998</v>
      </c>
      <c r="H191" s="1">
        <f>SIMULIMO!M172</f>
        <v>7652.3022253439085</v>
      </c>
      <c r="I191" s="1">
        <f>SIMULIMO!N172</f>
        <v>7749.1176941600788</v>
      </c>
      <c r="J191" s="1">
        <f>SIMULIMO!O172</f>
        <v>7846.8651929115958</v>
      </c>
      <c r="K191" s="1">
        <f>SIMULIMO!P172</f>
        <v>7945.5535328934238</v>
      </c>
      <c r="L191" s="1">
        <f>SIMULIMO!Q172</f>
        <v>7989.5424549390518</v>
      </c>
      <c r="M191" s="1">
        <f>SIMULIMO!R172</f>
        <v>7734.3896728759173</v>
      </c>
      <c r="N191" s="1">
        <f>SIMULIMO!S172</f>
        <v>7468.3157187654706</v>
      </c>
      <c r="O191" s="1">
        <f>SIMULIMO!T172</f>
        <v>7190.9043565089269</v>
      </c>
      <c r="P191" s="1">
        <f>SIMULIMO!U172</f>
        <v>6901.7237131538313</v>
      </c>
      <c r="Q191" s="1">
        <f>SIMULIMO!V172</f>
        <v>6600.325687368836</v>
      </c>
      <c r="R191" s="1">
        <f>SIMULIMO!W172</f>
        <v>6286.245335306523</v>
      </c>
      <c r="S191" s="1">
        <f>SIMULIMO!X172</f>
        <v>5959.0002329813051</v>
      </c>
      <c r="T191" s="1">
        <f>SIMULIMO!Y172</f>
        <v>5832.6244464983029</v>
      </c>
      <c r="U191" s="1">
        <f>SIMULIMO!Z172</f>
        <v>5902.6828967274241</v>
      </c>
      <c r="V191" s="1">
        <f>SIMULIMO!AA172</f>
        <v>5973.3704132351158</v>
      </c>
      <c r="W191" s="107">
        <f>SIMULIMO!AB169+SIMULIMO!AB172</f>
        <v>276411.2038359337</v>
      </c>
      <c r="X191" s="1"/>
      <c r="Y191" s="1"/>
      <c r="Z191" s="1"/>
      <c r="AA191" s="1"/>
      <c r="AB191" s="1"/>
      <c r="AC191" s="1"/>
      <c r="AD191" s="1"/>
      <c r="AE191" s="1"/>
      <c r="AF191" s="1"/>
    </row>
    <row r="192" spans="2:32" x14ac:dyDescent="0.25">
      <c r="B192" s="105">
        <v>22</v>
      </c>
      <c r="C192" s="1">
        <f>SIMULIMO!H172</f>
        <v>-189061.14381736718</v>
      </c>
      <c r="D192" s="1">
        <f>SIMULIMO!I172</f>
        <v>7274.1872172712829</v>
      </c>
      <c r="E192" s="1">
        <f>SIMULIMO!J172</f>
        <v>7367.3610849544548</v>
      </c>
      <c r="F192" s="1">
        <f>SIMULIMO!K172</f>
        <v>7461.4325328319355</v>
      </c>
      <c r="G192" s="1">
        <f>SIMULIMO!L172</f>
        <v>7556.4100554063998</v>
      </c>
      <c r="H192" s="1">
        <f>SIMULIMO!M172</f>
        <v>7652.3022253439085</v>
      </c>
      <c r="I192" s="1">
        <f>SIMULIMO!N172</f>
        <v>7749.1176941600788</v>
      </c>
      <c r="J192" s="1">
        <f>SIMULIMO!O172</f>
        <v>7846.8651929115958</v>
      </c>
      <c r="K192" s="1">
        <f>SIMULIMO!P172</f>
        <v>7945.5535328934238</v>
      </c>
      <c r="L192" s="1">
        <f>SIMULIMO!Q172</f>
        <v>7989.5424549390518</v>
      </c>
      <c r="M192" s="1">
        <f>SIMULIMO!R172</f>
        <v>7734.3896728759173</v>
      </c>
      <c r="N192" s="1">
        <f>SIMULIMO!S172</f>
        <v>7468.3157187654706</v>
      </c>
      <c r="O192" s="1">
        <f>SIMULIMO!T172</f>
        <v>7190.9043565089269</v>
      </c>
      <c r="P192" s="1">
        <f>SIMULIMO!U172</f>
        <v>6901.7237131538313</v>
      </c>
      <c r="Q192" s="1">
        <f>SIMULIMO!V172</f>
        <v>6600.325687368836</v>
      </c>
      <c r="R192" s="1">
        <f>SIMULIMO!W172</f>
        <v>6286.245335306523</v>
      </c>
      <c r="S192" s="1">
        <f>SIMULIMO!X172</f>
        <v>5959.0002329813051</v>
      </c>
      <c r="T192" s="1">
        <f>SIMULIMO!Y172</f>
        <v>5832.6244464983029</v>
      </c>
      <c r="U192" s="1">
        <f>SIMULIMO!Z172</f>
        <v>5902.6828967274241</v>
      </c>
      <c r="V192" s="1">
        <f>SIMULIMO!AA172</f>
        <v>5973.3704132351158</v>
      </c>
      <c r="W192" s="1">
        <f>SIMULIMO!AB172</f>
        <v>6044.6922789792407</v>
      </c>
      <c r="X192" s="107">
        <f>SIMULIMO!AC169+SIMULIMO!AC172</f>
        <v>281880.15844241512</v>
      </c>
      <c r="Y192" s="1"/>
      <c r="Z192" s="1"/>
      <c r="AA192" s="1"/>
      <c r="AB192" s="1"/>
      <c r="AC192" s="1"/>
      <c r="AD192" s="1"/>
      <c r="AE192" s="1"/>
      <c r="AF192" s="1"/>
    </row>
    <row r="193" spans="2:32" x14ac:dyDescent="0.25">
      <c r="B193" s="105">
        <v>23</v>
      </c>
      <c r="C193" s="1">
        <f>SIMULIMO!H172</f>
        <v>-189061.14381736718</v>
      </c>
      <c r="D193" s="1">
        <f>SIMULIMO!I172</f>
        <v>7274.1872172712829</v>
      </c>
      <c r="E193" s="1">
        <f>SIMULIMO!J172</f>
        <v>7367.3610849544548</v>
      </c>
      <c r="F193" s="1">
        <f>SIMULIMO!K172</f>
        <v>7461.4325328319355</v>
      </c>
      <c r="G193" s="1">
        <f>SIMULIMO!L172</f>
        <v>7556.4100554063998</v>
      </c>
      <c r="H193" s="1">
        <f>SIMULIMO!M172</f>
        <v>7652.3022253439085</v>
      </c>
      <c r="I193" s="1">
        <f>SIMULIMO!N172</f>
        <v>7749.1176941600788</v>
      </c>
      <c r="J193" s="1">
        <f>SIMULIMO!O172</f>
        <v>7846.8651929115958</v>
      </c>
      <c r="K193" s="1">
        <f>SIMULIMO!P172</f>
        <v>7945.5535328934238</v>
      </c>
      <c r="L193" s="1">
        <f>SIMULIMO!Q172</f>
        <v>7989.5424549390518</v>
      </c>
      <c r="M193" s="1">
        <f>SIMULIMO!R172</f>
        <v>7734.3896728759173</v>
      </c>
      <c r="N193" s="1">
        <f>SIMULIMO!S172</f>
        <v>7468.3157187654706</v>
      </c>
      <c r="O193" s="1">
        <f>SIMULIMO!T172</f>
        <v>7190.9043565089269</v>
      </c>
      <c r="P193" s="1">
        <f>SIMULIMO!U172</f>
        <v>6901.7237131538313</v>
      </c>
      <c r="Q193" s="1">
        <f>SIMULIMO!V172</f>
        <v>6600.325687368836</v>
      </c>
      <c r="R193" s="1">
        <f>SIMULIMO!W172</f>
        <v>6286.245335306523</v>
      </c>
      <c r="S193" s="1">
        <f>SIMULIMO!X172</f>
        <v>5959.0002329813051</v>
      </c>
      <c r="T193" s="1">
        <f>SIMULIMO!Y172</f>
        <v>5832.6244464983029</v>
      </c>
      <c r="U193" s="1">
        <f>SIMULIMO!Z172</f>
        <v>5902.6828967274241</v>
      </c>
      <c r="V193" s="1">
        <f>SIMULIMO!AA172</f>
        <v>5973.3704132351158</v>
      </c>
      <c r="W193" s="1">
        <f>SIMULIMO!AB172</f>
        <v>6044.6922789792407</v>
      </c>
      <c r="X193" s="1">
        <f>SIMULIMO!AC172</f>
        <v>6116.6538155485359</v>
      </c>
      <c r="Y193" s="107">
        <f>SIMULIMO!AD169+SIMULIMO!AD172</f>
        <v>287567.86098088662</v>
      </c>
      <c r="Z193" s="1"/>
      <c r="AA193" s="1"/>
      <c r="AB193" s="1"/>
      <c r="AC193" s="1"/>
      <c r="AD193" s="1"/>
      <c r="AE193" s="1"/>
      <c r="AF193" s="1"/>
    </row>
    <row r="194" spans="2:32" x14ac:dyDescent="0.25">
      <c r="B194" s="105">
        <v>24</v>
      </c>
      <c r="C194" s="1">
        <f>SIMULIMO!H172</f>
        <v>-189061.14381736718</v>
      </c>
      <c r="D194" s="1">
        <f>SIMULIMO!I172</f>
        <v>7274.1872172712829</v>
      </c>
      <c r="E194" s="1">
        <f>SIMULIMO!J172</f>
        <v>7367.3610849544548</v>
      </c>
      <c r="F194" s="1">
        <f>SIMULIMO!K172</f>
        <v>7461.4325328319355</v>
      </c>
      <c r="G194" s="1">
        <f>SIMULIMO!L172</f>
        <v>7556.4100554063998</v>
      </c>
      <c r="H194" s="1">
        <f>SIMULIMO!M172</f>
        <v>7652.3022253439085</v>
      </c>
      <c r="I194" s="1">
        <f>SIMULIMO!N172</f>
        <v>7749.1176941600788</v>
      </c>
      <c r="J194" s="1">
        <f>SIMULIMO!O172</f>
        <v>7846.8651929115958</v>
      </c>
      <c r="K194" s="1">
        <f>SIMULIMO!P172</f>
        <v>7945.5535328934238</v>
      </c>
      <c r="L194" s="1">
        <f>SIMULIMO!Q172</f>
        <v>7989.5424549390518</v>
      </c>
      <c r="M194" s="1">
        <f>SIMULIMO!R172</f>
        <v>7734.3896728759173</v>
      </c>
      <c r="N194" s="1">
        <f>SIMULIMO!S172</f>
        <v>7468.3157187654706</v>
      </c>
      <c r="O194" s="1">
        <f>SIMULIMO!T172</f>
        <v>7190.9043565089269</v>
      </c>
      <c r="P194" s="1">
        <f>SIMULIMO!U172</f>
        <v>6901.7237131538313</v>
      </c>
      <c r="Q194" s="1">
        <f>SIMULIMO!V172</f>
        <v>6600.325687368836</v>
      </c>
      <c r="R194" s="1">
        <f>SIMULIMO!W172</f>
        <v>6286.245335306523</v>
      </c>
      <c r="S194" s="1">
        <f>SIMULIMO!X172</f>
        <v>5959.0002329813051</v>
      </c>
      <c r="T194" s="1">
        <f>SIMULIMO!Y172</f>
        <v>5832.6244464983029</v>
      </c>
      <c r="U194" s="1">
        <f>SIMULIMO!Z172</f>
        <v>5902.6828967274241</v>
      </c>
      <c r="V194" s="1">
        <f>SIMULIMO!AA172</f>
        <v>5973.3704132351158</v>
      </c>
      <c r="W194" s="1">
        <f>SIMULIMO!AB172</f>
        <v>6044.6922789792407</v>
      </c>
      <c r="X194" s="1">
        <f>SIMULIMO!AC172</f>
        <v>6116.6538155485359</v>
      </c>
      <c r="Y194" s="1">
        <f>SIMULIMO!AD172</f>
        <v>6189.2603833487719</v>
      </c>
      <c r="Z194" s="107">
        <f>SIMULIMO!AE169+SIMULIMO!AE172</f>
        <v>293410.54678650084</v>
      </c>
      <c r="AA194" s="1"/>
      <c r="AB194" s="1"/>
      <c r="AC194" s="1"/>
      <c r="AD194" s="1"/>
      <c r="AE194" s="1"/>
      <c r="AF194" s="1"/>
    </row>
    <row r="195" spans="2:32" x14ac:dyDescent="0.25">
      <c r="B195" s="105">
        <v>25</v>
      </c>
      <c r="C195" s="1">
        <f>SIMULIMO!H172</f>
        <v>-189061.14381736718</v>
      </c>
      <c r="D195" s="1">
        <f>SIMULIMO!I172</f>
        <v>7274.1872172712829</v>
      </c>
      <c r="E195" s="1">
        <f>SIMULIMO!J172</f>
        <v>7367.3610849544548</v>
      </c>
      <c r="F195" s="1">
        <f>SIMULIMO!K172</f>
        <v>7461.4325328319355</v>
      </c>
      <c r="G195" s="1">
        <f>SIMULIMO!L172</f>
        <v>7556.4100554063998</v>
      </c>
      <c r="H195" s="1">
        <f>SIMULIMO!M172</f>
        <v>7652.3022253439085</v>
      </c>
      <c r="I195" s="1">
        <f>SIMULIMO!N172</f>
        <v>7749.1176941600788</v>
      </c>
      <c r="J195" s="1">
        <f>SIMULIMO!O172</f>
        <v>7846.8651929115958</v>
      </c>
      <c r="K195" s="1">
        <f>SIMULIMO!P172</f>
        <v>7945.5535328934238</v>
      </c>
      <c r="L195" s="1">
        <f>SIMULIMO!Q172</f>
        <v>7989.5424549390518</v>
      </c>
      <c r="M195" s="1">
        <f>SIMULIMO!R172</f>
        <v>7734.3896728759173</v>
      </c>
      <c r="N195" s="1">
        <f>SIMULIMO!S172</f>
        <v>7468.3157187654706</v>
      </c>
      <c r="O195" s="1">
        <f>SIMULIMO!T172</f>
        <v>7190.9043565089269</v>
      </c>
      <c r="P195" s="1">
        <f>SIMULIMO!U172</f>
        <v>6901.7237131538313</v>
      </c>
      <c r="Q195" s="1">
        <f>SIMULIMO!V172</f>
        <v>6600.325687368836</v>
      </c>
      <c r="R195" s="1">
        <f>SIMULIMO!W172</f>
        <v>6286.245335306523</v>
      </c>
      <c r="S195" s="1">
        <f>SIMULIMO!X172</f>
        <v>5959.0002329813051</v>
      </c>
      <c r="T195" s="1">
        <f>SIMULIMO!Y172</f>
        <v>5832.6244464983029</v>
      </c>
      <c r="U195" s="1">
        <f>SIMULIMO!Z172</f>
        <v>5902.6828967274241</v>
      </c>
      <c r="V195" s="1">
        <f>SIMULIMO!AA172</f>
        <v>5973.3704132351158</v>
      </c>
      <c r="W195" s="1">
        <f>SIMULIMO!AB172</f>
        <v>6044.6922789792407</v>
      </c>
      <c r="X195" s="1">
        <f>SIMULIMO!AC172</f>
        <v>6116.6538155485359</v>
      </c>
      <c r="Y195" s="1">
        <f>SIMULIMO!AD172</f>
        <v>6189.2603833487719</v>
      </c>
      <c r="Z195" s="1">
        <f>SIMULIMO!AE172</f>
        <v>6262.5173817881241</v>
      </c>
      <c r="AA195" s="107">
        <f>SIMULIMO!AF169+SIMULIMO!AF172</f>
        <v>299410.37472812849</v>
      </c>
      <c r="AB195" s="1"/>
      <c r="AC195" s="1"/>
      <c r="AD195" s="1"/>
      <c r="AE195" s="1"/>
      <c r="AF195" s="1"/>
    </row>
    <row r="196" spans="2:32" x14ac:dyDescent="0.25">
      <c r="B196" s="105">
        <v>26</v>
      </c>
      <c r="C196" s="1">
        <f>SIMULIMO!H172</f>
        <v>-189061.14381736718</v>
      </c>
      <c r="D196" s="1">
        <f>SIMULIMO!I172</f>
        <v>7274.1872172712829</v>
      </c>
      <c r="E196" s="1">
        <f>SIMULIMO!J172</f>
        <v>7367.3610849544548</v>
      </c>
      <c r="F196" s="1">
        <f>SIMULIMO!K172</f>
        <v>7461.4325328319355</v>
      </c>
      <c r="G196" s="1">
        <f>SIMULIMO!L172</f>
        <v>7556.4100554063998</v>
      </c>
      <c r="H196" s="1">
        <f>SIMULIMO!M172</f>
        <v>7652.3022253439085</v>
      </c>
      <c r="I196" s="1">
        <f>SIMULIMO!N172</f>
        <v>7749.1176941600788</v>
      </c>
      <c r="J196" s="1">
        <f>SIMULIMO!O172</f>
        <v>7846.8651929115958</v>
      </c>
      <c r="K196" s="1">
        <f>SIMULIMO!P172</f>
        <v>7945.5535328934238</v>
      </c>
      <c r="L196" s="1">
        <f>SIMULIMO!Q172</f>
        <v>7989.5424549390518</v>
      </c>
      <c r="M196" s="1">
        <f>SIMULIMO!R172</f>
        <v>7734.3896728759173</v>
      </c>
      <c r="N196" s="1">
        <f>SIMULIMO!S172</f>
        <v>7468.3157187654706</v>
      </c>
      <c r="O196" s="1">
        <f>SIMULIMO!T172</f>
        <v>7190.9043565089269</v>
      </c>
      <c r="P196" s="1">
        <f>SIMULIMO!U172</f>
        <v>6901.7237131538313</v>
      </c>
      <c r="Q196" s="1">
        <f>SIMULIMO!V172</f>
        <v>6600.325687368836</v>
      </c>
      <c r="R196" s="1">
        <f>SIMULIMO!W172</f>
        <v>6286.245335306523</v>
      </c>
      <c r="S196" s="1">
        <f>SIMULIMO!X172</f>
        <v>5959.0002329813051</v>
      </c>
      <c r="T196" s="1">
        <f>SIMULIMO!Y172</f>
        <v>5832.6244464983029</v>
      </c>
      <c r="U196" s="1">
        <f>SIMULIMO!Z172</f>
        <v>5902.6828967274241</v>
      </c>
      <c r="V196" s="1">
        <f>SIMULIMO!AA172</f>
        <v>5973.3704132351158</v>
      </c>
      <c r="W196" s="1">
        <f>SIMULIMO!AB172</f>
        <v>6044.6922789792407</v>
      </c>
      <c r="X196" s="1">
        <f>SIMULIMO!AC172</f>
        <v>6116.6538155485359</v>
      </c>
      <c r="Y196" s="1">
        <f>SIMULIMO!AD172</f>
        <v>6189.2603833487719</v>
      </c>
      <c r="Z196" s="1">
        <f>SIMULIMO!AE172</f>
        <v>6262.5173817881241</v>
      </c>
      <c r="AA196" s="1">
        <f>SIMULIMO!AF172</f>
        <v>6336.4302494613803</v>
      </c>
      <c r="AB196" s="107">
        <f>SIMULIMO!AG169+SIMULIMO!AG172</f>
        <v>305592.1194144311</v>
      </c>
      <c r="AC196" s="1"/>
      <c r="AD196" s="1"/>
      <c r="AE196" s="1"/>
      <c r="AF196" s="1"/>
    </row>
    <row r="197" spans="2:32" x14ac:dyDescent="0.25">
      <c r="B197" s="105">
        <v>27</v>
      </c>
      <c r="C197" s="1">
        <f>SIMULIMO!H172</f>
        <v>-189061.14381736718</v>
      </c>
      <c r="D197" s="1">
        <f>SIMULIMO!I172</f>
        <v>7274.1872172712829</v>
      </c>
      <c r="E197" s="1">
        <f>SIMULIMO!J172</f>
        <v>7367.3610849544548</v>
      </c>
      <c r="F197" s="1">
        <f>SIMULIMO!K172</f>
        <v>7461.4325328319355</v>
      </c>
      <c r="G197" s="1">
        <f>SIMULIMO!L172</f>
        <v>7556.4100554063998</v>
      </c>
      <c r="H197" s="1">
        <f>SIMULIMO!M172</f>
        <v>7652.3022253439085</v>
      </c>
      <c r="I197" s="1">
        <f>SIMULIMO!N172</f>
        <v>7749.1176941600788</v>
      </c>
      <c r="J197" s="1">
        <f>SIMULIMO!O172</f>
        <v>7846.8651929115958</v>
      </c>
      <c r="K197" s="1">
        <f>SIMULIMO!P172</f>
        <v>7945.5535328934238</v>
      </c>
      <c r="L197" s="1">
        <f>SIMULIMO!Q172</f>
        <v>7989.5424549390518</v>
      </c>
      <c r="M197" s="1">
        <f>SIMULIMO!R172</f>
        <v>7734.3896728759173</v>
      </c>
      <c r="N197" s="1">
        <f>SIMULIMO!S172</f>
        <v>7468.3157187654706</v>
      </c>
      <c r="O197" s="1">
        <f>SIMULIMO!T172</f>
        <v>7190.9043565089269</v>
      </c>
      <c r="P197" s="1">
        <f>SIMULIMO!U172</f>
        <v>6901.7237131538313</v>
      </c>
      <c r="Q197" s="1">
        <f>SIMULIMO!V172</f>
        <v>6600.325687368836</v>
      </c>
      <c r="R197" s="1">
        <f>SIMULIMO!W172</f>
        <v>6286.245335306523</v>
      </c>
      <c r="S197" s="1">
        <f>SIMULIMO!X172</f>
        <v>5959.0002329813051</v>
      </c>
      <c r="T197" s="1">
        <f>SIMULIMO!Y172</f>
        <v>5832.6244464983029</v>
      </c>
      <c r="U197" s="1">
        <f>SIMULIMO!Z172</f>
        <v>5902.6828967274241</v>
      </c>
      <c r="V197" s="1">
        <f>SIMULIMO!AA172</f>
        <v>5973.3704132351158</v>
      </c>
      <c r="W197" s="1">
        <f>SIMULIMO!AB172</f>
        <v>6044.6922789792407</v>
      </c>
      <c r="X197" s="1">
        <f>SIMULIMO!AC172</f>
        <v>6116.6538155485359</v>
      </c>
      <c r="Y197" s="1">
        <f>SIMULIMO!AD172</f>
        <v>6189.2603833487719</v>
      </c>
      <c r="Z197" s="1">
        <f>SIMULIMO!AE172</f>
        <v>6262.5173817881241</v>
      </c>
      <c r="AA197" s="1">
        <f>SIMULIMO!AF172</f>
        <v>6336.4302494613803</v>
      </c>
      <c r="AB197" s="1">
        <f>SIMULIMO!AG172</f>
        <v>9374.1373071673934</v>
      </c>
      <c r="AC197" s="107">
        <f>SIMULIMO!AH169+SIMULIMO!AH172</f>
        <v>308950.39997822337</v>
      </c>
      <c r="AD197" s="1"/>
      <c r="AE197" s="1"/>
      <c r="AF197" s="1"/>
    </row>
    <row r="198" spans="2:32" x14ac:dyDescent="0.25">
      <c r="B198" s="105">
        <v>28</v>
      </c>
      <c r="C198" s="1">
        <f>SIMULIMO!H172</f>
        <v>-189061.14381736718</v>
      </c>
      <c r="D198" s="1">
        <f>SIMULIMO!I172</f>
        <v>7274.1872172712829</v>
      </c>
      <c r="E198" s="1">
        <f>SIMULIMO!J172</f>
        <v>7367.3610849544548</v>
      </c>
      <c r="F198" s="1">
        <f>SIMULIMO!K172</f>
        <v>7461.4325328319355</v>
      </c>
      <c r="G198" s="1">
        <f>SIMULIMO!L172</f>
        <v>7556.4100554063998</v>
      </c>
      <c r="H198" s="1">
        <f>SIMULIMO!M172</f>
        <v>7652.3022253439085</v>
      </c>
      <c r="I198" s="1">
        <f>SIMULIMO!N172</f>
        <v>7749.1176941600788</v>
      </c>
      <c r="J198" s="1">
        <f>SIMULIMO!O172</f>
        <v>7846.8651929115958</v>
      </c>
      <c r="K198" s="1">
        <f>SIMULIMO!P172</f>
        <v>7945.5535328934238</v>
      </c>
      <c r="L198" s="1">
        <f>SIMULIMO!Q172</f>
        <v>7989.5424549390518</v>
      </c>
      <c r="M198" s="1">
        <f>SIMULIMO!R172</f>
        <v>7734.3896728759173</v>
      </c>
      <c r="N198" s="1">
        <f>SIMULIMO!S172</f>
        <v>7468.3157187654706</v>
      </c>
      <c r="O198" s="1">
        <f>SIMULIMO!T172</f>
        <v>7190.9043565089269</v>
      </c>
      <c r="P198" s="1">
        <f>SIMULIMO!U172</f>
        <v>6901.7237131538313</v>
      </c>
      <c r="Q198" s="1">
        <f>SIMULIMO!V172</f>
        <v>6600.325687368836</v>
      </c>
      <c r="R198" s="1">
        <f>SIMULIMO!W172</f>
        <v>6286.245335306523</v>
      </c>
      <c r="S198" s="1">
        <f>SIMULIMO!X172</f>
        <v>5959.0002329813051</v>
      </c>
      <c r="T198" s="1">
        <f>SIMULIMO!Y172</f>
        <v>5832.6244464983029</v>
      </c>
      <c r="U198" s="1">
        <f>SIMULIMO!Z172</f>
        <v>5902.6828967274241</v>
      </c>
      <c r="V198" s="1">
        <f>SIMULIMO!AA172</f>
        <v>5973.3704132351158</v>
      </c>
      <c r="W198" s="1">
        <f>SIMULIMO!AB172</f>
        <v>6044.6922789792407</v>
      </c>
      <c r="X198" s="1">
        <f>SIMULIMO!AC172</f>
        <v>6116.6538155485359</v>
      </c>
      <c r="Y198" s="1">
        <f>SIMULIMO!AD172</f>
        <v>6189.2603833487719</v>
      </c>
      <c r="Z198" s="1">
        <f>SIMULIMO!AE172</f>
        <v>6262.5173817881241</v>
      </c>
      <c r="AA198" s="1">
        <f>SIMULIMO!AF172</f>
        <v>6336.4302494613803</v>
      </c>
      <c r="AB198" s="1">
        <f>SIMULIMO!AG172</f>
        <v>9374.1373071673934</v>
      </c>
      <c r="AC198" s="1">
        <f>SIMULIMO!AH172</f>
        <v>9468.9346802390683</v>
      </c>
      <c r="AD198" s="107">
        <f>SIMULIMO!AI169+SIMULIMO!AI172</f>
        <v>312430.72969655012</v>
      </c>
      <c r="AE198" s="1"/>
      <c r="AF198" s="1"/>
    </row>
    <row r="199" spans="2:32" x14ac:dyDescent="0.25">
      <c r="B199" s="105">
        <v>29</v>
      </c>
      <c r="C199" s="1">
        <f>SIMULIMO!H172</f>
        <v>-189061.14381736718</v>
      </c>
      <c r="D199" s="1">
        <f>SIMULIMO!I172</f>
        <v>7274.1872172712829</v>
      </c>
      <c r="E199" s="1">
        <f>SIMULIMO!J172</f>
        <v>7367.3610849544548</v>
      </c>
      <c r="F199" s="1">
        <f>SIMULIMO!K172</f>
        <v>7461.4325328319355</v>
      </c>
      <c r="G199" s="1">
        <f>SIMULIMO!L172</f>
        <v>7556.4100554063998</v>
      </c>
      <c r="H199" s="1">
        <f>SIMULIMO!M172</f>
        <v>7652.3022253439085</v>
      </c>
      <c r="I199" s="1">
        <f>SIMULIMO!N172</f>
        <v>7749.1176941600788</v>
      </c>
      <c r="J199" s="1">
        <f>SIMULIMO!O172</f>
        <v>7846.8651929115958</v>
      </c>
      <c r="K199" s="1">
        <f>SIMULIMO!P172</f>
        <v>7945.5535328934238</v>
      </c>
      <c r="L199" s="1">
        <f>SIMULIMO!Q172</f>
        <v>7989.5424549390518</v>
      </c>
      <c r="M199" s="1">
        <f>SIMULIMO!R172</f>
        <v>7734.3896728759173</v>
      </c>
      <c r="N199" s="1">
        <f>SIMULIMO!S172</f>
        <v>7468.3157187654706</v>
      </c>
      <c r="O199" s="1">
        <f>SIMULIMO!T172</f>
        <v>7190.9043565089269</v>
      </c>
      <c r="P199" s="1">
        <f>SIMULIMO!U172</f>
        <v>6901.7237131538313</v>
      </c>
      <c r="Q199" s="1">
        <f>SIMULIMO!V172</f>
        <v>6600.325687368836</v>
      </c>
      <c r="R199" s="1">
        <f>SIMULIMO!W172</f>
        <v>6286.245335306523</v>
      </c>
      <c r="S199" s="1">
        <f>SIMULIMO!X172</f>
        <v>5959.0002329813051</v>
      </c>
      <c r="T199" s="1">
        <f>SIMULIMO!Y172</f>
        <v>5832.6244464983029</v>
      </c>
      <c r="U199" s="1">
        <f>SIMULIMO!Z172</f>
        <v>5902.6828967274241</v>
      </c>
      <c r="V199" s="1">
        <f>SIMULIMO!AA172</f>
        <v>5973.3704132351158</v>
      </c>
      <c r="W199" s="1">
        <f>SIMULIMO!AB172</f>
        <v>6044.6922789792407</v>
      </c>
      <c r="X199" s="1">
        <f>SIMULIMO!AC172</f>
        <v>6116.6538155485359</v>
      </c>
      <c r="Y199" s="1">
        <f>SIMULIMO!AD172</f>
        <v>6189.2603833487719</v>
      </c>
      <c r="Z199" s="1">
        <f>SIMULIMO!AE172</f>
        <v>6262.5173817881241</v>
      </c>
      <c r="AA199" s="1">
        <f>SIMULIMO!AF172</f>
        <v>6336.4302494613803</v>
      </c>
      <c r="AB199" s="1">
        <f>SIMULIMO!AG172</f>
        <v>9374.1373071673934</v>
      </c>
      <c r="AC199" s="1">
        <f>SIMULIMO!AH172</f>
        <v>9468.9346802390683</v>
      </c>
      <c r="AD199" s="1">
        <f>SIMULIMO!AI172</f>
        <v>9564.6800270414551</v>
      </c>
      <c r="AE199" s="107">
        <f>SIMULIMO!AJ169+SIMULIMO!AJ172</f>
        <v>316034.79483564565</v>
      </c>
      <c r="AF199" s="1"/>
    </row>
    <row r="200" spans="2:32" x14ac:dyDescent="0.25">
      <c r="B200" s="105">
        <v>30</v>
      </c>
      <c r="C200" s="1">
        <f>SIMULIMO!H172</f>
        <v>-189061.14381736718</v>
      </c>
      <c r="D200" s="1">
        <f>SIMULIMO!I172</f>
        <v>7274.1872172712829</v>
      </c>
      <c r="E200" s="1">
        <f>SIMULIMO!J172</f>
        <v>7367.3610849544548</v>
      </c>
      <c r="F200" s="1">
        <f>SIMULIMO!K172</f>
        <v>7461.4325328319355</v>
      </c>
      <c r="G200" s="1">
        <f>SIMULIMO!L172</f>
        <v>7556.4100554063998</v>
      </c>
      <c r="H200" s="1">
        <f>SIMULIMO!M172</f>
        <v>7652.3022253439085</v>
      </c>
      <c r="I200" s="1">
        <f>SIMULIMO!N172</f>
        <v>7749.1176941600788</v>
      </c>
      <c r="J200" s="1">
        <f>SIMULIMO!O172</f>
        <v>7846.8651929115958</v>
      </c>
      <c r="K200" s="1">
        <f>SIMULIMO!P172</f>
        <v>7945.5535328934238</v>
      </c>
      <c r="L200" s="1">
        <f>SIMULIMO!Q172</f>
        <v>7989.5424549390518</v>
      </c>
      <c r="M200" s="1">
        <f>SIMULIMO!R172</f>
        <v>7734.3896728759173</v>
      </c>
      <c r="N200" s="1">
        <f>SIMULIMO!S172</f>
        <v>7468.3157187654706</v>
      </c>
      <c r="O200" s="1">
        <f>SIMULIMO!T172</f>
        <v>7190.9043565089269</v>
      </c>
      <c r="P200" s="1">
        <f>SIMULIMO!U172</f>
        <v>6901.7237131538313</v>
      </c>
      <c r="Q200" s="1">
        <f>SIMULIMO!V172</f>
        <v>6600.325687368836</v>
      </c>
      <c r="R200" s="1">
        <f>SIMULIMO!W172</f>
        <v>6286.245335306523</v>
      </c>
      <c r="S200" s="1">
        <f>SIMULIMO!X172</f>
        <v>5959.0002329813051</v>
      </c>
      <c r="T200" s="1">
        <f>SIMULIMO!Y172</f>
        <v>5832.6244464983029</v>
      </c>
      <c r="U200" s="1">
        <f>SIMULIMO!Z172</f>
        <v>5902.6828967274241</v>
      </c>
      <c r="V200" s="1">
        <f>SIMULIMO!AA172</f>
        <v>5973.3704132351158</v>
      </c>
      <c r="W200" s="1">
        <f>SIMULIMO!AB172</f>
        <v>6044.6922789792407</v>
      </c>
      <c r="X200" s="1">
        <f>SIMULIMO!AC172</f>
        <v>6116.6538155485359</v>
      </c>
      <c r="Y200" s="1">
        <f>SIMULIMO!AD172</f>
        <v>6189.2603833487719</v>
      </c>
      <c r="Z200" s="1">
        <f>SIMULIMO!AE172</f>
        <v>6262.5173817881241</v>
      </c>
      <c r="AA200" s="1">
        <f>SIMULIMO!AF172</f>
        <v>6336.4302494613803</v>
      </c>
      <c r="AB200" s="1">
        <f>SIMULIMO!AG172</f>
        <v>9374.1373071673934</v>
      </c>
      <c r="AC200" s="1">
        <f>SIMULIMO!AH172</f>
        <v>9468.9346802390683</v>
      </c>
      <c r="AD200" s="1">
        <f>SIMULIMO!AI172</f>
        <v>9564.6800270414551</v>
      </c>
      <c r="AE200" s="1">
        <f>SIMULIMO!AJ172</f>
        <v>9661.3828273118743</v>
      </c>
      <c r="AF200" s="107">
        <f>SIMULIMO!AK169+SIMULIMO!AK172</f>
        <v>319764.30318215344</v>
      </c>
    </row>
    <row r="205" spans="2:32" ht="21" x14ac:dyDescent="0.35">
      <c r="B205" s="180" t="s">
        <v>264</v>
      </c>
    </row>
    <row r="207" spans="2:32" ht="15.75" x14ac:dyDescent="0.25">
      <c r="B207" s="183" t="s">
        <v>269</v>
      </c>
      <c r="C207" s="183">
        <v>1</v>
      </c>
      <c r="D207" s="183">
        <v>2</v>
      </c>
      <c r="E207" s="183">
        <v>3</v>
      </c>
      <c r="F207" s="183">
        <v>4</v>
      </c>
      <c r="G207" s="183">
        <v>5</v>
      </c>
      <c r="H207" s="183">
        <v>6</v>
      </c>
      <c r="I207" s="183">
        <v>7</v>
      </c>
      <c r="J207" s="183">
        <v>8</v>
      </c>
      <c r="K207" s="183">
        <v>9</v>
      </c>
      <c r="L207" s="183">
        <v>10</v>
      </c>
      <c r="M207" s="183">
        <v>11</v>
      </c>
      <c r="N207" s="183">
        <v>12</v>
      </c>
      <c r="O207" s="183">
        <v>13</v>
      </c>
      <c r="P207" s="183">
        <v>14</v>
      </c>
      <c r="Q207" s="183">
        <v>15</v>
      </c>
      <c r="R207" s="183">
        <v>16</v>
      </c>
      <c r="S207" s="183">
        <v>17</v>
      </c>
      <c r="T207" s="183">
        <v>18</v>
      </c>
      <c r="U207" s="183">
        <v>19</v>
      </c>
      <c r="V207" s="183">
        <v>20</v>
      </c>
      <c r="W207" s="183">
        <v>21</v>
      </c>
      <c r="X207" s="183">
        <v>22</v>
      </c>
      <c r="Y207" s="183">
        <v>23</v>
      </c>
      <c r="Z207" s="183">
        <v>24</v>
      </c>
      <c r="AA207" s="183">
        <v>25</v>
      </c>
      <c r="AB207" s="183">
        <v>26</v>
      </c>
      <c r="AC207" s="183">
        <v>27</v>
      </c>
      <c r="AD207" s="183">
        <v>28</v>
      </c>
      <c r="AE207" s="183">
        <v>29</v>
      </c>
      <c r="AF207" s="183">
        <v>30</v>
      </c>
    </row>
    <row r="208" spans="2:32" s="187" customFormat="1" ht="15.75" x14ac:dyDescent="0.25">
      <c r="B208" s="185" t="s">
        <v>268</v>
      </c>
      <c r="C208" s="186" t="str">
        <f>IFERROR(IRR(C210),"N/A")</f>
        <v>N/A</v>
      </c>
      <c r="D208" s="186">
        <f>IFERROR(IRR(C211:D211),"N/A")</f>
        <v>-4.5413871345387768E-2</v>
      </c>
      <c r="E208" s="186">
        <f>IFERROR(IRR(C212:E212),"N/A")</f>
        <v>7.5768585791724519E-3</v>
      </c>
      <c r="F208" s="186">
        <f>IFERROR(IRR(C213:F213),"N/A")</f>
        <v>2.5653198214088624E-2</v>
      </c>
      <c r="G208" s="186">
        <f>IFERROR(IRR(C214:G214),"N/A")</f>
        <v>3.464326205698387E-2</v>
      </c>
      <c r="H208" s="186">
        <f>IFERROR(IRR(C215:H215),"N/A")</f>
        <v>3.9945550074564018E-2</v>
      </c>
      <c r="I208" s="186">
        <f>IFERROR(IRR(C216:I216),"N/A")</f>
        <v>4.3392599995264902E-2</v>
      </c>
      <c r="J208" s="186">
        <f>IFERROR(IRR(C217:J217),"N/A")</f>
        <v>4.5777775744681115E-2</v>
      </c>
      <c r="K208" s="186">
        <f>IFERROR(IRR(C218:K218),"N/A")</f>
        <v>4.7500257707563831E-2</v>
      </c>
      <c r="L208" s="186">
        <f>IFERROR(IRR(C219:L219),"N/A")</f>
        <v>4.8718941980320007E-2</v>
      </c>
      <c r="M208" s="186">
        <f>IFERROR(IRR(C220:M220),"N/A")</f>
        <v>4.9509453672256232E-2</v>
      </c>
      <c r="N208" s="186">
        <f>IFERROR(IRR(C221:N221),"N/A")</f>
        <v>4.9994022516165915E-2</v>
      </c>
      <c r="O208" s="186">
        <f>IFERROR(IRR(C222:O222),"N/A")</f>
        <v>5.0253436745488989E-2</v>
      </c>
      <c r="P208" s="186">
        <f>IFERROR(IRR(C223:P223),"N/A")</f>
        <v>5.0343093690313534E-2</v>
      </c>
      <c r="Q208" s="186">
        <f>IFERROR(IRR(C224:Q224),"N/A")</f>
        <v>5.0302133458047349E-2</v>
      </c>
      <c r="R208" s="186">
        <f>IFERROR(IRR(C225:R225),"N/A")</f>
        <v>5.0158899569668236E-2</v>
      </c>
      <c r="S208" s="186">
        <f>IFERROR(IRR(C226:S226),"N/A")</f>
        <v>4.9865918075006954E-2</v>
      </c>
      <c r="T208" s="186">
        <f>IFERROR(IRR(C227:T227),"N/A")</f>
        <v>4.9537474655801939E-2</v>
      </c>
      <c r="U208" s="186">
        <f>IFERROR(IRR(C228:U228),"N/A")</f>
        <v>4.9247351863328959E-2</v>
      </c>
      <c r="V208" s="186">
        <f>IFERROR(IRR(C229:V229),"N/A")</f>
        <v>4.8989110494827015E-2</v>
      </c>
      <c r="W208" s="186">
        <f>IFERROR(IRR(C230:W230),"N/A")</f>
        <v>4.8757587924730617E-2</v>
      </c>
      <c r="X208" s="186">
        <f>IFERROR(IRR(C231:X231),"N/A")</f>
        <v>4.8540595712548651E-2</v>
      </c>
      <c r="Y208" s="186">
        <f>IFERROR(IRR(C232:Y232),"N/A")</f>
        <v>4.8352776555872667E-2</v>
      </c>
      <c r="Z208" s="186">
        <f>IFERROR(IRR(C233:Z233),"N/A")</f>
        <v>4.8181797260605341E-2</v>
      </c>
      <c r="AA208" s="186">
        <f>IFERROR(IRR(C234:AA234),"N/A")</f>
        <v>4.8025202488089835E-2</v>
      </c>
      <c r="AB208" s="186">
        <f>IFERROR(IRR(C235:AB235),"N/A")</f>
        <v>4.7885116083360213E-2</v>
      </c>
      <c r="AC208" s="186">
        <f>IFERROR(IRR(C236:AC236),"N/A")</f>
        <v>4.7764260663095248E-2</v>
      </c>
      <c r="AD208" s="186">
        <f>IFERROR(IRR(C237:AD237),"N/A")</f>
        <v>4.765985554047969E-2</v>
      </c>
      <c r="AE208" s="186">
        <f>IFERROR(IRR(C238:AE238),"N/A")</f>
        <v>4.7569554094044175E-2</v>
      </c>
      <c r="AF208" s="186">
        <f>IFERROR(IRR(C239:AF239),"N/A")</f>
        <v>4.7491365865407031E-2</v>
      </c>
    </row>
    <row r="209" spans="2:32" x14ac:dyDescent="0.25">
      <c r="B209" s="106"/>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row>
    <row r="210" spans="2:32" x14ac:dyDescent="0.25">
      <c r="B210" s="105">
        <v>1</v>
      </c>
      <c r="C210" s="107">
        <f>SIMULIMO!H198+SIMULIMO!H201</f>
        <v>-20260.034477498673</v>
      </c>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row>
    <row r="211" spans="2:32" x14ac:dyDescent="0.25">
      <c r="B211" s="105">
        <v>2</v>
      </c>
      <c r="C211" s="1">
        <f>SIMULIMO!H201</f>
        <v>-193032.62460989202</v>
      </c>
      <c r="D211" s="107">
        <f>SIMULIMO!I198+SIMULIMO!I201</f>
        <v>184266.26583039586</v>
      </c>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row>
    <row r="212" spans="2:32" x14ac:dyDescent="0.25">
      <c r="B212" s="105">
        <v>3</v>
      </c>
      <c r="C212" s="1">
        <f>SIMULIMO!H201</f>
        <v>-193032.62460989202</v>
      </c>
      <c r="D212" s="1">
        <f>SIMULIMO!I201</f>
        <v>7068.8823901079868</v>
      </c>
      <c r="E212" s="107">
        <f>SIMULIMO!J198+SIMULIMO!J201</f>
        <v>188846.42586189613</v>
      </c>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row>
    <row r="213" spans="2:32" x14ac:dyDescent="0.25">
      <c r="B213" s="105">
        <v>4</v>
      </c>
      <c r="C213" s="1">
        <f>SIMULIMO!H201</f>
        <v>-193032.62460989202</v>
      </c>
      <c r="D213" s="1">
        <f>SIMULIMO!I201</f>
        <v>7068.8823901079868</v>
      </c>
      <c r="E213" s="1">
        <f>SIMULIMO!J201</f>
        <v>7171.4044601079877</v>
      </c>
      <c r="F213" s="107">
        <f>SIMULIMO!K198+SIMULIMO!K201</f>
        <v>193481.10534360888</v>
      </c>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row>
    <row r="214" spans="2:32" x14ac:dyDescent="0.25">
      <c r="B214" s="105">
        <v>5</v>
      </c>
      <c r="C214" s="1">
        <f>SIMULIMO!H201</f>
        <v>-193032.62460989202</v>
      </c>
      <c r="D214" s="1">
        <f>SIMULIMO!I201</f>
        <v>7068.8823901079868</v>
      </c>
      <c r="E214" s="1">
        <f>SIMULIMO!J201</f>
        <v>7171.4044601079877</v>
      </c>
      <c r="F214" s="1">
        <f>SIMULIMO!K201</f>
        <v>7274.9517508079844</v>
      </c>
      <c r="G214" s="107">
        <f>SIMULIMO!L198+SIMULIMO!L201</f>
        <v>198170.97230614189</v>
      </c>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row>
    <row r="215" spans="2:32" x14ac:dyDescent="0.25">
      <c r="B215" s="105">
        <v>6</v>
      </c>
      <c r="C215" s="1">
        <f>SIMULIMO!H201</f>
        <v>-193032.62460989202</v>
      </c>
      <c r="D215" s="1">
        <f>SIMULIMO!I201</f>
        <v>7068.8823901079868</v>
      </c>
      <c r="E215" s="1">
        <f>SIMULIMO!J201</f>
        <v>7171.4044601079877</v>
      </c>
      <c r="F215" s="1">
        <f>SIMULIMO!K201</f>
        <v>7274.9517508079844</v>
      </c>
      <c r="G215" s="1">
        <f>SIMULIMO!L201</f>
        <v>7379.5345144149887</v>
      </c>
      <c r="H215" s="107">
        <f>SIMULIMO!M198+SIMULIMO!M201</f>
        <v>202916.70319119238</v>
      </c>
      <c r="I215" s="1"/>
      <c r="J215" s="1"/>
      <c r="K215" s="1"/>
      <c r="L215" s="1"/>
      <c r="M215" s="1"/>
      <c r="N215" s="1"/>
      <c r="O215" s="1"/>
      <c r="P215" s="1"/>
      <c r="Q215" s="1"/>
      <c r="R215" s="1"/>
      <c r="S215" s="1"/>
      <c r="T215" s="1"/>
      <c r="U215" s="1"/>
      <c r="V215" s="1"/>
      <c r="W215" s="1"/>
      <c r="X215" s="1"/>
      <c r="Y215" s="1"/>
      <c r="Z215" s="1"/>
      <c r="AA215" s="1"/>
      <c r="AB215" s="1"/>
      <c r="AC215" s="1"/>
      <c r="AD215" s="1"/>
      <c r="AE215" s="1"/>
      <c r="AF215" s="1"/>
    </row>
    <row r="216" spans="2:32" x14ac:dyDescent="0.25">
      <c r="B216" s="105">
        <v>7</v>
      </c>
      <c r="C216" s="1">
        <f>SIMULIMO!H201</f>
        <v>-193032.62460989202</v>
      </c>
      <c r="D216" s="1">
        <f>SIMULIMO!I201</f>
        <v>7068.8823901079868</v>
      </c>
      <c r="E216" s="1">
        <f>SIMULIMO!J201</f>
        <v>7171.4044601079877</v>
      </c>
      <c r="F216" s="1">
        <f>SIMULIMO!K201</f>
        <v>7274.9517508079844</v>
      </c>
      <c r="G216" s="1">
        <f>SIMULIMO!L201</f>
        <v>7379.5345144149887</v>
      </c>
      <c r="H216" s="1">
        <f>SIMULIMO!M201</f>
        <v>7485.1631056580518</v>
      </c>
      <c r="I216" s="107">
        <f>SIMULIMO!N198+SIMULIMO!N201</f>
        <v>207718.9829600447</v>
      </c>
      <c r="J216" s="1"/>
      <c r="K216" s="1"/>
      <c r="L216" s="1"/>
      <c r="M216" s="1"/>
      <c r="N216" s="1"/>
      <c r="O216" s="1"/>
      <c r="P216" s="1"/>
      <c r="Q216" s="1"/>
      <c r="R216" s="1"/>
      <c r="S216" s="1"/>
      <c r="T216" s="1"/>
      <c r="U216" s="1"/>
      <c r="V216" s="1"/>
      <c r="W216" s="1"/>
      <c r="X216" s="1"/>
      <c r="Y216" s="1"/>
      <c r="Z216" s="1"/>
      <c r="AA216" s="1"/>
      <c r="AB216" s="1"/>
      <c r="AC216" s="1"/>
      <c r="AD216" s="1"/>
      <c r="AE216" s="1"/>
      <c r="AF216" s="1"/>
    </row>
    <row r="217" spans="2:32" x14ac:dyDescent="0.25">
      <c r="B217" s="105">
        <v>8</v>
      </c>
      <c r="C217" s="1">
        <f>SIMULIMO!H201</f>
        <v>-193032.62460989202</v>
      </c>
      <c r="D217" s="1">
        <f>SIMULIMO!I201</f>
        <v>7068.8823901079868</v>
      </c>
      <c r="E217" s="1">
        <f>SIMULIMO!J201</f>
        <v>7171.4044601079877</v>
      </c>
      <c r="F217" s="1">
        <f>SIMULIMO!K201</f>
        <v>7274.9517508079844</v>
      </c>
      <c r="G217" s="1">
        <f>SIMULIMO!L201</f>
        <v>7379.5345144149887</v>
      </c>
      <c r="H217" s="1">
        <f>SIMULIMO!M201</f>
        <v>7485.1631056580518</v>
      </c>
      <c r="I217" s="1">
        <f>SIMULIMO!N201</f>
        <v>7591.8479828135569</v>
      </c>
      <c r="J217" s="107">
        <f>SIMULIMO!O198+SIMULIMO!O201</f>
        <v>212578.50520349736</v>
      </c>
      <c r="K217" s="1"/>
      <c r="L217" s="1"/>
      <c r="M217" s="1"/>
      <c r="N217" s="1"/>
      <c r="O217" s="1"/>
      <c r="P217" s="1"/>
      <c r="Q217" s="1"/>
      <c r="R217" s="1"/>
      <c r="S217" s="1"/>
      <c r="T217" s="1"/>
      <c r="U217" s="1"/>
      <c r="V217" s="1"/>
      <c r="W217" s="1"/>
      <c r="X217" s="1"/>
      <c r="Y217" s="1"/>
      <c r="Z217" s="1"/>
      <c r="AA217" s="1"/>
      <c r="AB217" s="1"/>
      <c r="AC217" s="1"/>
      <c r="AD217" s="1"/>
      <c r="AE217" s="1"/>
      <c r="AF217" s="1"/>
    </row>
    <row r="218" spans="2:32" x14ac:dyDescent="0.25">
      <c r="B218" s="105">
        <v>9</v>
      </c>
      <c r="C218" s="1">
        <f>SIMULIMO!H201</f>
        <v>-193032.62460989202</v>
      </c>
      <c r="D218" s="1">
        <f>SIMULIMO!I201</f>
        <v>7068.8823901079868</v>
      </c>
      <c r="E218" s="1">
        <f>SIMULIMO!J201</f>
        <v>7171.4044601079877</v>
      </c>
      <c r="F218" s="1">
        <f>SIMULIMO!K201</f>
        <v>7274.9517508079844</v>
      </c>
      <c r="G218" s="1">
        <f>SIMULIMO!L201</f>
        <v>7379.5345144149887</v>
      </c>
      <c r="H218" s="1">
        <f>SIMULIMO!M201</f>
        <v>7485.1631056580518</v>
      </c>
      <c r="I218" s="1">
        <f>SIMULIMO!N201</f>
        <v>7591.8479828135569</v>
      </c>
      <c r="J218" s="1">
        <f>SIMULIMO!O201</f>
        <v>7699.5997087406122</v>
      </c>
      <c r="K218" s="107">
        <f>SIMULIMO!P198+SIMULIMO!P201</f>
        <v>217495.97225323672</v>
      </c>
      <c r="L218" s="1"/>
      <c r="M218" s="1"/>
      <c r="N218" s="1"/>
      <c r="O218" s="1"/>
      <c r="P218" s="1"/>
      <c r="Q218" s="1"/>
      <c r="R218" s="1"/>
      <c r="S218" s="1"/>
      <c r="T218" s="1"/>
      <c r="U218" s="1"/>
      <c r="V218" s="1"/>
      <c r="W218" s="1"/>
      <c r="X218" s="1"/>
      <c r="Y218" s="1"/>
      <c r="Z218" s="1"/>
      <c r="AA218" s="1"/>
      <c r="AB218" s="1"/>
      <c r="AC218" s="1"/>
      <c r="AD218" s="1"/>
      <c r="AE218" s="1"/>
      <c r="AF218" s="1"/>
    </row>
    <row r="219" spans="2:32" x14ac:dyDescent="0.25">
      <c r="B219" s="105">
        <v>10</v>
      </c>
      <c r="C219" s="1">
        <f>SIMULIMO!H201</f>
        <v>-193032.62460989202</v>
      </c>
      <c r="D219" s="1">
        <f>SIMULIMO!I201</f>
        <v>7068.8823901079868</v>
      </c>
      <c r="E219" s="1">
        <f>SIMULIMO!J201</f>
        <v>7171.4044601079877</v>
      </c>
      <c r="F219" s="1">
        <f>SIMULIMO!K201</f>
        <v>7274.9517508079844</v>
      </c>
      <c r="G219" s="1">
        <f>SIMULIMO!L201</f>
        <v>7379.5345144149887</v>
      </c>
      <c r="H219" s="1">
        <f>SIMULIMO!M201</f>
        <v>7485.1631056580518</v>
      </c>
      <c r="I219" s="1">
        <f>SIMULIMO!N201</f>
        <v>7591.8479828135569</v>
      </c>
      <c r="J219" s="1">
        <f>SIMULIMO!O201</f>
        <v>7699.5997087406122</v>
      </c>
      <c r="K219" s="1">
        <f>SIMULIMO!P201</f>
        <v>7808.4289519269405</v>
      </c>
      <c r="L219" s="107">
        <f>SIMULIMO!Q198+SIMULIMO!Q201</f>
        <v>222330.9831199738</v>
      </c>
      <c r="M219" s="1"/>
      <c r="N219" s="1"/>
      <c r="O219" s="1"/>
      <c r="P219" s="1"/>
      <c r="Q219" s="1"/>
      <c r="R219" s="1"/>
      <c r="S219" s="1"/>
      <c r="T219" s="1"/>
      <c r="U219" s="1"/>
      <c r="V219" s="1"/>
      <c r="W219" s="1"/>
      <c r="X219" s="1"/>
      <c r="Y219" s="1"/>
      <c r="Z219" s="1"/>
      <c r="AA219" s="1"/>
      <c r="AB219" s="1"/>
      <c r="AC219" s="1"/>
      <c r="AD219" s="1"/>
      <c r="AE219" s="1"/>
      <c r="AF219" s="1"/>
    </row>
    <row r="220" spans="2:32" x14ac:dyDescent="0.25">
      <c r="B220" s="105">
        <v>11</v>
      </c>
      <c r="C220" s="1">
        <f>SIMULIMO!H201</f>
        <v>-193032.62460989202</v>
      </c>
      <c r="D220" s="1">
        <f>SIMULIMO!I201</f>
        <v>7068.8823901079868</v>
      </c>
      <c r="E220" s="1">
        <f>SIMULIMO!J201</f>
        <v>7171.4044601079877</v>
      </c>
      <c r="F220" s="1">
        <f>SIMULIMO!K201</f>
        <v>7274.9517508079844</v>
      </c>
      <c r="G220" s="1">
        <f>SIMULIMO!L201</f>
        <v>7379.5345144149887</v>
      </c>
      <c r="H220" s="1">
        <f>SIMULIMO!M201</f>
        <v>7485.1631056580518</v>
      </c>
      <c r="I220" s="1">
        <f>SIMULIMO!N201</f>
        <v>7591.8479828135569</v>
      </c>
      <c r="J220" s="1">
        <f>SIMULIMO!O201</f>
        <v>7699.5997087406122</v>
      </c>
      <c r="K220" s="1">
        <f>SIMULIMO!P201</f>
        <v>7808.4289519269405</v>
      </c>
      <c r="L220" s="1">
        <f>SIMULIMO!Q201</f>
        <v>7777.2343128401781</v>
      </c>
      <c r="M220" s="107">
        <f>SIMULIMO!R198+SIMULIMO!R201</f>
        <v>227017.75326405984</v>
      </c>
      <c r="N220" s="1"/>
      <c r="O220" s="1"/>
      <c r="P220" s="1"/>
      <c r="Q220" s="1"/>
      <c r="R220" s="1"/>
      <c r="S220" s="1"/>
      <c r="T220" s="1"/>
      <c r="U220" s="1"/>
      <c r="V220" s="1"/>
      <c r="W220" s="1"/>
      <c r="X220" s="1"/>
      <c r="Y220" s="1"/>
      <c r="Z220" s="1"/>
      <c r="AA220" s="1"/>
      <c r="AB220" s="1"/>
      <c r="AC220" s="1"/>
      <c r="AD220" s="1"/>
      <c r="AE220" s="1"/>
      <c r="AF220" s="1"/>
    </row>
    <row r="221" spans="2:32" x14ac:dyDescent="0.25">
      <c r="B221" s="105">
        <v>12</v>
      </c>
      <c r="C221" s="1">
        <f>SIMULIMO!H201</f>
        <v>-193032.62460989202</v>
      </c>
      <c r="D221" s="1">
        <f>SIMULIMO!I201</f>
        <v>7068.8823901079868</v>
      </c>
      <c r="E221" s="1">
        <f>SIMULIMO!J201</f>
        <v>7171.4044601079877</v>
      </c>
      <c r="F221" s="1">
        <f>SIMULIMO!K201</f>
        <v>7274.9517508079844</v>
      </c>
      <c r="G221" s="1">
        <f>SIMULIMO!L201</f>
        <v>7379.5345144149887</v>
      </c>
      <c r="H221" s="1">
        <f>SIMULIMO!M201</f>
        <v>7485.1631056580518</v>
      </c>
      <c r="I221" s="1">
        <f>SIMULIMO!N201</f>
        <v>7591.8479828135569</v>
      </c>
      <c r="J221" s="1">
        <f>SIMULIMO!O201</f>
        <v>7699.5997087406122</v>
      </c>
      <c r="K221" s="1">
        <f>SIMULIMO!P201</f>
        <v>7808.4289519269405</v>
      </c>
      <c r="L221" s="1">
        <f>SIMULIMO!Q201</f>
        <v>7777.2343128401781</v>
      </c>
      <c r="M221" s="1">
        <f>SIMULIMO!R201</f>
        <v>7539.521981282347</v>
      </c>
      <c r="N221" s="107">
        <f>SIMULIMO!S198+SIMULIMO!S201</f>
        <v>231752.8358006679</v>
      </c>
      <c r="O221" s="1"/>
      <c r="P221" s="1"/>
      <c r="Q221" s="1"/>
      <c r="R221" s="1"/>
      <c r="S221" s="1"/>
      <c r="T221" s="1"/>
      <c r="U221" s="1"/>
      <c r="V221" s="1"/>
      <c r="W221" s="1"/>
      <c r="X221" s="1"/>
      <c r="Y221" s="1"/>
      <c r="Z221" s="1"/>
      <c r="AA221" s="1"/>
      <c r="AB221" s="1"/>
      <c r="AC221" s="1"/>
      <c r="AD221" s="1"/>
      <c r="AE221" s="1"/>
      <c r="AF221" s="1"/>
    </row>
    <row r="222" spans="2:32" x14ac:dyDescent="0.25">
      <c r="B222" s="105">
        <v>13</v>
      </c>
      <c r="C222" s="1">
        <f>SIMULIMO!H201</f>
        <v>-193032.62460989202</v>
      </c>
      <c r="D222" s="1">
        <f>SIMULIMO!I201</f>
        <v>7068.8823901079868</v>
      </c>
      <c r="E222" s="1">
        <f>SIMULIMO!J201</f>
        <v>7171.4044601079877</v>
      </c>
      <c r="F222" s="1">
        <f>SIMULIMO!K201</f>
        <v>7274.9517508079844</v>
      </c>
      <c r="G222" s="1">
        <f>SIMULIMO!L201</f>
        <v>7379.5345144149887</v>
      </c>
      <c r="H222" s="1">
        <f>SIMULIMO!M201</f>
        <v>7485.1631056580518</v>
      </c>
      <c r="I222" s="1">
        <f>SIMULIMO!N201</f>
        <v>7591.8479828135569</v>
      </c>
      <c r="J222" s="1">
        <f>SIMULIMO!O201</f>
        <v>7699.5997087406122</v>
      </c>
      <c r="K222" s="1">
        <f>SIMULIMO!P201</f>
        <v>7808.4289519269405</v>
      </c>
      <c r="L222" s="1">
        <f>SIMULIMO!Q201</f>
        <v>7777.2343128401781</v>
      </c>
      <c r="M222" s="1">
        <f>SIMULIMO!R201</f>
        <v>7539.521981282347</v>
      </c>
      <c r="N222" s="1">
        <f>SIMULIMO!S201</f>
        <v>7291.1268268138283</v>
      </c>
      <c r="O222" s="107">
        <f>SIMULIMO!T198+SIMULIMO!T201</f>
        <v>236536.54511513127</v>
      </c>
      <c r="P222" s="1"/>
      <c r="Q222" s="1"/>
      <c r="R222" s="1"/>
      <c r="S222" s="1"/>
      <c r="T222" s="1"/>
      <c r="U222" s="1"/>
      <c r="V222" s="1"/>
      <c r="W222" s="1"/>
      <c r="X222" s="1"/>
      <c r="Y222" s="1"/>
      <c r="Z222" s="1"/>
      <c r="AA222" s="1"/>
      <c r="AB222" s="1"/>
      <c r="AC222" s="1"/>
      <c r="AD222" s="1"/>
      <c r="AE222" s="1"/>
      <c r="AF222" s="1"/>
    </row>
    <row r="223" spans="2:32" x14ac:dyDescent="0.25">
      <c r="B223" s="105">
        <v>14</v>
      </c>
      <c r="C223" s="1">
        <f>SIMULIMO!H201</f>
        <v>-193032.62460989202</v>
      </c>
      <c r="D223" s="1">
        <f>SIMULIMO!I201</f>
        <v>7068.8823901079868</v>
      </c>
      <c r="E223" s="1">
        <f>SIMULIMO!J201</f>
        <v>7171.4044601079877</v>
      </c>
      <c r="F223" s="1">
        <f>SIMULIMO!K201</f>
        <v>7274.9517508079844</v>
      </c>
      <c r="G223" s="1">
        <f>SIMULIMO!L201</f>
        <v>7379.5345144149887</v>
      </c>
      <c r="H223" s="1">
        <f>SIMULIMO!M201</f>
        <v>7485.1631056580518</v>
      </c>
      <c r="I223" s="1">
        <f>SIMULIMO!N201</f>
        <v>7591.8479828135569</v>
      </c>
      <c r="J223" s="1">
        <f>SIMULIMO!O201</f>
        <v>7699.5997087406122</v>
      </c>
      <c r="K223" s="1">
        <f>SIMULIMO!P201</f>
        <v>7808.4289519269405</v>
      </c>
      <c r="L223" s="1">
        <f>SIMULIMO!Q201</f>
        <v>7777.2343128401781</v>
      </c>
      <c r="M223" s="1">
        <f>SIMULIMO!R201</f>
        <v>7539.521981282347</v>
      </c>
      <c r="N223" s="1">
        <f>SIMULIMO!S201</f>
        <v>7291.1268268138283</v>
      </c>
      <c r="O223" s="1">
        <f>SIMULIMO!T201</f>
        <v>7031.6358978187873</v>
      </c>
      <c r="P223" s="107">
        <f>SIMULIMO!U198+SIMULIMO!U201</f>
        <v>241369.18921061605</v>
      </c>
      <c r="Q223" s="1"/>
      <c r="R223" s="1"/>
      <c r="S223" s="1"/>
      <c r="T223" s="1"/>
      <c r="U223" s="1"/>
      <c r="V223" s="1"/>
      <c r="W223" s="1"/>
      <c r="X223" s="1"/>
      <c r="Y223" s="1"/>
      <c r="Z223" s="1"/>
      <c r="AA223" s="1"/>
      <c r="AB223" s="1"/>
      <c r="AC223" s="1"/>
      <c r="AD223" s="1"/>
      <c r="AE223" s="1"/>
      <c r="AF223" s="1"/>
    </row>
    <row r="224" spans="2:32" x14ac:dyDescent="0.25">
      <c r="B224" s="105">
        <v>15</v>
      </c>
      <c r="C224" s="1">
        <f>SIMULIMO!H201</f>
        <v>-193032.62460989202</v>
      </c>
      <c r="D224" s="1">
        <f>SIMULIMO!I201</f>
        <v>7068.8823901079868</v>
      </c>
      <c r="E224" s="1">
        <f>SIMULIMO!J201</f>
        <v>7171.4044601079877</v>
      </c>
      <c r="F224" s="1">
        <f>SIMULIMO!K201</f>
        <v>7274.9517508079844</v>
      </c>
      <c r="G224" s="1">
        <f>SIMULIMO!L201</f>
        <v>7379.5345144149887</v>
      </c>
      <c r="H224" s="1">
        <f>SIMULIMO!M201</f>
        <v>7485.1631056580518</v>
      </c>
      <c r="I224" s="1">
        <f>SIMULIMO!N201</f>
        <v>7591.8479828135569</v>
      </c>
      <c r="J224" s="1">
        <f>SIMULIMO!O201</f>
        <v>7699.5997087406122</v>
      </c>
      <c r="K224" s="1">
        <f>SIMULIMO!P201</f>
        <v>7808.4289519269405</v>
      </c>
      <c r="L224" s="1">
        <f>SIMULIMO!Q201</f>
        <v>7777.2343128401781</v>
      </c>
      <c r="M224" s="1">
        <f>SIMULIMO!R201</f>
        <v>7539.521981282347</v>
      </c>
      <c r="N224" s="1">
        <f>SIMULIMO!S201</f>
        <v>7291.1268268138283</v>
      </c>
      <c r="O224" s="1">
        <f>SIMULIMO!T201</f>
        <v>7031.6358978187873</v>
      </c>
      <c r="P224" s="1">
        <f>SIMULIMO!U201</f>
        <v>6760.6206513677043</v>
      </c>
      <c r="Q224" s="107">
        <f>SIMULIMO!V198+SIMULIMO!V201</f>
        <v>246251.06923659699</v>
      </c>
      <c r="R224" s="1"/>
      <c r="S224" s="1"/>
      <c r="T224" s="1"/>
      <c r="U224" s="1"/>
      <c r="V224" s="1"/>
      <c r="W224" s="1"/>
      <c r="X224" s="1"/>
      <c r="Y224" s="1"/>
      <c r="Z224" s="1"/>
      <c r="AA224" s="1"/>
      <c r="AB224" s="1"/>
      <c r="AC224" s="1"/>
      <c r="AD224" s="1"/>
      <c r="AE224" s="1"/>
      <c r="AF224" s="1"/>
    </row>
    <row r="225" spans="2:32" x14ac:dyDescent="0.25">
      <c r="B225" s="105">
        <v>16</v>
      </c>
      <c r="C225" s="1">
        <f>SIMULIMO!H201</f>
        <v>-193032.62460989202</v>
      </c>
      <c r="D225" s="1">
        <f>SIMULIMO!I201</f>
        <v>7068.8823901079868</v>
      </c>
      <c r="E225" s="1">
        <f>SIMULIMO!J201</f>
        <v>7171.4044601079877</v>
      </c>
      <c r="F225" s="1">
        <f>SIMULIMO!K201</f>
        <v>7274.9517508079844</v>
      </c>
      <c r="G225" s="1">
        <f>SIMULIMO!L201</f>
        <v>7379.5345144149887</v>
      </c>
      <c r="H225" s="1">
        <f>SIMULIMO!M201</f>
        <v>7485.1631056580518</v>
      </c>
      <c r="I225" s="1">
        <f>SIMULIMO!N201</f>
        <v>7591.8479828135569</v>
      </c>
      <c r="J225" s="1">
        <f>SIMULIMO!O201</f>
        <v>7699.5997087406122</v>
      </c>
      <c r="K225" s="1">
        <f>SIMULIMO!P201</f>
        <v>7808.4289519269405</v>
      </c>
      <c r="L225" s="1">
        <f>SIMULIMO!Q201</f>
        <v>7777.2343128401781</v>
      </c>
      <c r="M225" s="1">
        <f>SIMULIMO!R201</f>
        <v>7539.521981282347</v>
      </c>
      <c r="N225" s="1">
        <f>SIMULIMO!S201</f>
        <v>7291.1268268138283</v>
      </c>
      <c r="O225" s="1">
        <f>SIMULIMO!T201</f>
        <v>7031.6358978187873</v>
      </c>
      <c r="P225" s="1">
        <f>SIMULIMO!U201</f>
        <v>6760.6206513677043</v>
      </c>
      <c r="Q225" s="1">
        <f>SIMULIMO!V201</f>
        <v>6477.6363623264233</v>
      </c>
      <c r="R225" s="107">
        <f>SIMULIMO!W198+SIMULIMO!W201</f>
        <v>251182.47899630884</v>
      </c>
      <c r="S225" s="2"/>
      <c r="T225" s="1"/>
      <c r="U225" s="1"/>
      <c r="V225" s="1"/>
      <c r="W225" s="1"/>
      <c r="X225" s="1"/>
      <c r="Y225" s="1"/>
      <c r="Z225" s="1"/>
      <c r="AA225" s="1"/>
      <c r="AB225" s="1"/>
      <c r="AC225" s="1"/>
      <c r="AD225" s="1"/>
      <c r="AE225" s="1"/>
      <c r="AF225" s="1"/>
    </row>
    <row r="226" spans="2:32" x14ac:dyDescent="0.25">
      <c r="B226" s="105">
        <v>17</v>
      </c>
      <c r="C226" s="1">
        <f>SIMULIMO!H201</f>
        <v>-193032.62460989202</v>
      </c>
      <c r="D226" s="1">
        <f>SIMULIMO!I201</f>
        <v>7068.8823901079868</v>
      </c>
      <c r="E226" s="1">
        <f>SIMULIMO!J201</f>
        <v>7171.4044601079877</v>
      </c>
      <c r="F226" s="1">
        <f>SIMULIMO!K201</f>
        <v>7274.9517508079844</v>
      </c>
      <c r="G226" s="1">
        <f>SIMULIMO!L201</f>
        <v>7379.5345144149887</v>
      </c>
      <c r="H226" s="1">
        <f>SIMULIMO!M201</f>
        <v>7485.1631056580518</v>
      </c>
      <c r="I226" s="1">
        <f>SIMULIMO!N201</f>
        <v>7591.8479828135569</v>
      </c>
      <c r="J226" s="1">
        <f>SIMULIMO!O201</f>
        <v>7699.5997087406122</v>
      </c>
      <c r="K226" s="1">
        <f>SIMULIMO!P201</f>
        <v>7808.4289519269405</v>
      </c>
      <c r="L226" s="1">
        <f>SIMULIMO!Q201</f>
        <v>7777.2343128401781</v>
      </c>
      <c r="M226" s="1">
        <f>SIMULIMO!R201</f>
        <v>7539.521981282347</v>
      </c>
      <c r="N226" s="1">
        <f>SIMULIMO!S201</f>
        <v>7291.1268268138283</v>
      </c>
      <c r="O226" s="1">
        <f>SIMULIMO!T201</f>
        <v>7031.6358978187873</v>
      </c>
      <c r="P226" s="1">
        <f>SIMULIMO!U201</f>
        <v>6760.6206513677043</v>
      </c>
      <c r="Q226" s="1">
        <f>SIMULIMO!V201</f>
        <v>6477.6363623264233</v>
      </c>
      <c r="R226" s="1">
        <f>SIMULIMO!W201</f>
        <v>6182.2215098620718</v>
      </c>
      <c r="S226" s="107">
        <f>SIMULIMO!X198+SIMULIMO!X201</f>
        <v>255821.55299933939</v>
      </c>
      <c r="T226" s="1"/>
      <c r="U226" s="1"/>
      <c r="V226" s="1"/>
      <c r="W226" s="1"/>
      <c r="X226" s="1"/>
      <c r="Y226" s="1"/>
      <c r="Z226" s="1"/>
      <c r="AA226" s="1"/>
      <c r="AB226" s="1"/>
      <c r="AC226" s="1"/>
      <c r="AD226" s="1"/>
      <c r="AE226" s="1"/>
      <c r="AF226" s="1"/>
    </row>
    <row r="227" spans="2:32" x14ac:dyDescent="0.25">
      <c r="B227" s="105">
        <v>18</v>
      </c>
      <c r="C227" s="1">
        <f>SIMULIMO!H201</f>
        <v>-193032.62460989202</v>
      </c>
      <c r="D227" s="1">
        <f>SIMULIMO!I201</f>
        <v>7068.8823901079868</v>
      </c>
      <c r="E227" s="1">
        <f>SIMULIMO!J201</f>
        <v>7171.4044601079877</v>
      </c>
      <c r="F227" s="1">
        <f>SIMULIMO!K201</f>
        <v>7274.9517508079844</v>
      </c>
      <c r="G227" s="1">
        <f>SIMULIMO!L201</f>
        <v>7379.5345144149887</v>
      </c>
      <c r="H227" s="1">
        <f>SIMULIMO!M201</f>
        <v>7485.1631056580518</v>
      </c>
      <c r="I227" s="1">
        <f>SIMULIMO!N201</f>
        <v>7591.8479828135569</v>
      </c>
      <c r="J227" s="1">
        <f>SIMULIMO!O201</f>
        <v>7699.5997087406122</v>
      </c>
      <c r="K227" s="1">
        <f>SIMULIMO!P201</f>
        <v>7808.4289519269405</v>
      </c>
      <c r="L227" s="1">
        <f>SIMULIMO!Q201</f>
        <v>7777.2343128401781</v>
      </c>
      <c r="M227" s="1">
        <f>SIMULIMO!R201</f>
        <v>7539.521981282347</v>
      </c>
      <c r="N227" s="1">
        <f>SIMULIMO!S201</f>
        <v>7291.1268268138283</v>
      </c>
      <c r="O227" s="1">
        <f>SIMULIMO!T201</f>
        <v>7031.6358978187873</v>
      </c>
      <c r="P227" s="1">
        <f>SIMULIMO!U201</f>
        <v>6760.6206513677043</v>
      </c>
      <c r="Q227" s="1">
        <f>SIMULIMO!V201</f>
        <v>6477.6363623264233</v>
      </c>
      <c r="R227" s="1">
        <f>SIMULIMO!W201</f>
        <v>6182.2215098620718</v>
      </c>
      <c r="S227" s="1">
        <f>SIMULIMO!X201</f>
        <v>5873.897140473131</v>
      </c>
      <c r="T227" s="107">
        <f>SIMULIMO!Y198+SIMULIMO!Y201</f>
        <v>260611.01829480616</v>
      </c>
      <c r="U227" s="1"/>
      <c r="V227" s="1"/>
      <c r="W227" s="1"/>
      <c r="X227" s="1"/>
      <c r="Y227" s="1"/>
      <c r="Z227" s="1"/>
      <c r="AA227" s="1"/>
      <c r="AB227" s="1"/>
      <c r="AC227" s="1"/>
      <c r="AD227" s="1"/>
      <c r="AE227" s="1"/>
      <c r="AF227" s="1"/>
    </row>
    <row r="228" spans="2:32" x14ac:dyDescent="0.25">
      <c r="B228" s="105">
        <v>19</v>
      </c>
      <c r="C228" s="1">
        <f>SIMULIMO!H201</f>
        <v>-193032.62460989202</v>
      </c>
      <c r="D228" s="1">
        <f>SIMULIMO!I201</f>
        <v>7068.8823901079868</v>
      </c>
      <c r="E228" s="1">
        <f>SIMULIMO!J201</f>
        <v>7171.4044601079877</v>
      </c>
      <c r="F228" s="1">
        <f>SIMULIMO!K201</f>
        <v>7274.9517508079844</v>
      </c>
      <c r="G228" s="1">
        <f>SIMULIMO!L201</f>
        <v>7379.5345144149887</v>
      </c>
      <c r="H228" s="1">
        <f>SIMULIMO!M201</f>
        <v>7485.1631056580518</v>
      </c>
      <c r="I228" s="1">
        <f>SIMULIMO!N201</f>
        <v>7591.8479828135569</v>
      </c>
      <c r="J228" s="1">
        <f>SIMULIMO!O201</f>
        <v>7699.5997087406122</v>
      </c>
      <c r="K228" s="1">
        <f>SIMULIMO!P201</f>
        <v>7808.4289519269405</v>
      </c>
      <c r="L228" s="1">
        <f>SIMULIMO!Q201</f>
        <v>7777.2343128401781</v>
      </c>
      <c r="M228" s="1">
        <f>SIMULIMO!R201</f>
        <v>7539.521981282347</v>
      </c>
      <c r="N228" s="1">
        <f>SIMULIMO!S201</f>
        <v>7291.1268268138283</v>
      </c>
      <c r="O228" s="1">
        <f>SIMULIMO!T201</f>
        <v>7031.6358978187873</v>
      </c>
      <c r="P228" s="1">
        <f>SIMULIMO!U201</f>
        <v>6760.6206513677043</v>
      </c>
      <c r="Q228" s="1">
        <f>SIMULIMO!V201</f>
        <v>6477.6363623264233</v>
      </c>
      <c r="R228" s="1">
        <f>SIMULIMO!W201</f>
        <v>6182.2215098620718</v>
      </c>
      <c r="S228" s="1">
        <f>SIMULIMO!X201</f>
        <v>5873.897140473131</v>
      </c>
      <c r="T228" s="1">
        <f>SIMULIMO!Y201</f>
        <v>5766.700838879533</v>
      </c>
      <c r="U228" s="107">
        <f>SIMULIMO!Z198+SIMULIMO!Z201</f>
        <v>265734.59921393293</v>
      </c>
      <c r="V228" s="1"/>
      <c r="W228" s="1"/>
      <c r="X228" s="1"/>
      <c r="Y228" s="1"/>
      <c r="Z228" s="1"/>
      <c r="AA228" s="1"/>
      <c r="AB228" s="1"/>
      <c r="AC228" s="1"/>
      <c r="AD228" s="1"/>
      <c r="AE228" s="1"/>
      <c r="AF228" s="1"/>
    </row>
    <row r="229" spans="2:32" x14ac:dyDescent="0.25">
      <c r="B229" s="105">
        <v>20</v>
      </c>
      <c r="C229" s="1">
        <f>SIMULIMO!H201</f>
        <v>-193032.62460989202</v>
      </c>
      <c r="D229" s="1">
        <f>SIMULIMO!I201</f>
        <v>7068.8823901079868</v>
      </c>
      <c r="E229" s="1">
        <f>SIMULIMO!J201</f>
        <v>7171.4044601079877</v>
      </c>
      <c r="F229" s="1">
        <f>SIMULIMO!K201</f>
        <v>7274.9517508079844</v>
      </c>
      <c r="G229" s="1">
        <f>SIMULIMO!L201</f>
        <v>7379.5345144149887</v>
      </c>
      <c r="H229" s="1">
        <f>SIMULIMO!M201</f>
        <v>7485.1631056580518</v>
      </c>
      <c r="I229" s="1">
        <f>SIMULIMO!N201</f>
        <v>7591.8479828135569</v>
      </c>
      <c r="J229" s="1">
        <f>SIMULIMO!O201</f>
        <v>7699.5997087406122</v>
      </c>
      <c r="K229" s="1">
        <f>SIMULIMO!P201</f>
        <v>7808.4289519269405</v>
      </c>
      <c r="L229" s="1">
        <f>SIMULIMO!Q201</f>
        <v>7777.2343128401781</v>
      </c>
      <c r="M229" s="1">
        <f>SIMULIMO!R201</f>
        <v>7539.521981282347</v>
      </c>
      <c r="N229" s="1">
        <f>SIMULIMO!S201</f>
        <v>7291.1268268138283</v>
      </c>
      <c r="O229" s="1">
        <f>SIMULIMO!T201</f>
        <v>7031.6358978187873</v>
      </c>
      <c r="P229" s="1">
        <f>SIMULIMO!U201</f>
        <v>6760.6206513677043</v>
      </c>
      <c r="Q229" s="1">
        <f>SIMULIMO!V201</f>
        <v>6477.6363623264233</v>
      </c>
      <c r="R229" s="1">
        <f>SIMULIMO!W201</f>
        <v>6182.2215098620718</v>
      </c>
      <c r="S229" s="1">
        <f>SIMULIMO!X201</f>
        <v>5873.897140473131</v>
      </c>
      <c r="T229" s="1">
        <f>SIMULIMO!Y201</f>
        <v>5766.700838879533</v>
      </c>
      <c r="U229" s="1">
        <f>SIMULIMO!Z201</f>
        <v>5856.2010933672518</v>
      </c>
      <c r="V229" s="107">
        <f>SIMULIMO!AA198+SIMULIMO!AA201</f>
        <v>270998.41162271815</v>
      </c>
      <c r="W229" s="1"/>
      <c r="X229" s="1"/>
      <c r="Y229" s="1"/>
      <c r="Z229" s="1"/>
      <c r="AA229" s="1"/>
      <c r="AB229" s="1"/>
      <c r="AC229" s="1"/>
      <c r="AD229" s="1"/>
      <c r="AE229" s="1"/>
      <c r="AF229" s="1"/>
    </row>
    <row r="230" spans="2:32" x14ac:dyDescent="0.25">
      <c r="B230" s="105">
        <v>21</v>
      </c>
      <c r="C230" s="1">
        <f>SIMULIMO!H201</f>
        <v>-193032.62460989202</v>
      </c>
      <c r="D230" s="1">
        <f>SIMULIMO!I201</f>
        <v>7068.8823901079868</v>
      </c>
      <c r="E230" s="1">
        <f>SIMULIMO!J201</f>
        <v>7171.4044601079877</v>
      </c>
      <c r="F230" s="1">
        <f>SIMULIMO!K201</f>
        <v>7274.9517508079844</v>
      </c>
      <c r="G230" s="1">
        <f>SIMULIMO!L201</f>
        <v>7379.5345144149887</v>
      </c>
      <c r="H230" s="1">
        <f>SIMULIMO!M201</f>
        <v>7485.1631056580518</v>
      </c>
      <c r="I230" s="1">
        <f>SIMULIMO!N201</f>
        <v>7591.8479828135569</v>
      </c>
      <c r="J230" s="1">
        <f>SIMULIMO!O201</f>
        <v>7699.5997087406122</v>
      </c>
      <c r="K230" s="1">
        <f>SIMULIMO!P201</f>
        <v>7808.4289519269405</v>
      </c>
      <c r="L230" s="1">
        <f>SIMULIMO!Q201</f>
        <v>7777.2343128401781</v>
      </c>
      <c r="M230" s="1">
        <f>SIMULIMO!R201</f>
        <v>7539.521981282347</v>
      </c>
      <c r="N230" s="1">
        <f>SIMULIMO!S201</f>
        <v>7291.1268268138283</v>
      </c>
      <c r="O230" s="1">
        <f>SIMULIMO!T201</f>
        <v>7031.6358978187873</v>
      </c>
      <c r="P230" s="1">
        <f>SIMULIMO!U201</f>
        <v>6760.6206513677043</v>
      </c>
      <c r="Q230" s="1">
        <f>SIMULIMO!V201</f>
        <v>6477.6363623264233</v>
      </c>
      <c r="R230" s="1">
        <f>SIMULIMO!W201</f>
        <v>6182.2215098620718</v>
      </c>
      <c r="S230" s="1">
        <f>SIMULIMO!X201</f>
        <v>5873.897140473131</v>
      </c>
      <c r="T230" s="1">
        <f>SIMULIMO!Y201</f>
        <v>5766.700838879533</v>
      </c>
      <c r="U230" s="1">
        <f>SIMULIMO!Z201</f>
        <v>5856.2010933672518</v>
      </c>
      <c r="V230" s="1">
        <f>SIMULIMO!AA201</f>
        <v>5946.5963503998455</v>
      </c>
      <c r="W230" s="107">
        <f>SIMULIMO!AB198+SIMULIMO!AB201</f>
        <v>276404.40711695724</v>
      </c>
      <c r="X230" s="1"/>
      <c r="Y230" s="1"/>
      <c r="Z230" s="1"/>
      <c r="AA230" s="1"/>
      <c r="AB230" s="1"/>
      <c r="AC230" s="1"/>
      <c r="AD230" s="1"/>
      <c r="AE230" s="1"/>
      <c r="AF230" s="1"/>
    </row>
    <row r="231" spans="2:32" x14ac:dyDescent="0.25">
      <c r="B231" s="105">
        <v>22</v>
      </c>
      <c r="C231" s="1">
        <f>SIMULIMO!H201</f>
        <v>-193032.62460989202</v>
      </c>
      <c r="D231" s="1">
        <f>SIMULIMO!I201</f>
        <v>7068.8823901079868</v>
      </c>
      <c r="E231" s="1">
        <f>SIMULIMO!J201</f>
        <v>7171.4044601079877</v>
      </c>
      <c r="F231" s="1">
        <f>SIMULIMO!K201</f>
        <v>7274.9517508079844</v>
      </c>
      <c r="G231" s="1">
        <f>SIMULIMO!L201</f>
        <v>7379.5345144149887</v>
      </c>
      <c r="H231" s="1">
        <f>SIMULIMO!M201</f>
        <v>7485.1631056580518</v>
      </c>
      <c r="I231" s="1">
        <f>SIMULIMO!N201</f>
        <v>7591.8479828135569</v>
      </c>
      <c r="J231" s="1">
        <f>SIMULIMO!O201</f>
        <v>7699.5997087406122</v>
      </c>
      <c r="K231" s="1">
        <f>SIMULIMO!P201</f>
        <v>7808.4289519269405</v>
      </c>
      <c r="L231" s="1">
        <f>SIMULIMO!Q201</f>
        <v>7777.2343128401781</v>
      </c>
      <c r="M231" s="1">
        <f>SIMULIMO!R201</f>
        <v>7539.521981282347</v>
      </c>
      <c r="N231" s="1">
        <f>SIMULIMO!S201</f>
        <v>7291.1268268138283</v>
      </c>
      <c r="O231" s="1">
        <f>SIMULIMO!T201</f>
        <v>7031.6358978187873</v>
      </c>
      <c r="P231" s="1">
        <f>SIMULIMO!U201</f>
        <v>6760.6206513677043</v>
      </c>
      <c r="Q231" s="1">
        <f>SIMULIMO!V201</f>
        <v>6477.6363623264233</v>
      </c>
      <c r="R231" s="1">
        <f>SIMULIMO!W201</f>
        <v>6182.2215098620718</v>
      </c>
      <c r="S231" s="1">
        <f>SIMULIMO!X201</f>
        <v>5873.897140473131</v>
      </c>
      <c r="T231" s="1">
        <f>SIMULIMO!Y201</f>
        <v>5766.700838879533</v>
      </c>
      <c r="U231" s="1">
        <f>SIMULIMO!Z201</f>
        <v>5856.2010933672518</v>
      </c>
      <c r="V231" s="1">
        <f>SIMULIMO!AA201</f>
        <v>5946.5963503998455</v>
      </c>
      <c r="W231" s="1">
        <f>SIMULIMO!AB201</f>
        <v>6037.8955600027602</v>
      </c>
      <c r="X231" s="107">
        <f>SIMULIMO!AC198+SIMULIMO!AC201</f>
        <v>281893.61238856829</v>
      </c>
      <c r="Y231" s="1"/>
      <c r="Z231" s="1"/>
      <c r="AA231" s="1"/>
      <c r="AB231" s="1"/>
      <c r="AC231" s="1"/>
      <c r="AD231" s="1"/>
      <c r="AE231" s="1"/>
      <c r="AF231" s="1"/>
    </row>
    <row r="232" spans="2:32" x14ac:dyDescent="0.25">
      <c r="B232" s="105">
        <v>23</v>
      </c>
      <c r="C232" s="1">
        <f>SIMULIMO!H201</f>
        <v>-193032.62460989202</v>
      </c>
      <c r="D232" s="1">
        <f>SIMULIMO!I201</f>
        <v>7068.8823901079868</v>
      </c>
      <c r="E232" s="1">
        <f>SIMULIMO!J201</f>
        <v>7171.4044601079877</v>
      </c>
      <c r="F232" s="1">
        <f>SIMULIMO!K201</f>
        <v>7274.9517508079844</v>
      </c>
      <c r="G232" s="1">
        <f>SIMULIMO!L201</f>
        <v>7379.5345144149887</v>
      </c>
      <c r="H232" s="1">
        <f>SIMULIMO!M201</f>
        <v>7485.1631056580518</v>
      </c>
      <c r="I232" s="1">
        <f>SIMULIMO!N201</f>
        <v>7591.8479828135569</v>
      </c>
      <c r="J232" s="1">
        <f>SIMULIMO!O201</f>
        <v>7699.5997087406122</v>
      </c>
      <c r="K232" s="1">
        <f>SIMULIMO!P201</f>
        <v>7808.4289519269405</v>
      </c>
      <c r="L232" s="1">
        <f>SIMULIMO!Q201</f>
        <v>7777.2343128401781</v>
      </c>
      <c r="M232" s="1">
        <f>SIMULIMO!R201</f>
        <v>7539.521981282347</v>
      </c>
      <c r="N232" s="1">
        <f>SIMULIMO!S201</f>
        <v>7291.1268268138283</v>
      </c>
      <c r="O232" s="1">
        <f>SIMULIMO!T201</f>
        <v>7031.6358978187873</v>
      </c>
      <c r="P232" s="1">
        <f>SIMULIMO!U201</f>
        <v>6760.6206513677043</v>
      </c>
      <c r="Q232" s="1">
        <f>SIMULIMO!V201</f>
        <v>6477.6363623264233</v>
      </c>
      <c r="R232" s="1">
        <f>SIMULIMO!W201</f>
        <v>6182.2215098620718</v>
      </c>
      <c r="S232" s="1">
        <f>SIMULIMO!X201</f>
        <v>5873.897140473131</v>
      </c>
      <c r="T232" s="1">
        <f>SIMULIMO!Y201</f>
        <v>5766.700838879533</v>
      </c>
      <c r="U232" s="1">
        <f>SIMULIMO!Z201</f>
        <v>5856.2010933672518</v>
      </c>
      <c r="V232" s="1">
        <f>SIMULIMO!AA201</f>
        <v>5946.5963503998455</v>
      </c>
      <c r="W232" s="1">
        <f>SIMULIMO!AB201</f>
        <v>6037.8955600027602</v>
      </c>
      <c r="X232" s="1">
        <f>SIMULIMO!AC201</f>
        <v>6130.107761701709</v>
      </c>
      <c r="Y232" s="107">
        <f>SIMULIMO!AD198+SIMULIMO!AD201</f>
        <v>287601.84268295544</v>
      </c>
      <c r="Z232" s="1"/>
      <c r="AA232" s="1"/>
      <c r="AB232" s="1"/>
      <c r="AC232" s="1"/>
      <c r="AD232" s="1"/>
      <c r="AE232" s="1"/>
      <c r="AF232" s="1"/>
    </row>
    <row r="233" spans="2:32" x14ac:dyDescent="0.25">
      <c r="B233" s="105">
        <v>24</v>
      </c>
      <c r="C233" s="1">
        <f>SIMULIMO!H201</f>
        <v>-193032.62460989202</v>
      </c>
      <c r="D233" s="1">
        <f>SIMULIMO!I201</f>
        <v>7068.8823901079868</v>
      </c>
      <c r="E233" s="1">
        <f>SIMULIMO!J201</f>
        <v>7171.4044601079877</v>
      </c>
      <c r="F233" s="1">
        <f>SIMULIMO!K201</f>
        <v>7274.9517508079844</v>
      </c>
      <c r="G233" s="1">
        <f>SIMULIMO!L201</f>
        <v>7379.5345144149887</v>
      </c>
      <c r="H233" s="1">
        <f>SIMULIMO!M201</f>
        <v>7485.1631056580518</v>
      </c>
      <c r="I233" s="1">
        <f>SIMULIMO!N201</f>
        <v>7591.8479828135569</v>
      </c>
      <c r="J233" s="1">
        <f>SIMULIMO!O201</f>
        <v>7699.5997087406122</v>
      </c>
      <c r="K233" s="1">
        <f>SIMULIMO!P201</f>
        <v>7808.4289519269405</v>
      </c>
      <c r="L233" s="1">
        <f>SIMULIMO!Q201</f>
        <v>7777.2343128401781</v>
      </c>
      <c r="M233" s="1">
        <f>SIMULIMO!R201</f>
        <v>7539.521981282347</v>
      </c>
      <c r="N233" s="1">
        <f>SIMULIMO!S201</f>
        <v>7291.1268268138283</v>
      </c>
      <c r="O233" s="1">
        <f>SIMULIMO!T201</f>
        <v>7031.6358978187873</v>
      </c>
      <c r="P233" s="1">
        <f>SIMULIMO!U201</f>
        <v>6760.6206513677043</v>
      </c>
      <c r="Q233" s="1">
        <f>SIMULIMO!V201</f>
        <v>6477.6363623264233</v>
      </c>
      <c r="R233" s="1">
        <f>SIMULIMO!W201</f>
        <v>6182.2215098620718</v>
      </c>
      <c r="S233" s="1">
        <f>SIMULIMO!X201</f>
        <v>5873.897140473131</v>
      </c>
      <c r="T233" s="1">
        <f>SIMULIMO!Y201</f>
        <v>5766.700838879533</v>
      </c>
      <c r="U233" s="1">
        <f>SIMULIMO!Z201</f>
        <v>5856.2010933672518</v>
      </c>
      <c r="V233" s="1">
        <f>SIMULIMO!AA201</f>
        <v>5946.5963503998455</v>
      </c>
      <c r="W233" s="1">
        <f>SIMULIMO!AB201</f>
        <v>6037.8955600027602</v>
      </c>
      <c r="X233" s="1">
        <f>SIMULIMO!AC201</f>
        <v>6130.107761701709</v>
      </c>
      <c r="Y233" s="1">
        <f>SIMULIMO!AD201</f>
        <v>6223.2420854176444</v>
      </c>
      <c r="Z233" s="107">
        <f>SIMULIMO!AE198+SIMULIMO!AE201</f>
        <v>293465.33715708344</v>
      </c>
      <c r="AA233" s="1"/>
      <c r="AB233" s="1"/>
      <c r="AC233" s="1"/>
      <c r="AD233" s="1"/>
      <c r="AE233" s="1"/>
      <c r="AF233" s="1"/>
    </row>
    <row r="234" spans="2:32" x14ac:dyDescent="0.25">
      <c r="B234" s="105">
        <v>25</v>
      </c>
      <c r="C234" s="1">
        <f>SIMULIMO!H201</f>
        <v>-193032.62460989202</v>
      </c>
      <c r="D234" s="1">
        <f>SIMULIMO!I201</f>
        <v>7068.8823901079868</v>
      </c>
      <c r="E234" s="1">
        <f>SIMULIMO!J201</f>
        <v>7171.4044601079877</v>
      </c>
      <c r="F234" s="1">
        <f>SIMULIMO!K201</f>
        <v>7274.9517508079844</v>
      </c>
      <c r="G234" s="1">
        <f>SIMULIMO!L201</f>
        <v>7379.5345144149887</v>
      </c>
      <c r="H234" s="1">
        <f>SIMULIMO!M201</f>
        <v>7485.1631056580518</v>
      </c>
      <c r="I234" s="1">
        <f>SIMULIMO!N201</f>
        <v>7591.8479828135569</v>
      </c>
      <c r="J234" s="1">
        <f>SIMULIMO!O201</f>
        <v>7699.5997087406122</v>
      </c>
      <c r="K234" s="1">
        <f>SIMULIMO!P201</f>
        <v>7808.4289519269405</v>
      </c>
      <c r="L234" s="1">
        <f>SIMULIMO!Q201</f>
        <v>7777.2343128401781</v>
      </c>
      <c r="M234" s="1">
        <f>SIMULIMO!R201</f>
        <v>7539.521981282347</v>
      </c>
      <c r="N234" s="1">
        <f>SIMULIMO!S201</f>
        <v>7291.1268268138283</v>
      </c>
      <c r="O234" s="1">
        <f>SIMULIMO!T201</f>
        <v>7031.6358978187873</v>
      </c>
      <c r="P234" s="1">
        <f>SIMULIMO!U201</f>
        <v>6760.6206513677043</v>
      </c>
      <c r="Q234" s="1">
        <f>SIMULIMO!V201</f>
        <v>6477.6363623264233</v>
      </c>
      <c r="R234" s="1">
        <f>SIMULIMO!W201</f>
        <v>6182.2215098620718</v>
      </c>
      <c r="S234" s="1">
        <f>SIMULIMO!X201</f>
        <v>5873.897140473131</v>
      </c>
      <c r="T234" s="1">
        <f>SIMULIMO!Y201</f>
        <v>5766.700838879533</v>
      </c>
      <c r="U234" s="1">
        <f>SIMULIMO!Z201</f>
        <v>5856.2010933672518</v>
      </c>
      <c r="V234" s="1">
        <f>SIMULIMO!AA201</f>
        <v>5946.5963503998455</v>
      </c>
      <c r="W234" s="1">
        <f>SIMULIMO!AB201</f>
        <v>6037.8955600027602</v>
      </c>
      <c r="X234" s="1">
        <f>SIMULIMO!AC201</f>
        <v>6130.107761701709</v>
      </c>
      <c r="Y234" s="1">
        <f>SIMULIMO!AD201</f>
        <v>6223.2420854176444</v>
      </c>
      <c r="Z234" s="1">
        <f>SIMULIMO!AE201</f>
        <v>6317.3077523707434</v>
      </c>
      <c r="AA234" s="107">
        <f>SIMULIMO!AF198+SIMULIMO!AF201</f>
        <v>299486.25855466048</v>
      </c>
      <c r="AB234" s="1"/>
      <c r="AC234" s="1"/>
      <c r="AD234" s="1"/>
      <c r="AE234" s="1"/>
      <c r="AF234" s="1"/>
    </row>
    <row r="235" spans="2:32" x14ac:dyDescent="0.25">
      <c r="B235" s="105">
        <v>26</v>
      </c>
      <c r="C235" s="1">
        <f>SIMULIMO!H201</f>
        <v>-193032.62460989202</v>
      </c>
      <c r="D235" s="1">
        <f>SIMULIMO!I201</f>
        <v>7068.8823901079868</v>
      </c>
      <c r="E235" s="1">
        <f>SIMULIMO!J201</f>
        <v>7171.4044601079877</v>
      </c>
      <c r="F235" s="1">
        <f>SIMULIMO!K201</f>
        <v>7274.9517508079844</v>
      </c>
      <c r="G235" s="1">
        <f>SIMULIMO!L201</f>
        <v>7379.5345144149887</v>
      </c>
      <c r="H235" s="1">
        <f>SIMULIMO!M201</f>
        <v>7485.1631056580518</v>
      </c>
      <c r="I235" s="1">
        <f>SIMULIMO!N201</f>
        <v>7591.8479828135569</v>
      </c>
      <c r="J235" s="1">
        <f>SIMULIMO!O201</f>
        <v>7699.5997087406122</v>
      </c>
      <c r="K235" s="1">
        <f>SIMULIMO!P201</f>
        <v>7808.4289519269405</v>
      </c>
      <c r="L235" s="1">
        <f>SIMULIMO!Q201</f>
        <v>7777.2343128401781</v>
      </c>
      <c r="M235" s="1">
        <f>SIMULIMO!R201</f>
        <v>7539.521981282347</v>
      </c>
      <c r="N235" s="1">
        <f>SIMULIMO!S201</f>
        <v>7291.1268268138283</v>
      </c>
      <c r="O235" s="1">
        <f>SIMULIMO!T201</f>
        <v>7031.6358978187873</v>
      </c>
      <c r="P235" s="1">
        <f>SIMULIMO!U201</f>
        <v>6760.6206513677043</v>
      </c>
      <c r="Q235" s="1">
        <f>SIMULIMO!V201</f>
        <v>6477.6363623264233</v>
      </c>
      <c r="R235" s="1">
        <f>SIMULIMO!W201</f>
        <v>6182.2215098620718</v>
      </c>
      <c r="S235" s="1">
        <f>SIMULIMO!X201</f>
        <v>5873.897140473131</v>
      </c>
      <c r="T235" s="1">
        <f>SIMULIMO!Y201</f>
        <v>5766.700838879533</v>
      </c>
      <c r="U235" s="1">
        <f>SIMULIMO!Z201</f>
        <v>5856.2010933672518</v>
      </c>
      <c r="V235" s="1">
        <f>SIMULIMO!AA201</f>
        <v>5946.5963503998455</v>
      </c>
      <c r="W235" s="1">
        <f>SIMULIMO!AB201</f>
        <v>6037.8955600027602</v>
      </c>
      <c r="X235" s="1">
        <f>SIMULIMO!AC201</f>
        <v>6130.107761701709</v>
      </c>
      <c r="Y235" s="1">
        <f>SIMULIMO!AD201</f>
        <v>6223.2420854176444</v>
      </c>
      <c r="Z235" s="1">
        <f>SIMULIMO!AE201</f>
        <v>6317.3077523707434</v>
      </c>
      <c r="AA235" s="1">
        <f>SIMULIMO!AF201</f>
        <v>6412.3140759933731</v>
      </c>
      <c r="AB235" s="107">
        <f>SIMULIMO!AG198+SIMULIMO!AG201</f>
        <v>305709.57718000794</v>
      </c>
      <c r="AC235" s="1"/>
      <c r="AD235" s="1"/>
      <c r="AE235" s="1"/>
      <c r="AF235" s="1"/>
    </row>
    <row r="236" spans="2:32" x14ac:dyDescent="0.25">
      <c r="B236" s="105">
        <v>27</v>
      </c>
      <c r="C236" s="1">
        <f>SIMULIMO!H201</f>
        <v>-193032.62460989202</v>
      </c>
      <c r="D236" s="1">
        <f>SIMULIMO!I201</f>
        <v>7068.8823901079868</v>
      </c>
      <c r="E236" s="1">
        <f>SIMULIMO!J201</f>
        <v>7171.4044601079877</v>
      </c>
      <c r="F236" s="1">
        <f>SIMULIMO!K201</f>
        <v>7274.9517508079844</v>
      </c>
      <c r="G236" s="1">
        <f>SIMULIMO!L201</f>
        <v>7379.5345144149887</v>
      </c>
      <c r="H236" s="1">
        <f>SIMULIMO!M201</f>
        <v>7485.1631056580518</v>
      </c>
      <c r="I236" s="1">
        <f>SIMULIMO!N201</f>
        <v>7591.8479828135569</v>
      </c>
      <c r="J236" s="1">
        <f>SIMULIMO!O201</f>
        <v>7699.5997087406122</v>
      </c>
      <c r="K236" s="1">
        <f>SIMULIMO!P201</f>
        <v>7808.4289519269405</v>
      </c>
      <c r="L236" s="1">
        <f>SIMULIMO!Q201</f>
        <v>7777.2343128401781</v>
      </c>
      <c r="M236" s="1">
        <f>SIMULIMO!R201</f>
        <v>7539.521981282347</v>
      </c>
      <c r="N236" s="1">
        <f>SIMULIMO!S201</f>
        <v>7291.1268268138283</v>
      </c>
      <c r="O236" s="1">
        <f>SIMULIMO!T201</f>
        <v>7031.6358978187873</v>
      </c>
      <c r="P236" s="1">
        <f>SIMULIMO!U201</f>
        <v>6760.6206513677043</v>
      </c>
      <c r="Q236" s="1">
        <f>SIMULIMO!V201</f>
        <v>6477.6363623264233</v>
      </c>
      <c r="R236" s="1">
        <f>SIMULIMO!W201</f>
        <v>6182.2215098620718</v>
      </c>
      <c r="S236" s="1">
        <f>SIMULIMO!X201</f>
        <v>5873.897140473131</v>
      </c>
      <c r="T236" s="1">
        <f>SIMULIMO!Y201</f>
        <v>5766.700838879533</v>
      </c>
      <c r="U236" s="1">
        <f>SIMULIMO!Z201</f>
        <v>5856.2010933672518</v>
      </c>
      <c r="V236" s="1">
        <f>SIMULIMO!AA201</f>
        <v>5946.5963503998455</v>
      </c>
      <c r="W236" s="1">
        <f>SIMULIMO!AB201</f>
        <v>6037.8955600027602</v>
      </c>
      <c r="X236" s="1">
        <f>SIMULIMO!AC201</f>
        <v>6130.107761701709</v>
      </c>
      <c r="Y236" s="1">
        <f>SIMULIMO!AD201</f>
        <v>6223.2420854176444</v>
      </c>
      <c r="Z236" s="1">
        <f>SIMULIMO!AE201</f>
        <v>6317.3077523707434</v>
      </c>
      <c r="AA236" s="1">
        <f>SIMULIMO!AF201</f>
        <v>6412.3140759933731</v>
      </c>
      <c r="AB236" s="1">
        <f>SIMULIMO!AG201</f>
        <v>9491.5950727442469</v>
      </c>
      <c r="AC236" s="107">
        <f>SIMULIMO!AH198+SIMULIMO!AH201</f>
        <v>309069.97632145602</v>
      </c>
      <c r="AD236" s="1"/>
      <c r="AE236" s="1"/>
      <c r="AF236" s="1"/>
    </row>
    <row r="237" spans="2:32" x14ac:dyDescent="0.25">
      <c r="B237" s="105">
        <v>28</v>
      </c>
      <c r="C237" s="1">
        <f>SIMULIMO!H201</f>
        <v>-193032.62460989202</v>
      </c>
      <c r="D237" s="1">
        <f>SIMULIMO!I201</f>
        <v>7068.8823901079868</v>
      </c>
      <c r="E237" s="1">
        <f>SIMULIMO!J201</f>
        <v>7171.4044601079877</v>
      </c>
      <c r="F237" s="1">
        <f>SIMULIMO!K201</f>
        <v>7274.9517508079844</v>
      </c>
      <c r="G237" s="1">
        <f>SIMULIMO!L201</f>
        <v>7379.5345144149887</v>
      </c>
      <c r="H237" s="1">
        <f>SIMULIMO!M201</f>
        <v>7485.1631056580518</v>
      </c>
      <c r="I237" s="1">
        <f>SIMULIMO!N201</f>
        <v>7591.8479828135569</v>
      </c>
      <c r="J237" s="1">
        <f>SIMULIMO!O201</f>
        <v>7699.5997087406122</v>
      </c>
      <c r="K237" s="1">
        <f>SIMULIMO!P201</f>
        <v>7808.4289519269405</v>
      </c>
      <c r="L237" s="1">
        <f>SIMULIMO!Q201</f>
        <v>7777.2343128401781</v>
      </c>
      <c r="M237" s="1">
        <f>SIMULIMO!R201</f>
        <v>7539.521981282347</v>
      </c>
      <c r="N237" s="1">
        <f>SIMULIMO!S201</f>
        <v>7291.1268268138283</v>
      </c>
      <c r="O237" s="1">
        <f>SIMULIMO!T201</f>
        <v>7031.6358978187873</v>
      </c>
      <c r="P237" s="1">
        <f>SIMULIMO!U201</f>
        <v>6760.6206513677043</v>
      </c>
      <c r="Q237" s="1">
        <f>SIMULIMO!V201</f>
        <v>6477.6363623264233</v>
      </c>
      <c r="R237" s="1">
        <f>SIMULIMO!W201</f>
        <v>6182.2215098620718</v>
      </c>
      <c r="S237" s="1">
        <f>SIMULIMO!X201</f>
        <v>5873.897140473131</v>
      </c>
      <c r="T237" s="1">
        <f>SIMULIMO!Y201</f>
        <v>5766.700838879533</v>
      </c>
      <c r="U237" s="1">
        <f>SIMULIMO!Z201</f>
        <v>5856.2010933672518</v>
      </c>
      <c r="V237" s="1">
        <f>SIMULIMO!AA201</f>
        <v>5946.5963503998455</v>
      </c>
      <c r="W237" s="1">
        <f>SIMULIMO!AB201</f>
        <v>6037.8955600027602</v>
      </c>
      <c r="X237" s="1">
        <f>SIMULIMO!AC201</f>
        <v>6130.107761701709</v>
      </c>
      <c r="Y237" s="1">
        <f>SIMULIMO!AD201</f>
        <v>6223.2420854176444</v>
      </c>
      <c r="Z237" s="1">
        <f>SIMULIMO!AE201</f>
        <v>6317.3077523707434</v>
      </c>
      <c r="AA237" s="1">
        <f>SIMULIMO!AF201</f>
        <v>6412.3140759933731</v>
      </c>
      <c r="AB237" s="1">
        <f>SIMULIMO!AG201</f>
        <v>9491.5950727442469</v>
      </c>
      <c r="AC237" s="1">
        <f>SIMULIMO!AH201</f>
        <v>9588.5110234716867</v>
      </c>
      <c r="AD237" s="107">
        <f>SIMULIMO!AI198+SIMULIMO!AI201</f>
        <v>312552.44580321503</v>
      </c>
      <c r="AE237" s="1"/>
      <c r="AF237" s="1"/>
    </row>
    <row r="238" spans="2:32" x14ac:dyDescent="0.25">
      <c r="B238" s="105">
        <v>29</v>
      </c>
      <c r="C238" s="1">
        <f>SIMULIMO!H201</f>
        <v>-193032.62460989202</v>
      </c>
      <c r="D238" s="1">
        <f>SIMULIMO!I201</f>
        <v>7068.8823901079868</v>
      </c>
      <c r="E238" s="1">
        <f>SIMULIMO!J201</f>
        <v>7171.4044601079877</v>
      </c>
      <c r="F238" s="1">
        <f>SIMULIMO!K201</f>
        <v>7274.9517508079844</v>
      </c>
      <c r="G238" s="1">
        <f>SIMULIMO!L201</f>
        <v>7379.5345144149887</v>
      </c>
      <c r="H238" s="1">
        <f>SIMULIMO!M201</f>
        <v>7485.1631056580518</v>
      </c>
      <c r="I238" s="1">
        <f>SIMULIMO!N201</f>
        <v>7591.8479828135569</v>
      </c>
      <c r="J238" s="1">
        <f>SIMULIMO!O201</f>
        <v>7699.5997087406122</v>
      </c>
      <c r="K238" s="1">
        <f>SIMULIMO!P201</f>
        <v>7808.4289519269405</v>
      </c>
      <c r="L238" s="1">
        <f>SIMULIMO!Q201</f>
        <v>7777.2343128401781</v>
      </c>
      <c r="M238" s="1">
        <f>SIMULIMO!R201</f>
        <v>7539.521981282347</v>
      </c>
      <c r="N238" s="1">
        <f>SIMULIMO!S201</f>
        <v>7291.1268268138283</v>
      </c>
      <c r="O238" s="1">
        <f>SIMULIMO!T201</f>
        <v>7031.6358978187873</v>
      </c>
      <c r="P238" s="1">
        <f>SIMULIMO!U201</f>
        <v>6760.6206513677043</v>
      </c>
      <c r="Q238" s="1">
        <f>SIMULIMO!V201</f>
        <v>6477.6363623264233</v>
      </c>
      <c r="R238" s="1">
        <f>SIMULIMO!W201</f>
        <v>6182.2215098620718</v>
      </c>
      <c r="S238" s="1">
        <f>SIMULIMO!X201</f>
        <v>5873.897140473131</v>
      </c>
      <c r="T238" s="1">
        <f>SIMULIMO!Y201</f>
        <v>5766.700838879533</v>
      </c>
      <c r="U238" s="1">
        <f>SIMULIMO!Z201</f>
        <v>5856.2010933672518</v>
      </c>
      <c r="V238" s="1">
        <f>SIMULIMO!AA201</f>
        <v>5946.5963503998455</v>
      </c>
      <c r="W238" s="1">
        <f>SIMULIMO!AB201</f>
        <v>6037.8955600027602</v>
      </c>
      <c r="X238" s="1">
        <f>SIMULIMO!AC201</f>
        <v>6130.107761701709</v>
      </c>
      <c r="Y238" s="1">
        <f>SIMULIMO!AD201</f>
        <v>6223.2420854176444</v>
      </c>
      <c r="Z238" s="1">
        <f>SIMULIMO!AE201</f>
        <v>6317.3077523707434</v>
      </c>
      <c r="AA238" s="1">
        <f>SIMULIMO!AF201</f>
        <v>6412.3140759933731</v>
      </c>
      <c r="AB238" s="1">
        <f>SIMULIMO!AG201</f>
        <v>9491.5950727442469</v>
      </c>
      <c r="AC238" s="1">
        <f>SIMULIMO!AH201</f>
        <v>9588.5110234716867</v>
      </c>
      <c r="AD238" s="1">
        <f>SIMULIMO!AI201</f>
        <v>9686.3961337063993</v>
      </c>
      <c r="AE238" s="107">
        <f>SIMULIMO!AJ198+SIMULIMO!AJ201</f>
        <v>316158.67210337723</v>
      </c>
      <c r="AF238" s="1"/>
    </row>
    <row r="239" spans="2:32" x14ac:dyDescent="0.25">
      <c r="B239" s="105">
        <v>30</v>
      </c>
      <c r="C239" s="1">
        <f>SIMULIMO!H201</f>
        <v>-193032.62460989202</v>
      </c>
      <c r="D239" s="1">
        <f>SIMULIMO!I201</f>
        <v>7068.8823901079868</v>
      </c>
      <c r="E239" s="1">
        <f>SIMULIMO!J201</f>
        <v>7171.4044601079877</v>
      </c>
      <c r="F239" s="1">
        <f>SIMULIMO!K201</f>
        <v>7274.9517508079844</v>
      </c>
      <c r="G239" s="1">
        <f>SIMULIMO!L201</f>
        <v>7379.5345144149887</v>
      </c>
      <c r="H239" s="1">
        <f>SIMULIMO!M201</f>
        <v>7485.1631056580518</v>
      </c>
      <c r="I239" s="1">
        <f>SIMULIMO!N201</f>
        <v>7591.8479828135569</v>
      </c>
      <c r="J239" s="1">
        <f>SIMULIMO!O201</f>
        <v>7699.5997087406122</v>
      </c>
      <c r="K239" s="1">
        <f>SIMULIMO!P201</f>
        <v>7808.4289519269405</v>
      </c>
      <c r="L239" s="1">
        <f>SIMULIMO!Q201</f>
        <v>7777.2343128401781</v>
      </c>
      <c r="M239" s="1">
        <f>SIMULIMO!R201</f>
        <v>7539.521981282347</v>
      </c>
      <c r="N239" s="1">
        <f>SIMULIMO!S201</f>
        <v>7291.1268268138283</v>
      </c>
      <c r="O239" s="1">
        <f>SIMULIMO!T201</f>
        <v>7031.6358978187873</v>
      </c>
      <c r="P239" s="1">
        <f>SIMULIMO!U201</f>
        <v>6760.6206513677043</v>
      </c>
      <c r="Q239" s="1">
        <f>SIMULIMO!V201</f>
        <v>6477.6363623264233</v>
      </c>
      <c r="R239" s="1">
        <f>SIMULIMO!W201</f>
        <v>6182.2215098620718</v>
      </c>
      <c r="S239" s="1">
        <f>SIMULIMO!X201</f>
        <v>5873.897140473131</v>
      </c>
      <c r="T239" s="1">
        <f>SIMULIMO!Y201</f>
        <v>5766.700838879533</v>
      </c>
      <c r="U239" s="1">
        <f>SIMULIMO!Z201</f>
        <v>5856.2010933672518</v>
      </c>
      <c r="V239" s="1">
        <f>SIMULIMO!AA201</f>
        <v>5946.5963503998455</v>
      </c>
      <c r="W239" s="1">
        <f>SIMULIMO!AB201</f>
        <v>6037.8955600027602</v>
      </c>
      <c r="X239" s="1">
        <f>SIMULIMO!AC201</f>
        <v>6130.107761701709</v>
      </c>
      <c r="Y239" s="1">
        <f>SIMULIMO!AD201</f>
        <v>6223.2420854176444</v>
      </c>
      <c r="Z239" s="1">
        <f>SIMULIMO!AE201</f>
        <v>6317.3077523707434</v>
      </c>
      <c r="AA239" s="1">
        <f>SIMULIMO!AF201</f>
        <v>6412.3140759933731</v>
      </c>
      <c r="AB239" s="1">
        <f>SIMULIMO!AG201</f>
        <v>9491.5950727442469</v>
      </c>
      <c r="AC239" s="1">
        <f>SIMULIMO!AH201</f>
        <v>9588.5110234716867</v>
      </c>
      <c r="AD239" s="1">
        <f>SIMULIMO!AI201</f>
        <v>9686.3961337063993</v>
      </c>
      <c r="AE239" s="1">
        <f>SIMULIMO!AJ201</f>
        <v>9785.2600950434644</v>
      </c>
      <c r="AF239" s="107">
        <f>SIMULIMO!AK198+SIMULIMO!AK201</f>
        <v>319890.36322256236</v>
      </c>
    </row>
  </sheetData>
  <mergeCells count="2">
    <mergeCell ref="B2:AF2"/>
    <mergeCell ref="B4:AF4"/>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SIMULIMO</vt:lpstr>
      <vt:lpstr>GLOSSAIRE</vt:lpstr>
      <vt:lpstr>REGLES FISCALES</vt:lpstr>
      <vt:lpstr>TRI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Antoine CHARDIGNY</dc:creator>
  <cp:lastModifiedBy>Antoine CHARDIGNY</cp:lastModifiedBy>
  <dcterms:created xsi:type="dcterms:W3CDTF">2020-11-10T13:19:38Z</dcterms:created>
  <dcterms:modified xsi:type="dcterms:W3CDTF">2021-06-18T22:20:54Z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bb86df87-dacb-4920-a4ba-af274c2cb78f</vt:lpwstr>
  </property>
</Properties>
</file>