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nga\Documents\Ungulate paper\Analysis\scripts and data\"/>
    </mc:Choice>
  </mc:AlternateContent>
  <bookViews>
    <workbookView xWindow="8400" yWindow="1300" windowWidth="16480" windowHeight="9430" tabRatio="500" activeTab="1"/>
  </bookViews>
  <sheets>
    <sheet name="Sheet2" sheetId="2" r:id="rId1"/>
    <sheet name="Sheet1" sheetId="1" r:id="rId2"/>
    <sheet name="old and new counts" sheetId="3" r:id="rId3"/>
    <sheet name="new wt-based" sheetId="4" r:id="rId4"/>
    <sheet name="chi2 " sheetId="5" r:id="rId5"/>
    <sheet name="Sheet3" sheetId="6" r:id="rId6"/>
    <sheet name="random20" sheetId="7" r:id="rId7"/>
    <sheet name="fisher" sheetId="8" r:id="rId8"/>
    <sheet name="selectivity" sheetId="9" r:id="rId9"/>
    <sheet name="adj selectivity" sheetId="10" r:id="rId10"/>
    <sheet name="table" sheetId="11" r:id="rId11"/>
    <sheet name="Sheet4" sheetId="12" r:id="rId12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2" i="12" l="1"/>
  <c r="D41" i="12"/>
  <c r="D40" i="12"/>
  <c r="D39" i="12"/>
  <c r="S22" i="3"/>
  <c r="T22" i="3"/>
  <c r="U22" i="3"/>
  <c r="R23" i="3"/>
  <c r="T23" i="3"/>
  <c r="U23" i="3"/>
  <c r="T24" i="3"/>
  <c r="U24" i="3"/>
  <c r="T2" i="3"/>
  <c r="U2" i="3"/>
  <c r="T3" i="3"/>
  <c r="U3" i="3"/>
  <c r="T4" i="3"/>
  <c r="U4" i="3"/>
  <c r="R25" i="3"/>
  <c r="T25" i="3"/>
  <c r="U25" i="3"/>
  <c r="T26" i="3"/>
  <c r="U26" i="3"/>
  <c r="T27" i="3"/>
  <c r="U27" i="3"/>
  <c r="T28" i="3"/>
  <c r="U28" i="3"/>
  <c r="T30" i="3"/>
  <c r="U30" i="3"/>
  <c r="T20" i="3"/>
  <c r="U20" i="3"/>
  <c r="T18" i="3"/>
  <c r="U18" i="3"/>
  <c r="T19" i="3"/>
  <c r="U19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S16" i="3"/>
  <c r="T16" i="3"/>
  <c r="U16" i="3"/>
  <c r="T17" i="3"/>
  <c r="U17" i="3"/>
  <c r="S21" i="3"/>
  <c r="R21" i="3"/>
  <c r="U21" i="3"/>
  <c r="T21" i="3"/>
  <c r="F56" i="10"/>
  <c r="C56" i="10"/>
  <c r="D56" i="10"/>
  <c r="N56" i="10"/>
  <c r="E57" i="10"/>
  <c r="F57" i="10"/>
  <c r="C57" i="10"/>
  <c r="D57" i="10"/>
  <c r="N57" i="10"/>
  <c r="F58" i="10"/>
  <c r="C58" i="10"/>
  <c r="D58" i="10"/>
  <c r="N58" i="10"/>
  <c r="F55" i="10"/>
  <c r="C55" i="10"/>
  <c r="D55" i="10"/>
  <c r="N55" i="10"/>
  <c r="G55" i="10"/>
  <c r="G56" i="10"/>
  <c r="H55" i="10"/>
  <c r="J55" i="10"/>
  <c r="O55" i="10"/>
  <c r="P55" i="10"/>
  <c r="P56" i="10"/>
  <c r="G57" i="10"/>
  <c r="G58" i="10"/>
  <c r="O57" i="10"/>
  <c r="P57" i="10"/>
  <c r="P58" i="10"/>
  <c r="H56" i="10"/>
  <c r="H57" i="10"/>
  <c r="H58" i="10"/>
  <c r="C39" i="10"/>
  <c r="C66" i="10"/>
  <c r="D66" i="10"/>
  <c r="J66" i="10"/>
  <c r="K66" i="10"/>
  <c r="L66" i="10"/>
  <c r="C35" i="10"/>
  <c r="C67" i="10"/>
  <c r="D67" i="10"/>
  <c r="J67" i="10"/>
  <c r="K67" i="10"/>
  <c r="L67" i="10"/>
  <c r="M67" i="10"/>
  <c r="M66" i="10"/>
  <c r="C64" i="10"/>
  <c r="D64" i="10"/>
  <c r="J64" i="10"/>
  <c r="K64" i="10"/>
  <c r="L64" i="10"/>
  <c r="C65" i="10"/>
  <c r="D65" i="10"/>
  <c r="J65" i="10"/>
  <c r="K65" i="10"/>
  <c r="L65" i="10"/>
  <c r="M65" i="10"/>
  <c r="M64" i="10"/>
  <c r="E61" i="10"/>
  <c r="C61" i="10"/>
  <c r="D61" i="10"/>
  <c r="J61" i="10"/>
  <c r="F67" i="10"/>
  <c r="G67" i="10"/>
  <c r="F66" i="10"/>
  <c r="G66" i="10"/>
  <c r="H67" i="10"/>
  <c r="H66" i="10"/>
  <c r="F65" i="10"/>
  <c r="G65" i="10"/>
  <c r="F64" i="10"/>
  <c r="G64" i="10"/>
  <c r="H65" i="10"/>
  <c r="H64" i="10"/>
  <c r="E60" i="10"/>
  <c r="F60" i="10"/>
  <c r="C60" i="10"/>
  <c r="D60" i="10"/>
  <c r="G60" i="10"/>
  <c r="F61" i="10"/>
  <c r="G61" i="10"/>
  <c r="H60" i="10"/>
  <c r="F46" i="10"/>
  <c r="C46" i="10"/>
  <c r="D46" i="10"/>
  <c r="G46" i="10"/>
  <c r="H46" i="10"/>
  <c r="C62" i="10"/>
  <c r="E62" i="10"/>
  <c r="K60" i="10"/>
  <c r="J60" i="10"/>
  <c r="L60" i="10"/>
  <c r="K61" i="10"/>
  <c r="L61" i="10"/>
  <c r="M60" i="10"/>
  <c r="E32" i="10"/>
  <c r="E59" i="10"/>
  <c r="H61" i="10"/>
  <c r="K55" i="10"/>
  <c r="L55" i="10"/>
  <c r="J56" i="10"/>
  <c r="K56" i="10"/>
  <c r="L56" i="10"/>
  <c r="M55" i="10"/>
  <c r="C49" i="10"/>
  <c r="F23" i="10"/>
  <c r="D23" i="10"/>
  <c r="G23" i="10"/>
  <c r="M23" i="10"/>
  <c r="N23" i="10"/>
  <c r="O23" i="10"/>
  <c r="H23" i="10"/>
  <c r="J23" i="10"/>
  <c r="K23" i="10"/>
  <c r="L23" i="10"/>
  <c r="D19" i="10"/>
  <c r="D20" i="10"/>
  <c r="D21" i="10"/>
  <c r="D22" i="10"/>
  <c r="D24" i="10"/>
  <c r="D25" i="10"/>
  <c r="D26" i="10"/>
  <c r="D27" i="10"/>
  <c r="D28" i="10"/>
  <c r="D29" i="10"/>
  <c r="D30" i="10"/>
  <c r="D31" i="10"/>
  <c r="D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2" i="10"/>
  <c r="J57" i="10"/>
  <c r="K57" i="10"/>
  <c r="L57" i="10"/>
  <c r="J58" i="10"/>
  <c r="K58" i="10"/>
  <c r="L58" i="10"/>
  <c r="M58" i="10"/>
  <c r="M57" i="10"/>
  <c r="M56" i="10"/>
  <c r="J46" i="10"/>
  <c r="K46" i="10"/>
  <c r="L46" i="10"/>
  <c r="M31" i="10"/>
  <c r="C50" i="10"/>
  <c r="D50" i="10"/>
  <c r="J50" i="10"/>
  <c r="K50" i="10"/>
  <c r="L50" i="10"/>
  <c r="C51" i="10"/>
  <c r="D51" i="10"/>
  <c r="J51" i="10"/>
  <c r="K51" i="10"/>
  <c r="L51" i="10"/>
  <c r="C52" i="10"/>
  <c r="D52" i="10"/>
  <c r="J52" i="10"/>
  <c r="K52" i="10"/>
  <c r="L52" i="10"/>
  <c r="C53" i="10"/>
  <c r="D53" i="10"/>
  <c r="J53" i="10"/>
  <c r="K53" i="10"/>
  <c r="L53" i="10"/>
  <c r="M50" i="10"/>
  <c r="C47" i="10"/>
  <c r="D47" i="10"/>
  <c r="J47" i="10"/>
  <c r="K47" i="10"/>
  <c r="L47" i="10"/>
  <c r="C48" i="10"/>
  <c r="D48" i="10"/>
  <c r="J48" i="10"/>
  <c r="K48" i="10"/>
  <c r="L48" i="10"/>
  <c r="D49" i="10"/>
  <c r="J49" i="10"/>
  <c r="K49" i="10"/>
  <c r="L49" i="10"/>
  <c r="F51" i="10"/>
  <c r="G51" i="10"/>
  <c r="H51" i="10"/>
  <c r="F52" i="10"/>
  <c r="G52" i="10"/>
  <c r="H52" i="10"/>
  <c r="F53" i="10"/>
  <c r="G53" i="10"/>
  <c r="H53" i="10"/>
  <c r="F50" i="10"/>
  <c r="G50" i="10"/>
  <c r="H50" i="10"/>
  <c r="F47" i="10"/>
  <c r="G47" i="10"/>
  <c r="H47" i="10"/>
  <c r="F48" i="10"/>
  <c r="G48" i="10"/>
  <c r="H48" i="10"/>
  <c r="F49" i="10"/>
  <c r="G49" i="10"/>
  <c r="H49" i="10"/>
  <c r="F21" i="10"/>
  <c r="G21" i="10"/>
  <c r="H21" i="10"/>
  <c r="F9" i="10"/>
  <c r="G9" i="10"/>
  <c r="J31" i="10"/>
  <c r="K31" i="10"/>
  <c r="L31" i="10"/>
  <c r="F31" i="10"/>
  <c r="G31" i="10"/>
  <c r="H31" i="10"/>
  <c r="N31" i="10"/>
  <c r="O31" i="10"/>
  <c r="M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4" i="10"/>
  <c r="J25" i="10"/>
  <c r="J26" i="10"/>
  <c r="J27" i="10"/>
  <c r="J28" i="10"/>
  <c r="J29" i="10"/>
  <c r="J30" i="10"/>
  <c r="J2" i="10"/>
  <c r="K2" i="10"/>
  <c r="L2" i="10"/>
  <c r="M29" i="10"/>
  <c r="F29" i="10"/>
  <c r="G29" i="10"/>
  <c r="N29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4" i="10"/>
  <c r="M25" i="10"/>
  <c r="M26" i="10"/>
  <c r="M27" i="10"/>
  <c r="M28" i="10"/>
  <c r="M30" i="10"/>
  <c r="F3" i="10"/>
  <c r="G3" i="10"/>
  <c r="N3" i="10"/>
  <c r="O3" i="10"/>
  <c r="F4" i="10"/>
  <c r="G4" i="10"/>
  <c r="N4" i="10"/>
  <c r="O4" i="10"/>
  <c r="F5" i="10"/>
  <c r="G5" i="10"/>
  <c r="N5" i="10"/>
  <c r="O5" i="10"/>
  <c r="F6" i="10"/>
  <c r="G6" i="10"/>
  <c r="N6" i="10"/>
  <c r="O6" i="10"/>
  <c r="F7" i="10"/>
  <c r="G7" i="10"/>
  <c r="N7" i="10"/>
  <c r="O7" i="10"/>
  <c r="F8" i="10"/>
  <c r="G8" i="10"/>
  <c r="N8" i="10"/>
  <c r="O8" i="10"/>
  <c r="N9" i="10"/>
  <c r="O9" i="10"/>
  <c r="F10" i="10"/>
  <c r="G10" i="10"/>
  <c r="N10" i="10"/>
  <c r="O10" i="10"/>
  <c r="F11" i="10"/>
  <c r="G11" i="10"/>
  <c r="N11" i="10"/>
  <c r="O11" i="10"/>
  <c r="F12" i="10"/>
  <c r="G12" i="10"/>
  <c r="N12" i="10"/>
  <c r="O12" i="10"/>
  <c r="F13" i="10"/>
  <c r="G13" i="10"/>
  <c r="N13" i="10"/>
  <c r="O13" i="10"/>
  <c r="F14" i="10"/>
  <c r="G14" i="10"/>
  <c r="N14" i="10"/>
  <c r="O14" i="10"/>
  <c r="F15" i="10"/>
  <c r="G15" i="10"/>
  <c r="N15" i="10"/>
  <c r="O15" i="10"/>
  <c r="F16" i="10"/>
  <c r="G16" i="10"/>
  <c r="N16" i="10"/>
  <c r="O16" i="10"/>
  <c r="F17" i="10"/>
  <c r="G17" i="10"/>
  <c r="N17" i="10"/>
  <c r="O17" i="10"/>
  <c r="F18" i="10"/>
  <c r="G18" i="10"/>
  <c r="N18" i="10"/>
  <c r="O18" i="10"/>
  <c r="F19" i="10"/>
  <c r="G19" i="10"/>
  <c r="N19" i="10"/>
  <c r="O19" i="10"/>
  <c r="F20" i="10"/>
  <c r="G20" i="10"/>
  <c r="N20" i="10"/>
  <c r="O20" i="10"/>
  <c r="N21" i="10"/>
  <c r="O21" i="10"/>
  <c r="F22" i="10"/>
  <c r="G22" i="10"/>
  <c r="N22" i="10"/>
  <c r="O22" i="10"/>
  <c r="F24" i="10"/>
  <c r="G24" i="10"/>
  <c r="N24" i="10"/>
  <c r="O24" i="10"/>
  <c r="F25" i="10"/>
  <c r="G25" i="10"/>
  <c r="N25" i="10"/>
  <c r="O25" i="10"/>
  <c r="F26" i="10"/>
  <c r="G26" i="10"/>
  <c r="N26" i="10"/>
  <c r="O26" i="10"/>
  <c r="F27" i="10"/>
  <c r="G27" i="10"/>
  <c r="N27" i="10"/>
  <c r="O27" i="10"/>
  <c r="F28" i="10"/>
  <c r="G28" i="10"/>
  <c r="N28" i="10"/>
  <c r="O28" i="10"/>
  <c r="O29" i="10"/>
  <c r="F30" i="10"/>
  <c r="G30" i="10"/>
  <c r="N30" i="10"/>
  <c r="O30" i="10"/>
  <c r="F2" i="10"/>
  <c r="G2" i="10"/>
  <c r="O2" i="10"/>
  <c r="N2" i="10"/>
  <c r="H18" i="10"/>
  <c r="H19" i="10"/>
  <c r="H20" i="10"/>
  <c r="H22" i="10"/>
  <c r="H24" i="10"/>
  <c r="H25" i="10"/>
  <c r="H26" i="10"/>
  <c r="H27" i="10"/>
  <c r="H28" i="10"/>
  <c r="H29" i="10"/>
  <c r="H30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K30" i="10"/>
  <c r="L30" i="10"/>
  <c r="K29" i="10"/>
  <c r="L29" i="10"/>
  <c r="K28" i="10"/>
  <c r="L28" i="10"/>
  <c r="K27" i="10"/>
  <c r="L27" i="10"/>
  <c r="K26" i="10"/>
  <c r="L26" i="10"/>
  <c r="K25" i="10"/>
  <c r="L25" i="10"/>
  <c r="K24" i="10"/>
  <c r="L24" i="10"/>
  <c r="K22" i="10"/>
  <c r="L22" i="10"/>
  <c r="K21" i="10"/>
  <c r="L21" i="10"/>
  <c r="K20" i="10"/>
  <c r="L20" i="10"/>
  <c r="K19" i="10"/>
  <c r="L19" i="10"/>
  <c r="K18" i="10"/>
  <c r="L18" i="10"/>
  <c r="K17" i="10"/>
  <c r="L17" i="10"/>
  <c r="K16" i="10"/>
  <c r="L16" i="10"/>
  <c r="K15" i="10"/>
  <c r="L15" i="10"/>
  <c r="K14" i="10"/>
  <c r="L14" i="10"/>
  <c r="K13" i="10"/>
  <c r="L13" i="10"/>
  <c r="K12" i="10"/>
  <c r="L12" i="10"/>
  <c r="K11" i="10"/>
  <c r="L11" i="10"/>
  <c r="K10" i="10"/>
  <c r="L10" i="10"/>
  <c r="K9" i="10"/>
  <c r="L9" i="10"/>
  <c r="K8" i="10"/>
  <c r="L8" i="10"/>
  <c r="K7" i="10"/>
  <c r="L7" i="10"/>
  <c r="K6" i="10"/>
  <c r="L6" i="10"/>
  <c r="K5" i="10"/>
  <c r="L5" i="10"/>
  <c r="K4" i="10"/>
  <c r="L4" i="10"/>
  <c r="K3" i="10"/>
  <c r="L3" i="10"/>
  <c r="K11" i="5"/>
  <c r="K9" i="5"/>
  <c r="K8" i="5"/>
  <c r="F2" i="5"/>
  <c r="D87" i="5"/>
  <c r="D91" i="5"/>
  <c r="D84" i="5"/>
  <c r="D96" i="5"/>
  <c r="D83" i="5"/>
  <c r="D82" i="5"/>
  <c r="D98" i="5"/>
  <c r="D100" i="5"/>
  <c r="D88" i="5"/>
  <c r="D99" i="5"/>
  <c r="D97" i="5"/>
  <c r="D92" i="5"/>
  <c r="D86" i="5"/>
  <c r="D81" i="5"/>
  <c r="D101" i="5"/>
  <c r="D80" i="5"/>
  <c r="D79" i="5"/>
  <c r="D78" i="5"/>
  <c r="D77" i="5"/>
  <c r="D95" i="5"/>
  <c r="D90" i="5"/>
  <c r="D93" i="5"/>
  <c r="D89" i="5"/>
  <c r="D102" i="5"/>
  <c r="F54" i="5"/>
  <c r="D61" i="5"/>
  <c r="D60" i="5"/>
  <c r="D66" i="5"/>
  <c r="D63" i="5"/>
  <c r="D59" i="5"/>
  <c r="D69" i="5"/>
  <c r="D62" i="5"/>
  <c r="D58" i="5"/>
  <c r="D72" i="5"/>
  <c r="D68" i="5"/>
  <c r="D76" i="5"/>
  <c r="D57" i="5"/>
  <c r="D71" i="5"/>
  <c r="D56" i="5"/>
  <c r="D70" i="5"/>
  <c r="D67" i="5"/>
  <c r="D73" i="5"/>
  <c r="D55" i="5"/>
  <c r="D65" i="5"/>
  <c r="D64" i="5"/>
  <c r="D75" i="5"/>
  <c r="D74" i="5"/>
  <c r="F27" i="5"/>
  <c r="F50" i="5"/>
  <c r="H50" i="5"/>
  <c r="F40" i="5"/>
  <c r="H40" i="5"/>
  <c r="F34" i="5"/>
  <c r="H34" i="5"/>
  <c r="F39" i="5"/>
  <c r="G39" i="5"/>
  <c r="H39" i="5"/>
  <c r="F35" i="5"/>
  <c r="G35" i="5"/>
  <c r="H35" i="5"/>
  <c r="F41" i="5"/>
  <c r="G41" i="5"/>
  <c r="H41" i="5"/>
  <c r="F46" i="5"/>
  <c r="G46" i="5"/>
  <c r="H46" i="5"/>
  <c r="F45" i="5"/>
  <c r="G45" i="5"/>
  <c r="H45" i="5"/>
  <c r="F42" i="5"/>
  <c r="G42" i="5"/>
  <c r="H42" i="5"/>
  <c r="F43" i="5"/>
  <c r="G43" i="5"/>
  <c r="H43" i="5"/>
  <c r="F48" i="5"/>
  <c r="G48" i="5"/>
  <c r="H48" i="5"/>
  <c r="F51" i="5"/>
  <c r="G51" i="5"/>
  <c r="H51" i="5"/>
  <c r="F37" i="5"/>
  <c r="G37" i="5"/>
  <c r="H37" i="5"/>
  <c r="F49" i="5"/>
  <c r="G49" i="5"/>
  <c r="H49" i="5"/>
  <c r="F44" i="5"/>
  <c r="G44" i="5"/>
  <c r="H44" i="5"/>
  <c r="F47" i="5"/>
  <c r="G47" i="5"/>
  <c r="H47" i="5"/>
  <c r="F38" i="5"/>
  <c r="G38" i="5"/>
  <c r="H38" i="5"/>
  <c r="F36" i="5"/>
  <c r="G36" i="5"/>
  <c r="H36" i="5"/>
  <c r="F52" i="5"/>
  <c r="G52" i="5"/>
  <c r="H52" i="5"/>
  <c r="I53" i="5"/>
  <c r="G27" i="5"/>
  <c r="H27" i="5"/>
  <c r="F24" i="5"/>
  <c r="G24" i="5"/>
  <c r="H24" i="5"/>
  <c r="F17" i="5"/>
  <c r="G17" i="5"/>
  <c r="H17" i="5"/>
  <c r="F20" i="5"/>
  <c r="G20" i="5"/>
  <c r="H20" i="5"/>
  <c r="F10" i="5"/>
  <c r="G10" i="5"/>
  <c r="H10" i="5"/>
  <c r="F8" i="5"/>
  <c r="G8" i="5"/>
  <c r="H8" i="5"/>
  <c r="F23" i="5"/>
  <c r="G23" i="5"/>
  <c r="H23" i="5"/>
  <c r="F28" i="5"/>
  <c r="G28" i="5"/>
  <c r="H28" i="5"/>
  <c r="F25" i="5"/>
  <c r="G25" i="5"/>
  <c r="H25" i="5"/>
  <c r="F14" i="5"/>
  <c r="G14" i="5"/>
  <c r="H14" i="5"/>
  <c r="F22" i="5"/>
  <c r="G22" i="5"/>
  <c r="H22" i="5"/>
  <c r="F3" i="5"/>
  <c r="G3" i="5"/>
  <c r="H3" i="5"/>
  <c r="F16" i="5"/>
  <c r="G16" i="5"/>
  <c r="H16" i="5"/>
  <c r="F26" i="5"/>
  <c r="G26" i="5"/>
  <c r="H26" i="5"/>
  <c r="F15" i="5"/>
  <c r="G15" i="5"/>
  <c r="H15" i="5"/>
  <c r="F12" i="5"/>
  <c r="G12" i="5"/>
  <c r="H12" i="5"/>
  <c r="F4" i="5"/>
  <c r="G4" i="5"/>
  <c r="H4" i="5"/>
  <c r="F18" i="5"/>
  <c r="G18" i="5"/>
  <c r="H18" i="5"/>
  <c r="F21" i="5"/>
  <c r="G21" i="5"/>
  <c r="H21" i="5"/>
  <c r="F5" i="5"/>
  <c r="G5" i="5"/>
  <c r="H5" i="5"/>
  <c r="F11" i="5"/>
  <c r="G11" i="5"/>
  <c r="H11" i="5"/>
  <c r="F9" i="5"/>
  <c r="G9" i="5"/>
  <c r="H9" i="5"/>
  <c r="G2" i="5"/>
  <c r="H2" i="5"/>
  <c r="F6" i="5"/>
  <c r="G6" i="5"/>
  <c r="H6" i="5"/>
  <c r="F19" i="5"/>
  <c r="G19" i="5"/>
  <c r="H19" i="5"/>
  <c r="F13" i="5"/>
  <c r="G13" i="5"/>
  <c r="H13" i="5"/>
  <c r="F7" i="5"/>
  <c r="G7" i="5"/>
  <c r="H7" i="5"/>
  <c r="I33" i="5"/>
  <c r="G29" i="5"/>
  <c r="H29" i="5"/>
  <c r="E30" i="5"/>
  <c r="G30" i="5"/>
  <c r="H30" i="5"/>
  <c r="G31" i="5"/>
  <c r="H31" i="5"/>
  <c r="G32" i="5"/>
  <c r="H32" i="5"/>
  <c r="G33" i="5"/>
  <c r="H33" i="5"/>
  <c r="F53" i="5"/>
  <c r="H53" i="5"/>
  <c r="C47" i="5"/>
  <c r="C49" i="5"/>
  <c r="C51" i="5"/>
  <c r="C48" i="5"/>
  <c r="C50" i="5"/>
  <c r="C26" i="5"/>
  <c r="C25" i="5"/>
  <c r="C28" i="5"/>
  <c r="C27" i="5"/>
  <c r="H15" i="8"/>
  <c r="H16" i="8"/>
  <c r="H24" i="8"/>
  <c r="E24" i="8"/>
  <c r="F3" i="8"/>
  <c r="I3" i="8"/>
  <c r="I4" i="8"/>
  <c r="I5" i="8"/>
  <c r="I6" i="8"/>
  <c r="I7" i="8"/>
  <c r="I8" i="8"/>
  <c r="I9" i="8"/>
  <c r="I10" i="8"/>
  <c r="F2" i="8"/>
  <c r="I2" i="8"/>
  <c r="E4" i="8"/>
  <c r="E5" i="8"/>
  <c r="E6" i="8"/>
  <c r="E7" i="8"/>
  <c r="E8" i="8"/>
  <c r="E9" i="8"/>
  <c r="E10" i="8"/>
  <c r="E3" i="8"/>
  <c r="F11" i="8"/>
  <c r="B11" i="8"/>
  <c r="F47" i="4"/>
  <c r="F46" i="4"/>
  <c r="F45" i="4"/>
  <c r="G44" i="4"/>
  <c r="F44" i="4"/>
  <c r="G43" i="4"/>
  <c r="F43" i="4"/>
  <c r="F42" i="4"/>
  <c r="G42" i="4"/>
  <c r="F34" i="4"/>
  <c r="F24" i="4"/>
  <c r="F25" i="4"/>
  <c r="J14" i="4"/>
  <c r="J16" i="4"/>
  <c r="G36" i="4"/>
  <c r="G37" i="4"/>
  <c r="J2" i="4"/>
  <c r="J3" i="4"/>
  <c r="J5" i="4"/>
  <c r="J6" i="4"/>
  <c r="J7" i="4"/>
  <c r="J8" i="4"/>
  <c r="F36" i="4"/>
  <c r="F37" i="4"/>
  <c r="I13" i="4"/>
  <c r="I14" i="4"/>
  <c r="I15" i="4"/>
  <c r="I16" i="4"/>
  <c r="I18" i="4"/>
  <c r="G38" i="4"/>
  <c r="G39" i="4"/>
  <c r="I2" i="4"/>
  <c r="I3" i="4"/>
  <c r="I4" i="4"/>
  <c r="I5" i="4"/>
  <c r="F38" i="4"/>
  <c r="F39" i="4"/>
  <c r="J21" i="4"/>
  <c r="I21" i="4"/>
  <c r="H6" i="4"/>
  <c r="H7" i="4"/>
  <c r="H8" i="4"/>
  <c r="H9" i="4"/>
  <c r="H10" i="4"/>
  <c r="H11" i="4"/>
  <c r="H12" i="4"/>
  <c r="F41" i="4"/>
  <c r="H13" i="4"/>
  <c r="H14" i="4"/>
  <c r="H15" i="4"/>
  <c r="H16" i="4"/>
  <c r="H17" i="4"/>
  <c r="H18" i="4"/>
  <c r="G40" i="4"/>
  <c r="G2" i="4"/>
  <c r="H2" i="4"/>
  <c r="H3" i="4"/>
  <c r="G4" i="4"/>
  <c r="H4" i="4"/>
  <c r="H5" i="4"/>
  <c r="F40" i="4"/>
  <c r="G34" i="4"/>
  <c r="G35" i="4"/>
  <c r="F35" i="4"/>
  <c r="G32" i="4"/>
  <c r="G33" i="4"/>
  <c r="F32" i="4"/>
  <c r="F33" i="4"/>
  <c r="H19" i="4"/>
  <c r="H20" i="4"/>
  <c r="H21" i="4"/>
  <c r="G22" i="4"/>
  <c r="F22" i="4"/>
  <c r="H22" i="4"/>
  <c r="G31" i="4"/>
  <c r="F31" i="4"/>
  <c r="G30" i="4"/>
  <c r="F30" i="4"/>
  <c r="G23" i="4"/>
  <c r="F23" i="4"/>
  <c r="K36" i="3"/>
  <c r="L41" i="3"/>
  <c r="L40" i="3"/>
  <c r="K50" i="3"/>
  <c r="K52" i="3"/>
  <c r="K49" i="3"/>
  <c r="I49" i="3"/>
  <c r="I48" i="3"/>
  <c r="K48" i="3"/>
  <c r="J48" i="3"/>
  <c r="K47" i="3"/>
  <c r="J47" i="3"/>
  <c r="H18" i="3"/>
  <c r="H19" i="3"/>
  <c r="H23" i="3"/>
  <c r="K43" i="3"/>
  <c r="K44" i="3"/>
  <c r="H21" i="3"/>
  <c r="J43" i="3"/>
  <c r="J44" i="3"/>
  <c r="J42" i="3"/>
  <c r="K42" i="3"/>
  <c r="H67" i="3"/>
  <c r="L67" i="3"/>
  <c r="L69" i="3"/>
  <c r="L68" i="3"/>
  <c r="I35" i="3"/>
  <c r="H9" i="3"/>
  <c r="H10" i="3"/>
  <c r="H11" i="3"/>
  <c r="H12" i="3"/>
  <c r="H13" i="3"/>
  <c r="H14" i="3"/>
  <c r="H15" i="3"/>
  <c r="H16" i="3"/>
  <c r="H17" i="3"/>
  <c r="H33" i="3"/>
  <c r="I61" i="3"/>
  <c r="I63" i="3"/>
  <c r="I62" i="3"/>
  <c r="I64" i="3"/>
  <c r="H62" i="3"/>
  <c r="H64" i="3"/>
  <c r="H61" i="3"/>
  <c r="H63" i="3"/>
  <c r="I58" i="3"/>
  <c r="I60" i="3"/>
  <c r="I57" i="3"/>
  <c r="I59" i="3"/>
  <c r="H57" i="3"/>
  <c r="H59" i="3"/>
  <c r="H58" i="3"/>
  <c r="H60" i="3"/>
  <c r="I76" i="3"/>
  <c r="I69" i="3"/>
  <c r="I77" i="3"/>
  <c r="I78" i="3"/>
  <c r="I71" i="3"/>
  <c r="I79" i="3"/>
  <c r="I80" i="3"/>
  <c r="I81" i="3"/>
  <c r="I82" i="3"/>
  <c r="I67" i="3"/>
  <c r="I75" i="3"/>
  <c r="H68" i="3"/>
  <c r="H76" i="3"/>
  <c r="H69" i="3"/>
  <c r="H77" i="3"/>
  <c r="H70" i="3"/>
  <c r="H78" i="3"/>
  <c r="H79" i="3"/>
  <c r="H80" i="3"/>
  <c r="H81" i="3"/>
  <c r="H82" i="3"/>
  <c r="H75" i="3"/>
  <c r="I50" i="3"/>
  <c r="I52" i="3"/>
  <c r="H50" i="3"/>
  <c r="H52" i="3"/>
  <c r="H49" i="3"/>
  <c r="H51" i="3"/>
  <c r="I51" i="3"/>
  <c r="H43" i="3"/>
  <c r="H44" i="3"/>
  <c r="H47" i="3"/>
  <c r="H48" i="3"/>
  <c r="I47" i="3"/>
  <c r="I43" i="3"/>
  <c r="I44" i="3"/>
  <c r="I42" i="3"/>
  <c r="H42" i="3"/>
  <c r="H34" i="3"/>
  <c r="I22" i="7"/>
  <c r="I23" i="7"/>
  <c r="F53" i="9"/>
  <c r="M53" i="9"/>
  <c r="N53" i="9"/>
  <c r="F2" i="9"/>
  <c r="M2" i="9"/>
  <c r="F35" i="9"/>
  <c r="M35" i="9"/>
  <c r="N35" i="9"/>
  <c r="O35" i="9"/>
  <c r="F36" i="9"/>
  <c r="M36" i="9"/>
  <c r="N36" i="9"/>
  <c r="O36" i="9"/>
  <c r="F37" i="9"/>
  <c r="M37" i="9"/>
  <c r="N37" i="9"/>
  <c r="O37" i="9"/>
  <c r="F38" i="9"/>
  <c r="M38" i="9"/>
  <c r="N38" i="9"/>
  <c r="O38" i="9"/>
  <c r="F39" i="9"/>
  <c r="M39" i="9"/>
  <c r="N39" i="9"/>
  <c r="O39" i="9"/>
  <c r="F40" i="9"/>
  <c r="M40" i="9"/>
  <c r="N40" i="9"/>
  <c r="O40" i="9"/>
  <c r="F41" i="9"/>
  <c r="M41" i="9"/>
  <c r="N41" i="9"/>
  <c r="O41" i="9"/>
  <c r="F42" i="9"/>
  <c r="M42" i="9"/>
  <c r="N42" i="9"/>
  <c r="O42" i="9"/>
  <c r="F43" i="9"/>
  <c r="M43" i="9"/>
  <c r="N43" i="9"/>
  <c r="O43" i="9"/>
  <c r="F44" i="9"/>
  <c r="M44" i="9"/>
  <c r="N44" i="9"/>
  <c r="O44" i="9"/>
  <c r="F45" i="9"/>
  <c r="M45" i="9"/>
  <c r="N45" i="9"/>
  <c r="O45" i="9"/>
  <c r="F46" i="9"/>
  <c r="M46" i="9"/>
  <c r="N46" i="9"/>
  <c r="O46" i="9"/>
  <c r="F47" i="9"/>
  <c r="M47" i="9"/>
  <c r="N47" i="9"/>
  <c r="O47" i="9"/>
  <c r="F48" i="9"/>
  <c r="M48" i="9"/>
  <c r="N48" i="9"/>
  <c r="O48" i="9"/>
  <c r="F49" i="9"/>
  <c r="M49" i="9"/>
  <c r="N49" i="9"/>
  <c r="O49" i="9"/>
  <c r="F50" i="9"/>
  <c r="M50" i="9"/>
  <c r="N50" i="9"/>
  <c r="O50" i="9"/>
  <c r="F51" i="9"/>
  <c r="M51" i="9"/>
  <c r="N51" i="9"/>
  <c r="O51" i="9"/>
  <c r="F52" i="9"/>
  <c r="M52" i="9"/>
  <c r="N52" i="9"/>
  <c r="O52" i="9"/>
  <c r="O53" i="9"/>
  <c r="F34" i="9"/>
  <c r="M34" i="9"/>
  <c r="O34" i="9"/>
  <c r="N34" i="9"/>
  <c r="F3" i="9"/>
  <c r="M3" i="9"/>
  <c r="N3" i="9"/>
  <c r="O3" i="9"/>
  <c r="F4" i="9"/>
  <c r="M4" i="9"/>
  <c r="N4" i="9"/>
  <c r="O4" i="9"/>
  <c r="F5" i="9"/>
  <c r="M5" i="9"/>
  <c r="N5" i="9"/>
  <c r="O5" i="9"/>
  <c r="F6" i="9"/>
  <c r="M6" i="9"/>
  <c r="N6" i="9"/>
  <c r="O6" i="9"/>
  <c r="F7" i="9"/>
  <c r="M7" i="9"/>
  <c r="N7" i="9"/>
  <c r="O7" i="9"/>
  <c r="F8" i="9"/>
  <c r="M8" i="9"/>
  <c r="N8" i="9"/>
  <c r="O8" i="9"/>
  <c r="F9" i="9"/>
  <c r="M9" i="9"/>
  <c r="N9" i="9"/>
  <c r="O9" i="9"/>
  <c r="F10" i="9"/>
  <c r="M10" i="9"/>
  <c r="N10" i="9"/>
  <c r="O10" i="9"/>
  <c r="F11" i="9"/>
  <c r="M11" i="9"/>
  <c r="N11" i="9"/>
  <c r="O11" i="9"/>
  <c r="F12" i="9"/>
  <c r="M12" i="9"/>
  <c r="N12" i="9"/>
  <c r="O12" i="9"/>
  <c r="F13" i="9"/>
  <c r="M13" i="9"/>
  <c r="N13" i="9"/>
  <c r="O13" i="9"/>
  <c r="F14" i="9"/>
  <c r="M14" i="9"/>
  <c r="N14" i="9"/>
  <c r="O14" i="9"/>
  <c r="F15" i="9"/>
  <c r="M15" i="9"/>
  <c r="N15" i="9"/>
  <c r="O15" i="9"/>
  <c r="F16" i="9"/>
  <c r="M16" i="9"/>
  <c r="N16" i="9"/>
  <c r="O16" i="9"/>
  <c r="F17" i="9"/>
  <c r="M17" i="9"/>
  <c r="N17" i="9"/>
  <c r="O17" i="9"/>
  <c r="F18" i="9"/>
  <c r="M18" i="9"/>
  <c r="N18" i="9"/>
  <c r="O18" i="9"/>
  <c r="F19" i="9"/>
  <c r="M19" i="9"/>
  <c r="N19" i="9"/>
  <c r="O19" i="9"/>
  <c r="F20" i="9"/>
  <c r="M20" i="9"/>
  <c r="N20" i="9"/>
  <c r="O20" i="9"/>
  <c r="F21" i="9"/>
  <c r="M21" i="9"/>
  <c r="N21" i="9"/>
  <c r="O21" i="9"/>
  <c r="F22" i="9"/>
  <c r="M22" i="9"/>
  <c r="N22" i="9"/>
  <c r="O22" i="9"/>
  <c r="F23" i="9"/>
  <c r="M23" i="9"/>
  <c r="N23" i="9"/>
  <c r="O23" i="9"/>
  <c r="F24" i="9"/>
  <c r="M24" i="9"/>
  <c r="N24" i="9"/>
  <c r="O24" i="9"/>
  <c r="F25" i="9"/>
  <c r="M25" i="9"/>
  <c r="N25" i="9"/>
  <c r="O25" i="9"/>
  <c r="F26" i="9"/>
  <c r="M26" i="9"/>
  <c r="N26" i="9"/>
  <c r="O26" i="9"/>
  <c r="F27" i="9"/>
  <c r="M27" i="9"/>
  <c r="N27" i="9"/>
  <c r="O27" i="9"/>
  <c r="F28" i="9"/>
  <c r="M28" i="9"/>
  <c r="N28" i="9"/>
  <c r="O28" i="9"/>
  <c r="F29" i="9"/>
  <c r="M29" i="9"/>
  <c r="N29" i="9"/>
  <c r="O29" i="9"/>
  <c r="F30" i="9"/>
  <c r="M30" i="9"/>
  <c r="N30" i="9"/>
  <c r="O30" i="9"/>
  <c r="F31" i="9"/>
  <c r="M31" i="9"/>
  <c r="N31" i="9"/>
  <c r="O31" i="9"/>
  <c r="F32" i="9"/>
  <c r="M32" i="9"/>
  <c r="N32" i="9"/>
  <c r="O32" i="9"/>
  <c r="F33" i="9"/>
  <c r="M33" i="9"/>
  <c r="N33" i="9"/>
  <c r="O33" i="9"/>
  <c r="O2" i="9"/>
  <c r="N2" i="9"/>
  <c r="D48" i="9"/>
  <c r="J48" i="9"/>
  <c r="D34" i="9"/>
  <c r="J34" i="9"/>
  <c r="D2" i="9"/>
  <c r="J2" i="9"/>
  <c r="D42" i="9"/>
  <c r="J42" i="9"/>
  <c r="D35" i="9"/>
  <c r="J35" i="9"/>
  <c r="K35" i="9"/>
  <c r="L35" i="9"/>
  <c r="D36" i="9"/>
  <c r="J36" i="9"/>
  <c r="K36" i="9"/>
  <c r="L36" i="9"/>
  <c r="D37" i="9"/>
  <c r="J37" i="9"/>
  <c r="K37" i="9"/>
  <c r="L37" i="9"/>
  <c r="D38" i="9"/>
  <c r="J38" i="9"/>
  <c r="K38" i="9"/>
  <c r="L38" i="9"/>
  <c r="D39" i="9"/>
  <c r="J39" i="9"/>
  <c r="K39" i="9"/>
  <c r="L39" i="9"/>
  <c r="D40" i="9"/>
  <c r="J40" i="9"/>
  <c r="K40" i="9"/>
  <c r="L40" i="9"/>
  <c r="D41" i="9"/>
  <c r="J41" i="9"/>
  <c r="K41" i="9"/>
  <c r="L41" i="9"/>
  <c r="K42" i="9"/>
  <c r="L42" i="9"/>
  <c r="D43" i="9"/>
  <c r="J43" i="9"/>
  <c r="K43" i="9"/>
  <c r="L43" i="9"/>
  <c r="D44" i="9"/>
  <c r="J44" i="9"/>
  <c r="K44" i="9"/>
  <c r="L44" i="9"/>
  <c r="D45" i="9"/>
  <c r="J45" i="9"/>
  <c r="K45" i="9"/>
  <c r="L45" i="9"/>
  <c r="D46" i="9"/>
  <c r="J46" i="9"/>
  <c r="K46" i="9"/>
  <c r="L46" i="9"/>
  <c r="D47" i="9"/>
  <c r="J47" i="9"/>
  <c r="K47" i="9"/>
  <c r="L47" i="9"/>
  <c r="K48" i="9"/>
  <c r="L48" i="9"/>
  <c r="D49" i="9"/>
  <c r="J49" i="9"/>
  <c r="K49" i="9"/>
  <c r="L49" i="9"/>
  <c r="D50" i="9"/>
  <c r="J50" i="9"/>
  <c r="K50" i="9"/>
  <c r="L50" i="9"/>
  <c r="D51" i="9"/>
  <c r="J51" i="9"/>
  <c r="K51" i="9"/>
  <c r="L51" i="9"/>
  <c r="D52" i="9"/>
  <c r="J52" i="9"/>
  <c r="K52" i="9"/>
  <c r="L52" i="9"/>
  <c r="D53" i="9"/>
  <c r="J53" i="9"/>
  <c r="K53" i="9"/>
  <c r="L53" i="9"/>
  <c r="K34" i="9"/>
  <c r="L34" i="9"/>
  <c r="K2" i="9"/>
  <c r="D3" i="9"/>
  <c r="J3" i="9"/>
  <c r="K3" i="9"/>
  <c r="L3" i="9"/>
  <c r="D4" i="9"/>
  <c r="J4" i="9"/>
  <c r="K4" i="9"/>
  <c r="L4" i="9"/>
  <c r="D5" i="9"/>
  <c r="J5" i="9"/>
  <c r="K5" i="9"/>
  <c r="L5" i="9"/>
  <c r="D6" i="9"/>
  <c r="J6" i="9"/>
  <c r="K6" i="9"/>
  <c r="L6" i="9"/>
  <c r="D7" i="9"/>
  <c r="J7" i="9"/>
  <c r="K7" i="9"/>
  <c r="L7" i="9"/>
  <c r="D8" i="9"/>
  <c r="J8" i="9"/>
  <c r="K8" i="9"/>
  <c r="L8" i="9"/>
  <c r="D9" i="9"/>
  <c r="J9" i="9"/>
  <c r="K9" i="9"/>
  <c r="L9" i="9"/>
  <c r="D10" i="9"/>
  <c r="J10" i="9"/>
  <c r="K10" i="9"/>
  <c r="L10" i="9"/>
  <c r="D11" i="9"/>
  <c r="J11" i="9"/>
  <c r="K11" i="9"/>
  <c r="L11" i="9"/>
  <c r="D12" i="9"/>
  <c r="J12" i="9"/>
  <c r="K12" i="9"/>
  <c r="L12" i="9"/>
  <c r="D13" i="9"/>
  <c r="J13" i="9"/>
  <c r="K13" i="9"/>
  <c r="L13" i="9"/>
  <c r="D14" i="9"/>
  <c r="J14" i="9"/>
  <c r="K14" i="9"/>
  <c r="L14" i="9"/>
  <c r="D15" i="9"/>
  <c r="J15" i="9"/>
  <c r="K15" i="9"/>
  <c r="L15" i="9"/>
  <c r="D16" i="9"/>
  <c r="J16" i="9"/>
  <c r="K16" i="9"/>
  <c r="L16" i="9"/>
  <c r="D17" i="9"/>
  <c r="J17" i="9"/>
  <c r="K17" i="9"/>
  <c r="L17" i="9"/>
  <c r="D18" i="9"/>
  <c r="J18" i="9"/>
  <c r="K18" i="9"/>
  <c r="L18" i="9"/>
  <c r="D19" i="9"/>
  <c r="J19" i="9"/>
  <c r="K19" i="9"/>
  <c r="L19" i="9"/>
  <c r="D20" i="9"/>
  <c r="J20" i="9"/>
  <c r="K20" i="9"/>
  <c r="L20" i="9"/>
  <c r="D21" i="9"/>
  <c r="J21" i="9"/>
  <c r="K21" i="9"/>
  <c r="L21" i="9"/>
  <c r="D22" i="9"/>
  <c r="J22" i="9"/>
  <c r="K22" i="9"/>
  <c r="L22" i="9"/>
  <c r="D23" i="9"/>
  <c r="J23" i="9"/>
  <c r="K23" i="9"/>
  <c r="L23" i="9"/>
  <c r="D24" i="9"/>
  <c r="J24" i="9"/>
  <c r="K24" i="9"/>
  <c r="L24" i="9"/>
  <c r="D25" i="9"/>
  <c r="J25" i="9"/>
  <c r="K25" i="9"/>
  <c r="L25" i="9"/>
  <c r="D26" i="9"/>
  <c r="J26" i="9"/>
  <c r="K26" i="9"/>
  <c r="L26" i="9"/>
  <c r="D27" i="9"/>
  <c r="J27" i="9"/>
  <c r="K27" i="9"/>
  <c r="L27" i="9"/>
  <c r="D28" i="9"/>
  <c r="J28" i="9"/>
  <c r="K28" i="9"/>
  <c r="L28" i="9"/>
  <c r="D29" i="9"/>
  <c r="J29" i="9"/>
  <c r="K29" i="9"/>
  <c r="L29" i="9"/>
  <c r="D30" i="9"/>
  <c r="J30" i="9"/>
  <c r="K30" i="9"/>
  <c r="L30" i="9"/>
  <c r="D31" i="9"/>
  <c r="J31" i="9"/>
  <c r="K31" i="9"/>
  <c r="L31" i="9"/>
  <c r="D32" i="9"/>
  <c r="J32" i="9"/>
  <c r="K32" i="9"/>
  <c r="L32" i="9"/>
  <c r="D33" i="9"/>
  <c r="J33" i="9"/>
  <c r="K33" i="9"/>
  <c r="L33" i="9"/>
  <c r="L2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34" i="9"/>
  <c r="H34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2" i="9"/>
  <c r="H2" i="9"/>
  <c r="L21" i="1"/>
  <c r="L22" i="1"/>
  <c r="L23" i="1"/>
  <c r="L24" i="1"/>
  <c r="L25" i="1"/>
  <c r="L26" i="1"/>
  <c r="F9" i="1"/>
  <c r="J9" i="1"/>
  <c r="F33" i="1"/>
  <c r="F32" i="1"/>
  <c r="F31" i="1"/>
  <c r="F26" i="1"/>
  <c r="E12" i="1"/>
  <c r="E13" i="1"/>
  <c r="E14" i="1"/>
  <c r="E15" i="1"/>
  <c r="E16" i="1"/>
  <c r="E17" i="1"/>
  <c r="E18" i="1"/>
  <c r="F18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J18" i="1"/>
  <c r="G20" i="2"/>
  <c r="G23" i="2"/>
  <c r="G18" i="2"/>
  <c r="G16" i="2"/>
  <c r="G12" i="2"/>
  <c r="G8" i="2"/>
  <c r="G5" i="2"/>
  <c r="D48" i="6"/>
  <c r="E48" i="6"/>
  <c r="C48" i="6"/>
  <c r="B48" i="6"/>
  <c r="D47" i="6"/>
  <c r="E47" i="6"/>
  <c r="C47" i="6"/>
  <c r="B47" i="6"/>
  <c r="D46" i="6"/>
  <c r="E46" i="6"/>
  <c r="C46" i="6"/>
  <c r="B46" i="6"/>
  <c r="D45" i="6"/>
  <c r="E45" i="6"/>
  <c r="C45" i="6"/>
  <c r="B45" i="6"/>
  <c r="D44" i="6"/>
  <c r="E44" i="6"/>
  <c r="C44" i="6"/>
  <c r="B44" i="6"/>
  <c r="D43" i="6"/>
  <c r="E43" i="6"/>
  <c r="C43" i="6"/>
  <c r="B43" i="6"/>
  <c r="I38" i="6"/>
  <c r="J38" i="6"/>
  <c r="I39" i="6"/>
  <c r="J39" i="6"/>
  <c r="H39" i="6"/>
  <c r="H38" i="6"/>
  <c r="G38" i="6"/>
  <c r="D33" i="6"/>
  <c r="E33" i="6"/>
  <c r="D34" i="6"/>
  <c r="E34" i="6"/>
  <c r="D35" i="6"/>
  <c r="E35" i="6"/>
  <c r="D36" i="6"/>
  <c r="E36" i="6"/>
  <c r="D37" i="6"/>
  <c r="E37" i="6"/>
  <c r="C37" i="6"/>
  <c r="B37" i="6"/>
  <c r="C36" i="6"/>
  <c r="B36" i="6"/>
  <c r="C35" i="6"/>
  <c r="B35" i="6"/>
  <c r="C34" i="6"/>
  <c r="B34" i="6"/>
  <c r="C33" i="6"/>
  <c r="B33" i="6"/>
  <c r="D32" i="6"/>
  <c r="E32" i="6"/>
  <c r="C32" i="6"/>
  <c r="B32" i="6"/>
  <c r="P46" i="12"/>
  <c r="K47" i="12"/>
  <c r="P47" i="12"/>
  <c r="K48" i="12"/>
  <c r="P48" i="12"/>
  <c r="K45" i="12"/>
  <c r="P45" i="12"/>
  <c r="L45" i="12"/>
  <c r="N45" i="12"/>
  <c r="M46" i="12"/>
  <c r="M47" i="12"/>
  <c r="M48" i="12"/>
  <c r="M45" i="12"/>
  <c r="L46" i="12"/>
  <c r="N46" i="12"/>
  <c r="L47" i="12"/>
  <c r="N47" i="12"/>
  <c r="L48" i="12"/>
  <c r="N48" i="12"/>
  <c r="E12" i="12"/>
  <c r="E6" i="12"/>
  <c r="E14" i="12"/>
  <c r="E17" i="12"/>
  <c r="E15" i="12"/>
  <c r="E8" i="12"/>
  <c r="E13" i="12"/>
  <c r="E2" i="12"/>
  <c r="E9" i="12"/>
  <c r="E3" i="12"/>
  <c r="E10" i="12"/>
  <c r="E4" i="12"/>
  <c r="E7" i="12"/>
  <c r="E5" i="12"/>
  <c r="E11" i="12"/>
  <c r="E32" i="12"/>
  <c r="E23" i="12"/>
  <c r="E18" i="12"/>
  <c r="E22" i="12"/>
  <c r="E19" i="12"/>
  <c r="E25" i="12"/>
  <c r="E28" i="12"/>
  <c r="E27" i="12"/>
  <c r="E26" i="12"/>
  <c r="E30" i="12"/>
  <c r="E21" i="12"/>
  <c r="E31" i="12"/>
  <c r="E29" i="12"/>
  <c r="E20" i="12"/>
  <c r="E24" i="12"/>
  <c r="E16" i="12"/>
  <c r="C37" i="11"/>
  <c r="D37" i="11"/>
  <c r="E37" i="11"/>
  <c r="F37" i="11"/>
  <c r="I37" i="11"/>
  <c r="B37" i="11"/>
  <c r="C19" i="11"/>
  <c r="D19" i="11"/>
  <c r="E19" i="11"/>
  <c r="F19" i="11"/>
  <c r="I19" i="11"/>
  <c r="B19" i="11"/>
</calcChain>
</file>

<file path=xl/sharedStrings.xml><?xml version="1.0" encoding="utf-8"?>
<sst xmlns="http://schemas.openxmlformats.org/spreadsheetml/2006/main" count="1616" uniqueCount="718">
  <si>
    <t>TRTR</t>
    <phoneticPr fontId="2" type="noConversion"/>
  </si>
  <si>
    <t>Nature Adult</t>
    <phoneticPr fontId="2" type="noConversion"/>
  </si>
  <si>
    <t>Triphasia trifolia</t>
    <phoneticPr fontId="2" type="noConversion"/>
  </si>
  <si>
    <t>POOLED</t>
    <phoneticPr fontId="2" type="noConversion"/>
  </si>
  <si>
    <t>EXOTIC</t>
    <phoneticPr fontId="2" type="noConversion"/>
  </si>
  <si>
    <t>ANAO N</t>
    <phoneticPr fontId="2" type="noConversion"/>
  </si>
  <si>
    <t>RITD GATE</t>
    <phoneticPr fontId="2" type="noConversion"/>
  </si>
  <si>
    <t>RITD GATE</t>
    <phoneticPr fontId="2" type="noConversion"/>
  </si>
  <si>
    <t>EXOTIC</t>
    <phoneticPr fontId="2" type="noConversion"/>
  </si>
  <si>
    <t>NATIVE</t>
    <phoneticPr fontId="2" type="noConversion"/>
  </si>
  <si>
    <t>Scat (u)</t>
    <phoneticPr fontId="2" type="noConversion"/>
  </si>
  <si>
    <t>unknown CHOD?</t>
    <phoneticPr fontId="2" type="noConversion"/>
  </si>
  <si>
    <t>Ritd grid</t>
    <phoneticPr fontId="2" type="noConversion"/>
  </si>
  <si>
    <t>Scat</t>
    <phoneticPr fontId="2" type="noConversion"/>
  </si>
  <si>
    <t>Nature</t>
    <phoneticPr fontId="2" type="noConversion"/>
  </si>
  <si>
    <t>MOCI</t>
    <phoneticPr fontId="2" type="noConversion"/>
  </si>
  <si>
    <t>FIPR</t>
    <phoneticPr fontId="2" type="noConversion"/>
  </si>
  <si>
    <t>CHOD</t>
    <phoneticPr fontId="2" type="noConversion"/>
  </si>
  <si>
    <t>CAPA</t>
    <phoneticPr fontId="2" type="noConversion"/>
  </si>
  <si>
    <t>COGR</t>
    <phoneticPr fontId="2" type="noConversion"/>
  </si>
  <si>
    <t>(15 small, 4 big)</t>
    <phoneticPr fontId="2" type="noConversion"/>
  </si>
  <si>
    <t>(60 small, 5 big)</t>
    <phoneticPr fontId="2" type="noConversion"/>
  </si>
  <si>
    <t>pig4</t>
    <phoneticPr fontId="2" type="noConversion"/>
  </si>
  <si>
    <t>nonnative per g</t>
    <phoneticPr fontId="2" type="noConversion"/>
  </si>
  <si>
    <t>rainy per g</t>
    <phoneticPr fontId="2" type="noConversion"/>
  </si>
  <si>
    <t>Chromolaena</t>
    <phoneticPr fontId="2" type="noConversion"/>
  </si>
  <si>
    <t>(22 big, 23 small)</t>
    <phoneticPr fontId="2" type="noConversion"/>
  </si>
  <si>
    <t>SS21</t>
    <phoneticPr fontId="2" type="noConversion"/>
  </si>
  <si>
    <t>in # of scats R</t>
    <phoneticPr fontId="2" type="noConversion"/>
  </si>
  <si>
    <t>in # scats A</t>
    <phoneticPr fontId="2" type="noConversion"/>
  </si>
  <si>
    <t>AGMA</t>
  </si>
  <si>
    <t>FLIN</t>
  </si>
  <si>
    <t>MOCI</t>
  </si>
  <si>
    <t>FIPR</t>
  </si>
  <si>
    <t>CHOD</t>
  </si>
  <si>
    <t>CAPA</t>
  </si>
  <si>
    <t>RITD GATE</t>
  </si>
  <si>
    <t>FITI</t>
  </si>
  <si>
    <t>Trisiropsis</t>
  </si>
  <si>
    <t>PAFO</t>
  </si>
  <si>
    <t>Ipomea triloba</t>
  </si>
  <si>
    <t>Polypodium scolopendria?</t>
  </si>
  <si>
    <t>grass</t>
  </si>
  <si>
    <t>LELE</t>
  </si>
  <si>
    <t>unknown3</t>
    <phoneticPr fontId="2" type="noConversion"/>
  </si>
  <si>
    <t>(80 small, 7 big)</t>
    <phoneticPr fontId="2" type="noConversion"/>
  </si>
  <si>
    <t>(7 big, 9 small)</t>
    <phoneticPr fontId="2" type="noConversion"/>
  </si>
  <si>
    <t>#scats</t>
    <phoneticPr fontId="2" type="noConversion"/>
  </si>
  <si>
    <t>avg</t>
    <phoneticPr fontId="2" type="noConversion"/>
  </si>
  <si>
    <t>stdev</t>
    <phoneticPr fontId="2" type="noConversion"/>
  </si>
  <si>
    <t>sterr</t>
    <phoneticPr fontId="2" type="noConversion"/>
  </si>
  <si>
    <t>native</t>
    <phoneticPr fontId="2" type="noConversion"/>
  </si>
  <si>
    <t>#spp</t>
    <phoneticPr fontId="2" type="noConversion"/>
  </si>
  <si>
    <t>Morinda</t>
    <phoneticPr fontId="2" type="noConversion"/>
  </si>
  <si>
    <t>pig5</t>
    <phoneticPr fontId="2" type="noConversion"/>
  </si>
  <si>
    <t>Eugenia reinwardtiana</t>
  </si>
  <si>
    <t>Eugenia reinwardtiana</t>
    <phoneticPr fontId="2" type="noConversion"/>
  </si>
  <si>
    <t>Carica papaya</t>
  </si>
  <si>
    <t>Carica papaya</t>
    <phoneticPr fontId="2" type="noConversion"/>
  </si>
  <si>
    <t>Ficus tinctoria</t>
  </si>
  <si>
    <t>Flagellaria indicus</t>
  </si>
  <si>
    <t>Morinda citrifolia</t>
  </si>
  <si>
    <t>Aglaia mariannensis</t>
  </si>
  <si>
    <t>Chromolaena odorata</t>
  </si>
  <si>
    <t>Leucaena leucocephala</t>
  </si>
  <si>
    <t>stdev per g</t>
    <phoneticPr fontId="2" type="noConversion"/>
  </si>
  <si>
    <t>per g</t>
    <phoneticPr fontId="2" type="noConversion"/>
  </si>
  <si>
    <t>sterr per g</t>
    <phoneticPr fontId="2" type="noConversion"/>
  </si>
  <si>
    <t>Anao grid</t>
    <phoneticPr fontId="2" type="noConversion"/>
  </si>
  <si>
    <t>Race Frag</t>
    <phoneticPr fontId="2" type="noConversion"/>
  </si>
  <si>
    <t>SS12</t>
    <phoneticPr fontId="2" type="noConversion"/>
  </si>
  <si>
    <t>SS13</t>
    <phoneticPr fontId="2" type="noConversion"/>
  </si>
  <si>
    <t>SS14</t>
    <phoneticPr fontId="2" type="noConversion"/>
  </si>
  <si>
    <t>SS15</t>
    <phoneticPr fontId="2" type="noConversion"/>
  </si>
  <si>
    <t>SS16</t>
    <phoneticPr fontId="2" type="noConversion"/>
  </si>
  <si>
    <t>SS17</t>
    <phoneticPr fontId="2" type="noConversion"/>
  </si>
  <si>
    <t>Passiflora (I)</t>
    <phoneticPr fontId="2" type="noConversion"/>
  </si>
  <si>
    <t>Chromolaena (I)</t>
    <phoneticPr fontId="2" type="noConversion"/>
  </si>
  <si>
    <t>stdev native</t>
    <phoneticPr fontId="2" type="noConversion"/>
  </si>
  <si>
    <t>native per g</t>
    <phoneticPr fontId="2" type="noConversion"/>
  </si>
  <si>
    <t>MOCI</t>
    <phoneticPr fontId="2" type="noConversion"/>
  </si>
  <si>
    <t>CAPA</t>
    <phoneticPr fontId="2" type="noConversion"/>
  </si>
  <si>
    <t>Count 10/20</t>
    <phoneticPr fontId="2" type="noConversion"/>
  </si>
  <si>
    <t>red vine (COGR?)</t>
    <phoneticPr fontId="2" type="noConversion"/>
  </si>
  <si>
    <t>Pteris tripartata</t>
  </si>
  <si>
    <t>CYMI</t>
  </si>
  <si>
    <t>PSMA</t>
  </si>
  <si>
    <t>OCMA</t>
  </si>
  <si>
    <t>Jasminum</t>
  </si>
  <si>
    <t>Nervillia</t>
  </si>
  <si>
    <t>MIMI</t>
  </si>
  <si>
    <t>Asplenium polyodon</t>
  </si>
  <si>
    <t>PATE</t>
  </si>
  <si>
    <t>TRTR</t>
  </si>
  <si>
    <t>COGR</t>
  </si>
  <si>
    <t>POSC</t>
  </si>
  <si>
    <t>MAOD</t>
  </si>
  <si>
    <t>EURE</t>
  </si>
  <si>
    <t>Asplenium nidus</t>
  </si>
  <si>
    <t>GUMA</t>
  </si>
  <si>
    <t>NEOP</t>
  </si>
  <si>
    <t>SS4</t>
    <phoneticPr fontId="2" type="noConversion"/>
  </si>
  <si>
    <t>unknown</t>
    <phoneticPr fontId="2" type="noConversion"/>
  </si>
  <si>
    <t>Morinda (N)</t>
    <phoneticPr fontId="2" type="noConversion"/>
  </si>
  <si>
    <t>Ficus (N)</t>
    <phoneticPr fontId="2" type="noConversion"/>
  </si>
  <si>
    <t>SS2</t>
    <phoneticPr fontId="2" type="noConversion"/>
  </si>
  <si>
    <t>old</t>
    <phoneticPr fontId="2" type="noConversion"/>
  </si>
  <si>
    <t>SS3</t>
    <phoneticPr fontId="2" type="noConversion"/>
  </si>
  <si>
    <t>NEOP</t>
    <phoneticPr fontId="2" type="noConversion"/>
  </si>
  <si>
    <t>Nervillia</t>
    <phoneticPr fontId="2" type="noConversion"/>
  </si>
  <si>
    <t>OCMA</t>
    <phoneticPr fontId="2" type="noConversion"/>
  </si>
  <si>
    <t>unknown1</t>
    <phoneticPr fontId="2" type="noConversion"/>
  </si>
  <si>
    <t>Tristiropsis obtusangula</t>
    <phoneticPr fontId="2" type="noConversion"/>
  </si>
  <si>
    <t>Χ2</t>
    <phoneticPr fontId="2" type="noConversion"/>
  </si>
  <si>
    <t>ui</t>
    <phoneticPr fontId="2" type="noConversion"/>
  </si>
  <si>
    <t>oi</t>
    <phoneticPr fontId="2" type="noConversion"/>
  </si>
  <si>
    <t>m</t>
    <phoneticPr fontId="2" type="noConversion"/>
  </si>
  <si>
    <t>π</t>
    <phoneticPr fontId="2" type="noConversion"/>
  </si>
  <si>
    <t>w</t>
    <phoneticPr fontId="2" type="noConversion"/>
  </si>
  <si>
    <t>Jasminum</t>
    <phoneticPr fontId="2" type="noConversion"/>
  </si>
  <si>
    <t>SS19</t>
    <phoneticPr fontId="2" type="noConversion"/>
  </si>
  <si>
    <t>SS20</t>
    <phoneticPr fontId="2" type="noConversion"/>
  </si>
  <si>
    <t>Leucaena (I)</t>
    <phoneticPr fontId="2" type="noConversion"/>
  </si>
  <si>
    <t>CAPA</t>
    <phoneticPr fontId="2" type="noConversion"/>
  </si>
  <si>
    <t>Momordica</t>
    <phoneticPr fontId="2" type="noConversion"/>
  </si>
  <si>
    <t>NEOP</t>
    <phoneticPr fontId="2" type="noConversion"/>
  </si>
  <si>
    <t>CAPA</t>
    <phoneticPr fontId="2" type="noConversion"/>
  </si>
  <si>
    <t>PASU</t>
    <phoneticPr fontId="2" type="noConversion"/>
  </si>
  <si>
    <t>PATE</t>
    <phoneticPr fontId="2" type="noConversion"/>
  </si>
  <si>
    <t>PROB</t>
    <phoneticPr fontId="2" type="noConversion"/>
  </si>
  <si>
    <t>PSMA</t>
    <phoneticPr fontId="2" type="noConversion"/>
  </si>
  <si>
    <t>TAMO</t>
    <phoneticPr fontId="2" type="noConversion"/>
  </si>
  <si>
    <t>TRTR</t>
    <phoneticPr fontId="2" type="noConversion"/>
  </si>
  <si>
    <t>Site</t>
    <phoneticPr fontId="2" type="noConversion"/>
  </si>
  <si>
    <t>Total</t>
    <phoneticPr fontId="2" type="noConversion"/>
  </si>
  <si>
    <t>Seedling Count</t>
    <phoneticPr fontId="2" type="noConversion"/>
  </si>
  <si>
    <t>Adult Count</t>
    <phoneticPr fontId="2" type="noConversion"/>
  </si>
  <si>
    <t>RITD GATE</t>
    <phoneticPr fontId="2" type="noConversion"/>
  </si>
  <si>
    <t>AGMA</t>
    <phoneticPr fontId="2" type="noConversion"/>
  </si>
  <si>
    <t>CHOD</t>
    <phoneticPr fontId="2" type="noConversion"/>
  </si>
  <si>
    <t>EURE</t>
    <phoneticPr fontId="2" type="noConversion"/>
  </si>
  <si>
    <t>FIPR</t>
    <phoneticPr fontId="2" type="noConversion"/>
  </si>
  <si>
    <t>FITI</t>
    <phoneticPr fontId="2" type="noConversion"/>
  </si>
  <si>
    <t>GUMA</t>
    <phoneticPr fontId="2" type="noConversion"/>
  </si>
  <si>
    <t>Ipomea triloba</t>
    <phoneticPr fontId="2" type="noConversion"/>
  </si>
  <si>
    <t>RITD GATE</t>
    <phoneticPr fontId="2" type="noConversion"/>
  </si>
  <si>
    <t>MOCI</t>
    <phoneticPr fontId="2" type="noConversion"/>
  </si>
  <si>
    <t>PAFO</t>
    <phoneticPr fontId="2" type="noConversion"/>
  </si>
  <si>
    <t>RITD GATE</t>
    <phoneticPr fontId="2" type="noConversion"/>
  </si>
  <si>
    <t>PSMA</t>
    <phoneticPr fontId="2" type="noConversion"/>
  </si>
  <si>
    <t>RITD GATE</t>
    <phoneticPr fontId="2" type="noConversion"/>
  </si>
  <si>
    <t>Trisiropsis</t>
    <phoneticPr fontId="2" type="noConversion"/>
  </si>
  <si>
    <t>RITD GATE</t>
    <phoneticPr fontId="2" type="noConversion"/>
  </si>
  <si>
    <t>MAOD</t>
    <phoneticPr fontId="2" type="noConversion"/>
  </si>
  <si>
    <t>MATH</t>
    <phoneticPr fontId="2" type="noConversion"/>
  </si>
  <si>
    <t>MIMI</t>
    <phoneticPr fontId="2" type="noConversion"/>
  </si>
  <si>
    <t>old</t>
    <phoneticPr fontId="2" type="noConversion"/>
  </si>
  <si>
    <t>old</t>
    <phoneticPr fontId="2" type="noConversion"/>
  </si>
  <si>
    <t>CM2</t>
    <phoneticPr fontId="2" type="noConversion"/>
  </si>
  <si>
    <t>Ritd pig highway</t>
    <phoneticPr fontId="2" type="noConversion"/>
  </si>
  <si>
    <t>CM3</t>
    <phoneticPr fontId="2" type="noConversion"/>
  </si>
  <si>
    <t>CM4</t>
    <phoneticPr fontId="2" type="noConversion"/>
  </si>
  <si>
    <t>(obs/exp)^2/exp</t>
    <phoneticPr fontId="2" type="noConversion"/>
  </si>
  <si>
    <t>SS24</t>
    <phoneticPr fontId="2" type="noConversion"/>
  </si>
  <si>
    <t>SS25</t>
    <phoneticPr fontId="2" type="noConversion"/>
  </si>
  <si>
    <t>Anao grid</t>
    <phoneticPr fontId="2" type="noConversion"/>
  </si>
  <si>
    <t>MOCI</t>
    <phoneticPr fontId="2" type="noConversion"/>
  </si>
  <si>
    <t>SWITCHBACKS</t>
    <phoneticPr fontId="2" type="noConversion"/>
  </si>
  <si>
    <t>AGMA</t>
    <phoneticPr fontId="2" type="noConversion"/>
  </si>
  <si>
    <t>SWITCHBACKS</t>
    <phoneticPr fontId="2" type="noConversion"/>
  </si>
  <si>
    <t>CHOD</t>
    <phoneticPr fontId="2" type="noConversion"/>
  </si>
  <si>
    <t>CHOD</t>
    <phoneticPr fontId="2" type="noConversion"/>
  </si>
  <si>
    <t xml:space="preserve">Conyza </t>
    <phoneticPr fontId="2" type="noConversion"/>
  </si>
  <si>
    <t>(12 large, 131? Small)</t>
    <phoneticPr fontId="2" type="noConversion"/>
  </si>
  <si>
    <t>(6 huge, 10 small)</t>
    <phoneticPr fontId="2" type="noConversion"/>
  </si>
  <si>
    <t>Ritd swbks</t>
  </si>
  <si>
    <t>pig5</t>
  </si>
  <si>
    <t>pig14</t>
  </si>
  <si>
    <t>Leucaena</t>
  </si>
  <si>
    <t>pig16</t>
  </si>
  <si>
    <t>pig17</t>
  </si>
  <si>
    <t>pig23</t>
  </si>
  <si>
    <t>Passiflora</t>
  </si>
  <si>
    <t>pig25</t>
  </si>
  <si>
    <t>dry per g</t>
    <phoneticPr fontId="2" type="noConversion"/>
  </si>
  <si>
    <t>NA</t>
    <phoneticPr fontId="2" type="noConversion"/>
  </si>
  <si>
    <t>tot g</t>
    <phoneticPr fontId="2" type="noConversion"/>
  </si>
  <si>
    <t>avg g</t>
    <phoneticPr fontId="2" type="noConversion"/>
  </si>
  <si>
    <t>stdev g</t>
    <phoneticPr fontId="2" type="noConversion"/>
  </si>
  <si>
    <t>sterr g</t>
    <phoneticPr fontId="2" type="noConversion"/>
  </si>
  <si>
    <t>SS5</t>
    <phoneticPr fontId="2" type="noConversion"/>
  </si>
  <si>
    <t>S. Blas (n=3)</t>
    <phoneticPr fontId="2" type="noConversion"/>
  </si>
  <si>
    <t>Ritd Swbks (n=2)</t>
    <phoneticPr fontId="2" type="noConversion"/>
  </si>
  <si>
    <t>Ritd swbks</t>
    <phoneticPr fontId="2" type="noConversion"/>
  </si>
  <si>
    <t>?</t>
    <phoneticPr fontId="2" type="noConversion"/>
  </si>
  <si>
    <t>Morinda</t>
    <phoneticPr fontId="2" type="noConversion"/>
  </si>
  <si>
    <t>Carica</t>
    <phoneticPr fontId="2" type="noConversion"/>
  </si>
  <si>
    <t>sterr</t>
    <phoneticPr fontId="2" type="noConversion"/>
  </si>
  <si>
    <t>FIPR</t>
    <phoneticPr fontId="2" type="noConversion"/>
  </si>
  <si>
    <t>FIPR</t>
    <phoneticPr fontId="2" type="noConversion"/>
  </si>
  <si>
    <t>COGR</t>
    <phoneticPr fontId="2" type="noConversion"/>
  </si>
  <si>
    <t>Total seedlings</t>
    <phoneticPr fontId="2" type="noConversion"/>
  </si>
  <si>
    <t>Total spp.</t>
    <phoneticPr fontId="2" type="noConversion"/>
  </si>
  <si>
    <t>Total</t>
    <phoneticPr fontId="2" type="noConversion"/>
  </si>
  <si>
    <t>#invasive spp</t>
    <phoneticPr fontId="2" type="noConversion"/>
  </si>
  <si>
    <t>#invasive vine spp</t>
    <phoneticPr fontId="2" type="noConversion"/>
  </si>
  <si>
    <t>non-native</t>
    <phoneticPr fontId="2" type="noConversion"/>
  </si>
  <si>
    <t>Dry wt (g)</t>
    <phoneticPr fontId="2" type="noConversion"/>
  </si>
  <si>
    <t>pig14</t>
    <phoneticPr fontId="2" type="noConversion"/>
  </si>
  <si>
    <t xml:space="preserve">Deer </t>
    <phoneticPr fontId="2" type="noConversion"/>
  </si>
  <si>
    <t>Pig</t>
    <phoneticPr fontId="2" type="noConversion"/>
  </si>
  <si>
    <t>Morinda citrifolia</t>
    <phoneticPr fontId="2" type="noConversion"/>
  </si>
  <si>
    <t>Carica papaya</t>
    <phoneticPr fontId="2" type="noConversion"/>
  </si>
  <si>
    <t>Vitex parviflora</t>
    <phoneticPr fontId="2" type="noConversion"/>
  </si>
  <si>
    <t>Passiflora suberosa</t>
    <phoneticPr fontId="2" type="noConversion"/>
  </si>
  <si>
    <t>Mikania micrantha</t>
    <phoneticPr fontId="2" type="noConversion"/>
  </si>
  <si>
    <t>Coccinia grandis</t>
    <phoneticPr fontId="2" type="noConversion"/>
  </si>
  <si>
    <t>ANAO N</t>
    <phoneticPr fontId="2" type="noConversion"/>
  </si>
  <si>
    <t>RITD GATE</t>
    <phoneticPr fontId="2" type="noConversion"/>
  </si>
  <si>
    <t>w (sel index)</t>
    <phoneticPr fontId="2" type="noConversion"/>
  </si>
  <si>
    <t>B</t>
    <phoneticPr fontId="2" type="noConversion"/>
  </si>
  <si>
    <t>Scat (u)</t>
    <phoneticPr fontId="2" type="noConversion"/>
  </si>
  <si>
    <t>utot</t>
    <phoneticPr fontId="2" type="noConversion"/>
  </si>
  <si>
    <t>X2</t>
    <phoneticPr fontId="2" type="noConversion"/>
  </si>
  <si>
    <t>partial X2</t>
    <phoneticPr fontId="2" type="noConversion"/>
  </si>
  <si>
    <t>utot*pi</t>
    <phoneticPr fontId="2" type="noConversion"/>
  </si>
  <si>
    <t>se</t>
    <phoneticPr fontId="2" type="noConversion"/>
  </si>
  <si>
    <t>EXOTIC</t>
    <phoneticPr fontId="2" type="noConversion"/>
  </si>
  <si>
    <t>NATIVE</t>
    <phoneticPr fontId="2" type="noConversion"/>
  </si>
  <si>
    <t>ANAO N</t>
    <phoneticPr fontId="2" type="noConversion"/>
  </si>
  <si>
    <t>AGMA</t>
    <phoneticPr fontId="2" type="noConversion"/>
  </si>
  <si>
    <t>COGR</t>
    <phoneticPr fontId="2" type="noConversion"/>
  </si>
  <si>
    <t>CYRA</t>
    <phoneticPr fontId="2" type="noConversion"/>
  </si>
  <si>
    <t>EURE</t>
    <phoneticPr fontId="2" type="noConversion"/>
  </si>
  <si>
    <t>FLIN</t>
    <phoneticPr fontId="2" type="noConversion"/>
  </si>
  <si>
    <t>GUMA</t>
    <phoneticPr fontId="2" type="noConversion"/>
  </si>
  <si>
    <t>Jasminum</t>
    <phoneticPr fontId="2" type="noConversion"/>
  </si>
  <si>
    <t>MAOD</t>
    <phoneticPr fontId="2" type="noConversion"/>
  </si>
  <si>
    <t>MATH</t>
    <phoneticPr fontId="2" type="noConversion"/>
  </si>
  <si>
    <t>MIMI</t>
    <phoneticPr fontId="2" type="noConversion"/>
  </si>
  <si>
    <t>PASU</t>
    <phoneticPr fontId="2" type="noConversion"/>
  </si>
  <si>
    <t>LELE</t>
    <phoneticPr fontId="2" type="noConversion"/>
  </si>
  <si>
    <t>Coccinia</t>
    <phoneticPr fontId="2" type="noConversion"/>
  </si>
  <si>
    <t>unknown</t>
    <phoneticPr fontId="2" type="noConversion"/>
  </si>
  <si>
    <t>Ficus prolixa</t>
    <phoneticPr fontId="2" type="noConversion"/>
  </si>
  <si>
    <t>χ2</t>
    <phoneticPr fontId="2" type="noConversion"/>
  </si>
  <si>
    <t>Coccina grandis</t>
    <phoneticPr fontId="2" type="noConversion"/>
  </si>
  <si>
    <t>Coccina grandis</t>
  </si>
  <si>
    <t>Polypodium scolopendria?</t>
    <phoneticPr fontId="2" type="noConversion"/>
  </si>
  <si>
    <t>Trisiropsis</t>
    <phoneticPr fontId="2" type="noConversion"/>
  </si>
  <si>
    <t>Count in situ</t>
    <phoneticPr fontId="2" type="noConversion"/>
  </si>
  <si>
    <t>Count in poo</t>
    <phoneticPr fontId="2" type="noConversion"/>
  </si>
  <si>
    <t>FIPR</t>
    <phoneticPr fontId="2" type="noConversion"/>
  </si>
  <si>
    <t>unknown?</t>
    <phoneticPr fontId="2" type="noConversion"/>
  </si>
  <si>
    <t>LELE</t>
    <phoneticPr fontId="2" type="noConversion"/>
  </si>
  <si>
    <t>Expected</t>
    <phoneticPr fontId="2" type="noConversion"/>
  </si>
  <si>
    <t>(obs/exp)^2</t>
    <phoneticPr fontId="2" type="noConversion"/>
  </si>
  <si>
    <t>Avg per g</t>
    <phoneticPr fontId="2" type="noConversion"/>
  </si>
  <si>
    <t>EUTH</t>
    <phoneticPr fontId="2" type="noConversion"/>
  </si>
  <si>
    <t>FLIN</t>
    <phoneticPr fontId="2" type="noConversion"/>
  </si>
  <si>
    <t>grass</t>
    <phoneticPr fontId="2" type="noConversion"/>
  </si>
  <si>
    <t>GUMA</t>
    <phoneticPr fontId="2" type="noConversion"/>
  </si>
  <si>
    <t>Jasminum</t>
    <phoneticPr fontId="2" type="noConversion"/>
  </si>
  <si>
    <t>MATH</t>
    <phoneticPr fontId="2" type="noConversion"/>
  </si>
  <si>
    <t>Morinda (N)</t>
    <phoneticPr fontId="2" type="noConversion"/>
  </si>
  <si>
    <t>Ficus (N)</t>
    <phoneticPr fontId="2" type="noConversion"/>
  </si>
  <si>
    <t>Carica (I)</t>
    <phoneticPr fontId="2" type="noConversion"/>
  </si>
  <si>
    <t>Coccinia (I)</t>
    <phoneticPr fontId="2" type="noConversion"/>
  </si>
  <si>
    <t>n</t>
    <phoneticPr fontId="2" type="noConversion"/>
  </si>
  <si>
    <t>probability</t>
    <phoneticPr fontId="2" type="noConversion"/>
  </si>
  <si>
    <t>p</t>
    <phoneticPr fontId="2" type="noConversion"/>
  </si>
  <si>
    <t>&lt;0.0000001</t>
    <phoneticPr fontId="2" type="noConversion"/>
  </si>
  <si>
    <t>Pig</t>
    <phoneticPr fontId="2" type="noConversion"/>
  </si>
  <si>
    <t>Deer</t>
    <phoneticPr fontId="2" type="noConversion"/>
  </si>
  <si>
    <t>nonnative per g</t>
    <phoneticPr fontId="2" type="noConversion"/>
  </si>
  <si>
    <t>OCMA</t>
    <phoneticPr fontId="2" type="noConversion"/>
  </si>
  <si>
    <t>PASU</t>
    <phoneticPr fontId="2" type="noConversion"/>
  </si>
  <si>
    <t>PIGR</t>
    <phoneticPr fontId="2" type="noConversion"/>
  </si>
  <si>
    <t>PIMI</t>
    <phoneticPr fontId="2" type="noConversion"/>
  </si>
  <si>
    <t>Species</t>
    <phoneticPr fontId="2" type="noConversion"/>
  </si>
  <si>
    <t>Total</t>
    <phoneticPr fontId="2" type="noConversion"/>
  </si>
  <si>
    <t>Polypodium scolopendria?</t>
    <phoneticPr fontId="2" type="noConversion"/>
  </si>
  <si>
    <t>PROB</t>
    <phoneticPr fontId="2" type="noConversion"/>
  </si>
  <si>
    <t>Pyrrosia</t>
    <phoneticPr fontId="2" type="noConversion"/>
  </si>
  <si>
    <t>TRTR</t>
    <phoneticPr fontId="2" type="noConversion"/>
  </si>
  <si>
    <t>unknown small</t>
    <phoneticPr fontId="2" type="noConversion"/>
  </si>
  <si>
    <t>SS3</t>
    <phoneticPr fontId="2" type="noConversion"/>
  </si>
  <si>
    <t>MOCI</t>
    <phoneticPr fontId="2" type="noConversion"/>
  </si>
  <si>
    <t>SS3</t>
    <phoneticPr fontId="2" type="noConversion"/>
  </si>
  <si>
    <t>unknown large</t>
    <phoneticPr fontId="2" type="noConversion"/>
  </si>
  <si>
    <t>MISC?</t>
    <phoneticPr fontId="2" type="noConversion"/>
  </si>
  <si>
    <t>unknown seedling</t>
    <phoneticPr fontId="2" type="noConversion"/>
  </si>
  <si>
    <t>SBLAS</t>
    <phoneticPr fontId="2" type="noConversion"/>
  </si>
  <si>
    <t>ASNI</t>
    <phoneticPr fontId="2" type="noConversion"/>
  </si>
  <si>
    <t>Carica (I)</t>
    <phoneticPr fontId="2" type="noConversion"/>
  </si>
  <si>
    <t>Coccinia (I)</t>
    <phoneticPr fontId="2" type="noConversion"/>
  </si>
  <si>
    <t>Chromolaena (I)</t>
    <phoneticPr fontId="2" type="noConversion"/>
  </si>
  <si>
    <t>Anao (n=11)</t>
    <phoneticPr fontId="2" type="noConversion"/>
  </si>
  <si>
    <t>unknown2</t>
    <phoneticPr fontId="2" type="noConversion"/>
  </si>
  <si>
    <t>pi (pop prop)</t>
    <phoneticPr fontId="2" type="noConversion"/>
  </si>
  <si>
    <t>u (sample or poo)</t>
    <phoneticPr fontId="2" type="noConversion"/>
  </si>
  <si>
    <t>o (prop in poo)</t>
    <phoneticPr fontId="2" type="noConversion"/>
  </si>
  <si>
    <t>Count</t>
    <phoneticPr fontId="2" type="noConversion"/>
  </si>
  <si>
    <t>Scat</t>
    <phoneticPr fontId="2" type="noConversion"/>
  </si>
  <si>
    <t>Anao</t>
    <phoneticPr fontId="2" type="noConversion"/>
  </si>
  <si>
    <t>100m</t>
    <phoneticPr fontId="2" type="noConversion"/>
  </si>
  <si>
    <t>w (sel index)</t>
    <phoneticPr fontId="2" type="noConversion"/>
  </si>
  <si>
    <t>sum(w)</t>
    <phoneticPr fontId="2" type="noConversion"/>
  </si>
  <si>
    <t>B</t>
  </si>
  <si>
    <t>oi (prop in poo)</t>
    <phoneticPr fontId="2" type="noConversion"/>
  </si>
  <si>
    <t>w</t>
    <phoneticPr fontId="2" type="noConversion"/>
  </si>
  <si>
    <t>&lt;0.001</t>
    <phoneticPr fontId="2" type="noConversion"/>
  </si>
  <si>
    <t>Total</t>
    <phoneticPr fontId="2" type="noConversion"/>
  </si>
  <si>
    <t>Eugenia reinwardtiana</t>
    <phoneticPr fontId="2" type="noConversion"/>
  </si>
  <si>
    <t>Tristiropsis obtusangula</t>
    <phoneticPr fontId="2" type="noConversion"/>
  </si>
  <si>
    <t>Carica papaya</t>
    <phoneticPr fontId="2" type="noConversion"/>
  </si>
  <si>
    <t>Total</t>
    <phoneticPr fontId="2" type="noConversion"/>
  </si>
  <si>
    <t>Count in situ</t>
  </si>
  <si>
    <t>ANAO N</t>
  </si>
  <si>
    <t>Pyrrosia</t>
  </si>
  <si>
    <t>MATH</t>
  </si>
  <si>
    <t>PASU</t>
  </si>
  <si>
    <t>PROB</t>
  </si>
  <si>
    <t>TAMO</t>
  </si>
  <si>
    <t>CYRA</t>
  </si>
  <si>
    <t>17 resource units</t>
    <phoneticPr fontId="2" type="noConversion"/>
  </si>
  <si>
    <t>15 resource units</t>
    <phoneticPr fontId="2" type="noConversion"/>
  </si>
  <si>
    <t>df</t>
    <phoneticPr fontId="2" type="noConversion"/>
  </si>
  <si>
    <t>P-value</t>
    <phoneticPr fontId="2" type="noConversion"/>
  </si>
  <si>
    <t>(ui-(utot*pi))^2</t>
    <phoneticPr fontId="2" type="noConversion"/>
  </si>
  <si>
    <t>&lt;0.001</t>
    <phoneticPr fontId="2" type="noConversion"/>
  </si>
  <si>
    <t>Exotic tree</t>
    <phoneticPr fontId="2" type="noConversion"/>
  </si>
  <si>
    <t>Native tree</t>
    <phoneticPr fontId="2" type="noConversion"/>
  </si>
  <si>
    <t>Exotic herb/vine</t>
    <phoneticPr fontId="2" type="noConversion"/>
  </si>
  <si>
    <t>Native herb/vine</t>
    <phoneticPr fontId="2" type="noConversion"/>
  </si>
  <si>
    <t>Nature</t>
    <phoneticPr fontId="2" type="noConversion"/>
  </si>
  <si>
    <t>Jasminum</t>
    <phoneticPr fontId="2" type="noConversion"/>
  </si>
  <si>
    <t>new</t>
    <phoneticPr fontId="2" type="noConversion"/>
  </si>
  <si>
    <t>CM6</t>
    <phoneticPr fontId="2" type="noConversion"/>
  </si>
  <si>
    <t>ID</t>
    <phoneticPr fontId="2" type="noConversion"/>
  </si>
  <si>
    <t>Dry wt</t>
    <phoneticPr fontId="2" type="noConversion"/>
  </si>
  <si>
    <t>S. Blas</t>
    <phoneticPr fontId="2" type="noConversion"/>
  </si>
  <si>
    <t>Ritd gate</t>
    <phoneticPr fontId="2" type="noConversion"/>
  </si>
  <si>
    <t>Morinda</t>
    <phoneticPr fontId="2" type="noConversion"/>
  </si>
  <si>
    <t>unknown</t>
    <phoneticPr fontId="2" type="noConversion"/>
  </si>
  <si>
    <t>Coccinia</t>
    <phoneticPr fontId="2" type="noConversion"/>
  </si>
  <si>
    <t>Ficus prolixa</t>
    <phoneticPr fontId="2" type="noConversion"/>
  </si>
  <si>
    <t>Morinda</t>
    <phoneticPr fontId="2" type="noConversion"/>
  </si>
  <si>
    <t>Carica</t>
    <phoneticPr fontId="2" type="noConversion"/>
  </si>
  <si>
    <t>Coccinia</t>
  </si>
  <si>
    <t>Ficus prolixa</t>
  </si>
  <si>
    <t>SS2</t>
  </si>
  <si>
    <t>Carica</t>
  </si>
  <si>
    <t>SS3</t>
  </si>
  <si>
    <t>Dry</t>
  </si>
  <si>
    <t>SS19</t>
  </si>
  <si>
    <t>SS20</t>
  </si>
  <si>
    <t>SS21</t>
  </si>
  <si>
    <t>SS23</t>
  </si>
  <si>
    <t>SS24</t>
  </si>
  <si>
    <t>SS5</t>
  </si>
  <si>
    <t>Ritd gate</t>
  </si>
  <si>
    <t>SS6</t>
  </si>
  <si>
    <t>oldish</t>
  </si>
  <si>
    <t>SS7</t>
  </si>
  <si>
    <t>new</t>
  </si>
  <si>
    <t>SS11</t>
  </si>
  <si>
    <t>SS9</t>
  </si>
  <si>
    <t>S. Blas</t>
  </si>
  <si>
    <t>SS10</t>
  </si>
  <si>
    <t>newish</t>
  </si>
  <si>
    <t>SS17</t>
  </si>
  <si>
    <t>Nature</t>
  </si>
  <si>
    <t>Scat (u)</t>
  </si>
  <si>
    <t>oi (prop in poo)</t>
  </si>
  <si>
    <t>&lt;0.001</t>
  </si>
  <si>
    <t>Binomial test</t>
    <phoneticPr fontId="2" type="noConversion"/>
  </si>
  <si>
    <t>pig (or "failures")</t>
    <phoneticPr fontId="2" type="noConversion"/>
  </si>
  <si>
    <t>deer (or "successes")</t>
    <phoneticPr fontId="2" type="noConversion"/>
  </si>
  <si>
    <t>total</t>
    <phoneticPr fontId="2" type="noConversion"/>
  </si>
  <si>
    <t>k</t>
    <phoneticPr fontId="2" type="noConversion"/>
  </si>
  <si>
    <t>NA</t>
    <phoneticPr fontId="2" type="noConversion"/>
  </si>
  <si>
    <t>Total</t>
    <phoneticPr fontId="2" type="noConversion"/>
  </si>
  <si>
    <t>sterr native</t>
    <phoneticPr fontId="2" type="noConversion"/>
  </si>
  <si>
    <t>stdev nonnat</t>
    <phoneticPr fontId="2" type="noConversion"/>
  </si>
  <si>
    <t>Site</t>
    <phoneticPr fontId="2" type="noConversion"/>
  </si>
  <si>
    <t>Count</t>
    <phoneticPr fontId="2" type="noConversion"/>
  </si>
  <si>
    <t>unknown</t>
    <phoneticPr fontId="2" type="noConversion"/>
  </si>
  <si>
    <t>Anao</t>
    <phoneticPr fontId="2" type="noConversion"/>
  </si>
  <si>
    <t>(~200 small, 8 large)</t>
    <phoneticPr fontId="2" type="noConversion"/>
  </si>
  <si>
    <t>Count 11/1 (harvest)</t>
    <phoneticPr fontId="2" type="noConversion"/>
  </si>
  <si>
    <t xml:space="preserve"> </t>
    <phoneticPr fontId="2" type="noConversion"/>
  </si>
  <si>
    <t>Cervus mariannus</t>
    <phoneticPr fontId="2" type="noConversion"/>
  </si>
  <si>
    <t xml:space="preserve">Date Collected </t>
    <phoneticPr fontId="2" type="noConversion"/>
  </si>
  <si>
    <t>Date Planted</t>
    <phoneticPr fontId="2" type="noConversion"/>
  </si>
  <si>
    <t>Location</t>
    <phoneticPr fontId="2" type="noConversion"/>
  </si>
  <si>
    <t>Wet weight (g)</t>
    <phoneticPr fontId="2" type="noConversion"/>
  </si>
  <si>
    <t>Dry weight (g)</t>
    <phoneticPr fontId="2" type="noConversion"/>
  </si>
  <si>
    <t>Ritd gate</t>
    <phoneticPr fontId="2" type="noConversion"/>
  </si>
  <si>
    <t>Leucaena</t>
    <phoneticPr fontId="2" type="noConversion"/>
  </si>
  <si>
    <t>pig15</t>
    <phoneticPr fontId="2" type="noConversion"/>
  </si>
  <si>
    <t>Carica</t>
    <phoneticPr fontId="2" type="noConversion"/>
  </si>
  <si>
    <t>pig16</t>
    <phoneticPr fontId="2" type="noConversion"/>
  </si>
  <si>
    <t>pig17</t>
    <phoneticPr fontId="2" type="noConversion"/>
  </si>
  <si>
    <t>pig23</t>
    <phoneticPr fontId="2" type="noConversion"/>
  </si>
  <si>
    <t>Passiflora</t>
    <phoneticPr fontId="2" type="noConversion"/>
  </si>
  <si>
    <t>Species</t>
    <phoneticPr fontId="2" type="noConversion"/>
  </si>
  <si>
    <t>Carica</t>
    <phoneticPr fontId="2" type="noConversion"/>
  </si>
  <si>
    <t>medium</t>
    <phoneticPr fontId="2" type="noConversion"/>
  </si>
  <si>
    <t>Chromolaena odorata</t>
    <phoneticPr fontId="2" type="noConversion"/>
  </si>
  <si>
    <t>Ficus prolixa</t>
    <phoneticPr fontId="2" type="noConversion"/>
  </si>
  <si>
    <t>Leucaena leucocephala</t>
    <phoneticPr fontId="2" type="noConversion"/>
  </si>
  <si>
    <t>Species</t>
    <phoneticPr fontId="2" type="noConversion"/>
  </si>
  <si>
    <t>Total</t>
    <phoneticPr fontId="2" type="noConversion"/>
  </si>
  <si>
    <t>se = sqrt(oi(1-oi)/utot)</t>
    <phoneticPr fontId="2" type="noConversion"/>
  </si>
  <si>
    <t>se</t>
    <phoneticPr fontId="2" type="noConversion"/>
  </si>
  <si>
    <t>upper</t>
    <phoneticPr fontId="2" type="noConversion"/>
  </si>
  <si>
    <t>Species</t>
    <phoneticPr fontId="2" type="noConversion"/>
  </si>
  <si>
    <t>π (pop prop)</t>
    <phoneticPr fontId="2" type="noConversion"/>
  </si>
  <si>
    <t>ui (sample or poo)</t>
    <phoneticPr fontId="2" type="noConversion"/>
  </si>
  <si>
    <t>oi (prop in poo)</t>
    <phoneticPr fontId="2" type="noConversion"/>
  </si>
  <si>
    <t>Macaranga thompsonii</t>
  </si>
  <si>
    <t>Premna obtusifolia</t>
  </si>
  <si>
    <t>Tabernaemontana rotensis</t>
  </si>
  <si>
    <t>Psychotria mariannensis</t>
  </si>
  <si>
    <t>Guamia mariannae</t>
  </si>
  <si>
    <t>Passiflora suberosa</t>
  </si>
  <si>
    <t>Passiflora foetida</t>
  </si>
  <si>
    <t>Mikania micrantha</t>
  </si>
  <si>
    <t>Triphasia trifolia</t>
  </si>
  <si>
    <t>Triphasia trifolia</t>
    <phoneticPr fontId="2" type="noConversion"/>
  </si>
  <si>
    <t>stdev dry</t>
    <phoneticPr fontId="2" type="noConversion"/>
  </si>
  <si>
    <t>stdev rainy</t>
    <phoneticPr fontId="2" type="noConversion"/>
  </si>
  <si>
    <t>sterr dry</t>
    <phoneticPr fontId="2" type="noConversion"/>
  </si>
  <si>
    <t>sterr rainy</t>
    <phoneticPr fontId="2" type="noConversion"/>
  </si>
  <si>
    <t>total dry</t>
    <phoneticPr fontId="2" type="noConversion"/>
  </si>
  <si>
    <t>total rainy</t>
    <phoneticPr fontId="2" type="noConversion"/>
  </si>
  <si>
    <t>Season</t>
    <phoneticPr fontId="2" type="noConversion"/>
  </si>
  <si>
    <t>Rainy</t>
    <phoneticPr fontId="2" type="noConversion"/>
  </si>
  <si>
    <t>Dry</t>
    <phoneticPr fontId="2" type="noConversion"/>
  </si>
  <si>
    <t>Rainy</t>
    <phoneticPr fontId="2" type="noConversion"/>
  </si>
  <si>
    <t>Total</t>
    <phoneticPr fontId="2" type="noConversion"/>
  </si>
  <si>
    <t>CYMI</t>
    <phoneticPr fontId="2" type="noConversion"/>
  </si>
  <si>
    <t>Native / Exotic</t>
    <phoneticPr fontId="2" type="noConversion"/>
  </si>
  <si>
    <t>π (pop prop)</t>
  </si>
  <si>
    <t>w (sel index)</t>
  </si>
  <si>
    <t>se (w)</t>
  </si>
  <si>
    <t>se (w)</t>
    <phoneticPr fontId="2" type="noConversion"/>
  </si>
  <si>
    <t>total w</t>
    <phoneticPr fontId="2" type="noConversion"/>
  </si>
  <si>
    <t>se (B)</t>
  </si>
  <si>
    <t>se (B)</t>
    <phoneticPr fontId="2" type="noConversion"/>
  </si>
  <si>
    <t>Anao North</t>
    <phoneticPr fontId="2" type="noConversion"/>
  </si>
  <si>
    <t>Ritidian Gate</t>
    <phoneticPr fontId="2" type="noConversion"/>
  </si>
  <si>
    <t>native</t>
    <phoneticPr fontId="2" type="noConversion"/>
  </si>
  <si>
    <t>exotic</t>
    <phoneticPr fontId="2" type="noConversion"/>
  </si>
  <si>
    <t>se(B)</t>
    <phoneticPr fontId="2" type="noConversion"/>
  </si>
  <si>
    <t>tot w</t>
    <phoneticPr fontId="2" type="noConversion"/>
  </si>
  <si>
    <t>se(w) 1.96</t>
    <phoneticPr fontId="2" type="noConversion"/>
  </si>
  <si>
    <t>se(B) 1.96</t>
    <phoneticPr fontId="2" type="noConversion"/>
  </si>
  <si>
    <t>time total</t>
    <phoneticPr fontId="2" type="noConversion"/>
  </si>
  <si>
    <t>Total</t>
    <phoneticPr fontId="2" type="noConversion"/>
  </si>
  <si>
    <t>p</t>
    <phoneticPr fontId="2" type="noConversion"/>
  </si>
  <si>
    <t>&lt;0.000001</t>
    <phoneticPr fontId="2" type="noConversion"/>
  </si>
  <si>
    <t>SS18</t>
    <phoneticPr fontId="2" type="noConversion"/>
  </si>
  <si>
    <t>Ritd north</t>
    <phoneticPr fontId="2" type="noConversion"/>
  </si>
  <si>
    <t>RITD GATE</t>
    <phoneticPr fontId="2" type="noConversion"/>
  </si>
  <si>
    <t>Poaceae</t>
    <phoneticPr fontId="2" type="noConversion"/>
  </si>
  <si>
    <t>Avg per scat</t>
    <phoneticPr fontId="2" type="noConversion"/>
  </si>
  <si>
    <t>stdev</t>
    <phoneticPr fontId="2" type="noConversion"/>
  </si>
  <si>
    <t>stderr</t>
    <phoneticPr fontId="2" type="noConversion"/>
  </si>
  <si>
    <t>Coccinia</t>
    <phoneticPr fontId="2" type="noConversion"/>
  </si>
  <si>
    <t>Ficus prolixa</t>
    <phoneticPr fontId="2" type="noConversion"/>
  </si>
  <si>
    <t>Chromolaena</t>
    <phoneticPr fontId="2" type="noConversion"/>
  </si>
  <si>
    <t>unknown</t>
    <phoneticPr fontId="2" type="noConversion"/>
  </si>
  <si>
    <t>Species</t>
    <phoneticPr fontId="2" type="noConversion"/>
  </si>
  <si>
    <t>found in # scats</t>
    <phoneticPr fontId="2" type="noConversion"/>
  </si>
  <si>
    <t>Anao</t>
    <phoneticPr fontId="2" type="noConversion"/>
  </si>
  <si>
    <t>Anao grid</t>
    <phoneticPr fontId="2" type="noConversion"/>
  </si>
  <si>
    <t>Anao grid</t>
    <phoneticPr fontId="2" type="noConversion"/>
  </si>
  <si>
    <t>Notes</t>
    <phoneticPr fontId="2" type="noConversion"/>
  </si>
  <si>
    <t>N</t>
    <phoneticPr fontId="2" type="noConversion"/>
  </si>
  <si>
    <t>SS24</t>
    <phoneticPr fontId="2" type="noConversion"/>
  </si>
  <si>
    <t>SS25</t>
    <phoneticPr fontId="2" type="noConversion"/>
  </si>
  <si>
    <t>???</t>
    <phoneticPr fontId="2" type="noConversion"/>
  </si>
  <si>
    <t>Ritidian (n=7)</t>
    <phoneticPr fontId="2" type="noConversion"/>
  </si>
  <si>
    <t>PASU</t>
    <phoneticPr fontId="2" type="noConversion"/>
  </si>
  <si>
    <t>PATE</t>
    <phoneticPr fontId="2" type="noConversion"/>
  </si>
  <si>
    <t>POSC</t>
    <phoneticPr fontId="2" type="noConversion"/>
  </si>
  <si>
    <t>PROB</t>
    <phoneticPr fontId="2" type="noConversion"/>
  </si>
  <si>
    <t>PSMA</t>
    <phoneticPr fontId="2" type="noConversion"/>
  </si>
  <si>
    <t>Pteris tripartata</t>
    <phoneticPr fontId="2" type="noConversion"/>
  </si>
  <si>
    <t>Pyrrosia</t>
    <phoneticPr fontId="2" type="noConversion"/>
  </si>
  <si>
    <t>TAMO</t>
    <phoneticPr fontId="2" type="noConversion"/>
  </si>
  <si>
    <t>TRTR</t>
    <phoneticPr fontId="2" type="noConversion"/>
  </si>
  <si>
    <t>Morinda</t>
    <phoneticPr fontId="2" type="noConversion"/>
  </si>
  <si>
    <t>Passiflora</t>
    <phoneticPr fontId="2" type="noConversion"/>
  </si>
  <si>
    <t>B</t>
    <phoneticPr fontId="2" type="noConversion"/>
  </si>
  <si>
    <t>Ritd</t>
    <phoneticPr fontId="2" type="noConversion"/>
  </si>
  <si>
    <t>15 scats</t>
    <phoneticPr fontId="2" type="noConversion"/>
  </si>
  <si>
    <t>100m</t>
    <phoneticPr fontId="2" type="noConversion"/>
  </si>
  <si>
    <t>11 scats</t>
    <phoneticPr fontId="2" type="noConversion"/>
  </si>
  <si>
    <t>sum(w)</t>
    <phoneticPr fontId="2" type="noConversion"/>
  </si>
  <si>
    <t>ui-(utot*pi)^2</t>
    <phoneticPr fontId="2" type="noConversion"/>
  </si>
  <si>
    <t>utot</t>
    <phoneticPr fontId="2" type="noConversion"/>
  </si>
  <si>
    <t>utot*pi</t>
    <phoneticPr fontId="2" type="noConversion"/>
  </si>
  <si>
    <t>chi</t>
    <phoneticPr fontId="2" type="noConversion"/>
  </si>
  <si>
    <t>ANAO N</t>
    <phoneticPr fontId="2" type="noConversion"/>
  </si>
  <si>
    <t>Chi</t>
    <phoneticPr fontId="2" type="noConversion"/>
  </si>
  <si>
    <t>Chi</t>
    <phoneticPr fontId="2" type="noConversion"/>
  </si>
  <si>
    <t>lower</t>
  </si>
  <si>
    <t>lower</t>
    <phoneticPr fontId="2" type="noConversion"/>
  </si>
  <si>
    <t>upper</t>
  </si>
  <si>
    <t>upper</t>
    <phoneticPr fontId="2" type="noConversion"/>
  </si>
  <si>
    <t>PAFO</t>
    <phoneticPr fontId="2" type="noConversion"/>
  </si>
  <si>
    <t>AGMA</t>
    <phoneticPr fontId="2" type="noConversion"/>
  </si>
  <si>
    <t>Asplenium nidus</t>
    <phoneticPr fontId="2" type="noConversion"/>
  </si>
  <si>
    <t>Asplenium polyodon</t>
    <phoneticPr fontId="2" type="noConversion"/>
  </si>
  <si>
    <t>ANAO N</t>
    <phoneticPr fontId="2" type="noConversion"/>
  </si>
  <si>
    <t>CYMI</t>
    <phoneticPr fontId="2" type="noConversion"/>
  </si>
  <si>
    <t>CYRA</t>
    <phoneticPr fontId="2" type="noConversion"/>
  </si>
  <si>
    <t>EURE</t>
    <phoneticPr fontId="2" type="noConversion"/>
  </si>
  <si>
    <t>EURE</t>
    <phoneticPr fontId="2" type="noConversion"/>
  </si>
  <si>
    <t>ANAO N</t>
    <phoneticPr fontId="2" type="noConversion"/>
  </si>
  <si>
    <t>FLIN</t>
    <phoneticPr fontId="2" type="noConversion"/>
  </si>
  <si>
    <t>GUMA</t>
    <phoneticPr fontId="2" type="noConversion"/>
  </si>
  <si>
    <t>12  2 16 25  3 14 22  8 18 23 26 13 29  7 20 19  6 10 27 11</t>
  </si>
  <si>
    <t>ID</t>
  </si>
  <si>
    <t>Season</t>
  </si>
  <si>
    <t>Date Collected</t>
  </si>
  <si>
    <t>Date Planted</t>
  </si>
  <si>
    <t>Location</t>
  </si>
  <si>
    <t>Notes</t>
  </si>
  <si>
    <t>Dry wt</t>
  </si>
  <si>
    <t>Total seedlings</t>
  </si>
  <si>
    <t>Total spp.</t>
  </si>
  <si>
    <t>Rainy</t>
  </si>
  <si>
    <t>Anao grid</t>
  </si>
  <si>
    <t>old</t>
  </si>
  <si>
    <t>Morinda</t>
  </si>
  <si>
    <t>unknown</t>
  </si>
  <si>
    <t>Leucaena leucocephala</t>
    <phoneticPr fontId="2" type="noConversion"/>
  </si>
  <si>
    <t>Vitex parviflora</t>
    <phoneticPr fontId="2" type="noConversion"/>
  </si>
  <si>
    <t>Chromolaena odorata</t>
    <phoneticPr fontId="2" type="noConversion"/>
  </si>
  <si>
    <t>Shrubs</t>
    <phoneticPr fontId="2" type="noConversion"/>
  </si>
  <si>
    <t>Seedlings per deer scat</t>
    <phoneticPr fontId="2" type="noConversion"/>
  </si>
  <si>
    <t>Seedlings per pig scat</t>
    <phoneticPr fontId="2" type="noConversion"/>
  </si>
  <si>
    <t>Pig</t>
    <phoneticPr fontId="2" type="noConversion"/>
  </si>
  <si>
    <t>Native/Exotic</t>
    <phoneticPr fontId="2" type="noConversion"/>
  </si>
  <si>
    <t>PIMI</t>
    <phoneticPr fontId="2" type="noConversion"/>
  </si>
  <si>
    <t>POSC</t>
    <phoneticPr fontId="2" type="noConversion"/>
  </si>
  <si>
    <t>MOCI</t>
    <phoneticPr fontId="2" type="noConversion"/>
  </si>
  <si>
    <t>COGR</t>
    <phoneticPr fontId="2" type="noConversion"/>
  </si>
  <si>
    <t>native per g</t>
    <phoneticPr fontId="2" type="noConversion"/>
  </si>
  <si>
    <t>Leucaena</t>
    <phoneticPr fontId="2" type="noConversion"/>
  </si>
  <si>
    <t>SBLAS</t>
    <phoneticPr fontId="2" type="noConversion"/>
  </si>
  <si>
    <t>ASPO</t>
    <phoneticPr fontId="2" type="noConversion"/>
  </si>
  <si>
    <t>SBLAS</t>
    <phoneticPr fontId="2" type="noConversion"/>
  </si>
  <si>
    <t>CYMI</t>
    <phoneticPr fontId="2" type="noConversion"/>
  </si>
  <si>
    <t>SBLAS</t>
    <phoneticPr fontId="2" type="noConversion"/>
  </si>
  <si>
    <t>EURE</t>
    <phoneticPr fontId="2" type="noConversion"/>
  </si>
  <si>
    <t>SBLAS</t>
    <phoneticPr fontId="2" type="noConversion"/>
  </si>
  <si>
    <t>FIPR</t>
    <phoneticPr fontId="2" type="noConversion"/>
  </si>
  <si>
    <t>FLIN</t>
    <phoneticPr fontId="2" type="noConversion"/>
  </si>
  <si>
    <t>GUMA</t>
    <phoneticPr fontId="2" type="noConversion"/>
  </si>
  <si>
    <t>HELO</t>
    <phoneticPr fontId="2" type="noConversion"/>
  </si>
  <si>
    <t>INBI</t>
    <phoneticPr fontId="2" type="noConversion"/>
  </si>
  <si>
    <t>SBLAS</t>
    <phoneticPr fontId="2" type="noConversion"/>
  </si>
  <si>
    <t>MAOD</t>
    <phoneticPr fontId="2" type="noConversion"/>
  </si>
  <si>
    <t>SBLAS</t>
    <phoneticPr fontId="2" type="noConversion"/>
  </si>
  <si>
    <t>MATH</t>
    <phoneticPr fontId="2" type="noConversion"/>
  </si>
  <si>
    <t>SBLAS</t>
    <phoneticPr fontId="2" type="noConversion"/>
  </si>
  <si>
    <t>NEOP</t>
    <phoneticPr fontId="2" type="noConversion"/>
  </si>
  <si>
    <t>SBLAS</t>
    <phoneticPr fontId="2" type="noConversion"/>
  </si>
  <si>
    <t>Nervilia</t>
    <phoneticPr fontId="2" type="noConversion"/>
  </si>
  <si>
    <t>PASU</t>
    <phoneticPr fontId="2" type="noConversion"/>
  </si>
  <si>
    <t>SBLAS</t>
    <phoneticPr fontId="2" type="noConversion"/>
  </si>
  <si>
    <t>PATE</t>
    <phoneticPr fontId="2" type="noConversion"/>
  </si>
  <si>
    <t>N scats</t>
  </si>
  <si>
    <t>Avg</t>
    <phoneticPr fontId="2" type="noConversion"/>
  </si>
  <si>
    <t>Species</t>
    <phoneticPr fontId="2" type="noConversion"/>
  </si>
  <si>
    <t>Vines</t>
    <phoneticPr fontId="2" type="noConversion"/>
  </si>
  <si>
    <t>CM1</t>
    <phoneticPr fontId="2" type="noConversion"/>
  </si>
  <si>
    <t>avg non-native</t>
    <phoneticPr fontId="2" type="noConversion"/>
  </si>
  <si>
    <t>avg native</t>
    <phoneticPr fontId="2" type="noConversion"/>
  </si>
  <si>
    <t>stdev nonnative</t>
    <phoneticPr fontId="2" type="noConversion"/>
  </si>
  <si>
    <t>stdev native</t>
    <phoneticPr fontId="2" type="noConversion"/>
  </si>
  <si>
    <t>sterr nonnative</t>
    <phoneticPr fontId="2" type="noConversion"/>
  </si>
  <si>
    <t>sterr native</t>
    <phoneticPr fontId="2" type="noConversion"/>
  </si>
  <si>
    <t>Ritidian</t>
    <phoneticPr fontId="2" type="noConversion"/>
  </si>
  <si>
    <t>Count 3/29/11</t>
    <phoneticPr fontId="2" type="noConversion"/>
  </si>
  <si>
    <t>MOCI</t>
    <phoneticPr fontId="2" type="noConversion"/>
  </si>
  <si>
    <t>newish</t>
    <phoneticPr fontId="2" type="noConversion"/>
  </si>
  <si>
    <t>Sus scrofa</t>
    <phoneticPr fontId="2" type="noConversion"/>
  </si>
  <si>
    <t>SS1</t>
    <phoneticPr fontId="2" type="noConversion"/>
  </si>
  <si>
    <t>SS20</t>
    <phoneticPr fontId="2" type="noConversion"/>
  </si>
  <si>
    <t>CAPA</t>
    <phoneticPr fontId="2" type="noConversion"/>
  </si>
  <si>
    <t>p of getting 11 or fewer</t>
    <phoneticPr fontId="2" type="noConversion"/>
  </si>
  <si>
    <t>Total</t>
    <phoneticPr fontId="2" type="noConversion"/>
  </si>
  <si>
    <t>Site</t>
  </si>
  <si>
    <t>Species</t>
  </si>
  <si>
    <t>Spp</t>
  </si>
  <si>
    <t>SS5</t>
    <phoneticPr fontId="2" type="noConversion"/>
  </si>
  <si>
    <t>Ritd back road</t>
    <phoneticPr fontId="2" type="noConversion"/>
  </si>
  <si>
    <t>SS6</t>
    <phoneticPr fontId="2" type="noConversion"/>
  </si>
  <si>
    <t>oldish</t>
    <phoneticPr fontId="2" type="noConversion"/>
  </si>
  <si>
    <t>SS7</t>
    <phoneticPr fontId="2" type="noConversion"/>
  </si>
  <si>
    <t>old</t>
    <phoneticPr fontId="2" type="noConversion"/>
  </si>
  <si>
    <t>SS8</t>
    <phoneticPr fontId="2" type="noConversion"/>
  </si>
  <si>
    <t>SS9</t>
    <phoneticPr fontId="2" type="noConversion"/>
  </si>
  <si>
    <t>SS10</t>
    <phoneticPr fontId="2" type="noConversion"/>
  </si>
  <si>
    <t>SS22</t>
    <phoneticPr fontId="2" type="noConversion"/>
  </si>
  <si>
    <t>SS23</t>
    <phoneticPr fontId="2" type="noConversion"/>
  </si>
  <si>
    <t>Ritidian (n=15)</t>
    <phoneticPr fontId="2" type="noConversion"/>
  </si>
  <si>
    <t>Ficus</t>
    <phoneticPr fontId="2" type="noConversion"/>
  </si>
  <si>
    <t>Coccinia</t>
    <phoneticPr fontId="2" type="noConversion"/>
  </si>
  <si>
    <t>Chromolaena</t>
    <phoneticPr fontId="2" type="noConversion"/>
  </si>
  <si>
    <t>RITD GATE</t>
    <phoneticPr fontId="2" type="noConversion"/>
  </si>
  <si>
    <t>FIPR</t>
    <phoneticPr fontId="2" type="noConversion"/>
  </si>
  <si>
    <t>FITI</t>
    <phoneticPr fontId="2" type="noConversion"/>
  </si>
  <si>
    <t>Ipomea triloba</t>
    <phoneticPr fontId="2" type="noConversion"/>
  </si>
  <si>
    <t>Trees</t>
    <phoneticPr fontId="2" type="noConversion"/>
  </si>
  <si>
    <t>Native</t>
    <phoneticPr fontId="2" type="noConversion"/>
  </si>
  <si>
    <t>Passiflora suberosa</t>
    <phoneticPr fontId="2" type="noConversion"/>
  </si>
  <si>
    <t>Exotic</t>
    <phoneticPr fontId="2" type="noConversion"/>
  </si>
  <si>
    <t>Mikania micrantha</t>
    <phoneticPr fontId="2" type="noConversion"/>
  </si>
  <si>
    <t>Coccinia grandis</t>
    <phoneticPr fontId="2" type="noConversion"/>
  </si>
  <si>
    <t>Morinda citrifolia</t>
    <phoneticPr fontId="2" type="noConversion"/>
  </si>
  <si>
    <t>Ficus prolixa</t>
    <phoneticPr fontId="2" type="noConversion"/>
  </si>
  <si>
    <t>Carica papaya</t>
    <phoneticPr fontId="2" type="noConversion"/>
  </si>
  <si>
    <t>CHOD</t>
    <phoneticPr fontId="2" type="noConversion"/>
  </si>
  <si>
    <t>Count 5/4/11</t>
    <phoneticPr fontId="2" type="noConversion"/>
  </si>
  <si>
    <t>MOCI</t>
    <phoneticPr fontId="2" type="noConversion"/>
  </si>
  <si>
    <t>SS19</t>
    <phoneticPr fontId="2" type="noConversion"/>
  </si>
  <si>
    <t>CAPA</t>
    <phoneticPr fontId="2" type="noConversion"/>
  </si>
  <si>
    <t>SS23</t>
    <phoneticPr fontId="2" type="noConversion"/>
  </si>
  <si>
    <t>SS22</t>
    <phoneticPr fontId="2" type="noConversion"/>
  </si>
  <si>
    <t>SS17</t>
    <phoneticPr fontId="2" type="noConversion"/>
  </si>
  <si>
    <t>COGR</t>
    <phoneticPr fontId="2" type="noConversion"/>
  </si>
  <si>
    <t>SS12</t>
    <phoneticPr fontId="2" type="noConversion"/>
  </si>
  <si>
    <t>SS4</t>
    <phoneticPr fontId="2" type="noConversion"/>
  </si>
  <si>
    <t>MOCI</t>
    <phoneticPr fontId="2" type="noConversion"/>
  </si>
  <si>
    <t>unknown</t>
    <phoneticPr fontId="2" type="noConversion"/>
  </si>
  <si>
    <t>Expected prop</t>
    <phoneticPr fontId="2" type="noConversion"/>
  </si>
  <si>
    <t>SWITCHBACKS</t>
    <phoneticPr fontId="2" type="noConversion"/>
  </si>
  <si>
    <t>EUTH</t>
    <phoneticPr fontId="2" type="noConversion"/>
  </si>
  <si>
    <t>OCMA</t>
    <phoneticPr fontId="2" type="noConversion"/>
  </si>
  <si>
    <t>Pyrrosia</t>
    <phoneticPr fontId="2" type="noConversion"/>
  </si>
  <si>
    <t>TRTR</t>
    <phoneticPr fontId="2" type="noConversion"/>
  </si>
  <si>
    <t>Deer scat anao</t>
    <phoneticPr fontId="2" type="noConversion"/>
  </si>
  <si>
    <t>Deer scat ritd</t>
    <phoneticPr fontId="2" type="noConversion"/>
  </si>
  <si>
    <t>Pig scat ritd</t>
    <phoneticPr fontId="2" type="noConversion"/>
  </si>
  <si>
    <t>Pig scat anao</t>
    <phoneticPr fontId="2" type="noConversion"/>
  </si>
  <si>
    <t>Anao site</t>
    <phoneticPr fontId="2" type="noConversion"/>
  </si>
  <si>
    <t>unknown</t>
    <phoneticPr fontId="2" type="noConversion"/>
  </si>
  <si>
    <t>avg dry</t>
    <phoneticPr fontId="2" type="noConversion"/>
  </si>
  <si>
    <t>avg rainy</t>
    <phoneticPr fontId="2" type="noConversion"/>
  </si>
  <si>
    <t>Anao North</t>
    <phoneticPr fontId="2" type="noConversion"/>
  </si>
  <si>
    <t>native</t>
    <phoneticPr fontId="2" type="noConversion"/>
  </si>
  <si>
    <t>Ritidian Gate</t>
    <phoneticPr fontId="2" type="noConversion"/>
  </si>
  <si>
    <t>exotic</t>
    <phoneticPr fontId="2" type="noConversion"/>
  </si>
  <si>
    <t>Site</t>
    <phoneticPr fontId="2" type="noConversion"/>
  </si>
  <si>
    <t>n nature</t>
    <phoneticPr fontId="2" type="noConversion"/>
  </si>
  <si>
    <t>prop. nature</t>
    <phoneticPr fontId="2" type="noConversion"/>
  </si>
  <si>
    <t>n scat</t>
    <phoneticPr fontId="2" type="noConversion"/>
  </si>
  <si>
    <t>prop. scat</t>
    <phoneticPr fontId="2" type="noConversion"/>
  </si>
  <si>
    <t>P</t>
    <phoneticPr fontId="2" type="noConversion"/>
  </si>
  <si>
    <t>Anao North</t>
    <phoneticPr fontId="2" type="noConversion"/>
  </si>
  <si>
    <t>exotic</t>
    <phoneticPr fontId="2" type="noConversion"/>
  </si>
  <si>
    <t>MOCI</t>
    <phoneticPr fontId="2" type="noConversion"/>
  </si>
  <si>
    <t>Count 6/12/11</t>
    <phoneticPr fontId="2" type="noConversion"/>
  </si>
  <si>
    <t>old</t>
    <phoneticPr fontId="2" type="noConversion"/>
  </si>
  <si>
    <t>pig24</t>
    <phoneticPr fontId="2" type="noConversion"/>
  </si>
  <si>
    <t>Carica</t>
    <phoneticPr fontId="2" type="noConversion"/>
  </si>
  <si>
    <t>pig25</t>
    <phoneticPr fontId="2" type="noConversion"/>
  </si>
  <si>
    <t>pig26</t>
    <phoneticPr fontId="2" type="noConversion"/>
  </si>
  <si>
    <t>pig27</t>
    <phoneticPr fontId="2" type="noConversion"/>
  </si>
  <si>
    <t>Carica</t>
    <phoneticPr fontId="2" type="noConversion"/>
  </si>
  <si>
    <t>Carica</t>
    <phoneticPr fontId="2" type="noConversion"/>
  </si>
  <si>
    <t>Morinda</t>
    <phoneticPr fontId="2" type="noConversion"/>
  </si>
  <si>
    <t>Passiflora</t>
    <phoneticPr fontId="2" type="noConversion"/>
  </si>
  <si>
    <t>Ritd gate</t>
    <phoneticPr fontId="2" type="noConversion"/>
  </si>
  <si>
    <t>Site</t>
    <phoneticPr fontId="2" type="noConversion"/>
  </si>
  <si>
    <t>Spp</t>
    <phoneticPr fontId="2" type="noConversion"/>
  </si>
  <si>
    <t>ANAO N</t>
    <phoneticPr fontId="2" type="noConversion"/>
  </si>
  <si>
    <t>AGMA</t>
    <phoneticPr fontId="2" type="noConversion"/>
  </si>
  <si>
    <t>SBLAS</t>
    <phoneticPr fontId="2" type="noConversion"/>
  </si>
  <si>
    <t>unknown seedling2</t>
    <phoneticPr fontId="2" type="noConversion"/>
  </si>
  <si>
    <t>unkown seedling</t>
    <phoneticPr fontId="2" type="noConversion"/>
  </si>
  <si>
    <t>CHOD</t>
    <phoneticPr fontId="2" type="noConversion"/>
  </si>
  <si>
    <t>grass</t>
    <phoneticPr fontId="2" type="noConversion"/>
  </si>
  <si>
    <t>Race Grid Trail</t>
    <phoneticPr fontId="2" type="noConversion"/>
  </si>
  <si>
    <t>Race Int my plot</t>
    <phoneticPr fontId="2" type="noConversion"/>
  </si>
  <si>
    <t>Anao grid</t>
    <phoneticPr fontId="2" type="noConversion"/>
  </si>
  <si>
    <t>Ritd ochrosia grove</t>
    <phoneticPr fontId="2" type="noConversion"/>
  </si>
  <si>
    <t>S. Blas trail</t>
    <phoneticPr fontId="2" type="noConversion"/>
  </si>
  <si>
    <t>Poop</t>
    <phoneticPr fontId="2" type="noConversion"/>
  </si>
  <si>
    <t>Species</t>
    <phoneticPr fontId="2" type="noConversion"/>
  </si>
  <si>
    <t>Count 6/30</t>
    <phoneticPr fontId="2" type="noConversion"/>
  </si>
  <si>
    <t>SS1</t>
    <phoneticPr fontId="2" type="noConversion"/>
  </si>
  <si>
    <t>Ritd gate trail</t>
    <phoneticPr fontId="2" type="noConversion"/>
  </si>
  <si>
    <t>Ritd gate</t>
    <phoneticPr fontId="2" type="noConversion"/>
  </si>
  <si>
    <t>SS11</t>
    <phoneticPr fontId="2" type="noConversion"/>
  </si>
  <si>
    <t>MOCI</t>
    <phoneticPr fontId="2" type="noConversion"/>
  </si>
  <si>
    <t>new</t>
    <phoneticPr fontId="2" type="noConversion"/>
  </si>
  <si>
    <t>CM5</t>
    <phoneticPr fontId="2" type="noConversion"/>
  </si>
  <si>
    <t>S. Blas</t>
    <phoneticPr fontId="2" type="noConversion"/>
  </si>
  <si>
    <t>#native</t>
  </si>
  <si>
    <t>#exotic</t>
  </si>
  <si>
    <t>rn</t>
  </si>
  <si>
    <t>re</t>
  </si>
  <si>
    <t>nn</t>
  </si>
  <si>
    <t>ne</t>
  </si>
  <si>
    <t>Switchbacks</t>
  </si>
  <si>
    <t>exotic</t>
  </si>
  <si>
    <t>native</t>
  </si>
  <si>
    <t>Sblas</t>
  </si>
  <si>
    <t>SS1</t>
  </si>
  <si>
    <t>native_exotic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</si>
</sst>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"/>
  </numFmts>
  <fonts count="11" x14ac:knownFonts="1">
    <font>
      <sz val="10"/>
      <name val="Verdana"/>
    </font>
    <font>
      <i/>
      <sz val="10"/>
      <name val="Verdana"/>
    </font>
    <font>
      <sz val="8"/>
      <name val="Verdana"/>
    </font>
    <font>
      <sz val="10"/>
      <color indexed="207"/>
      <name val="Verdana"/>
    </font>
    <font>
      <b/>
      <sz val="11"/>
      <name val="Times New Roman"/>
    </font>
    <font>
      <sz val="11"/>
      <name val="Verdana"/>
    </font>
    <font>
      <i/>
      <sz val="11"/>
      <name val="Times New Roman"/>
    </font>
    <font>
      <sz val="11"/>
      <name val="Times New Roman"/>
    </font>
    <font>
      <sz val="12"/>
      <name val="Times New Roman"/>
    </font>
    <font>
      <i/>
      <sz val="12"/>
      <name val="Times New Roman"/>
    </font>
    <font>
      <b/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4" borderId="0" xfId="0" applyFill="1"/>
    <xf numFmtId="0" fontId="4" fillId="0" borderId="3" xfId="0" applyFont="1" applyBorder="1"/>
    <xf numFmtId="0" fontId="5" fillId="0" borderId="0" xfId="0" applyFont="1"/>
    <xf numFmtId="0" fontId="6" fillId="0" borderId="2" xfId="0" applyFont="1" applyBorder="1"/>
    <xf numFmtId="0" fontId="7" fillId="0" borderId="2" xfId="0" applyFont="1" applyBorder="1"/>
    <xf numFmtId="164" fontId="7" fillId="0" borderId="2" xfId="0" applyNumberFormat="1" applyFont="1" applyBorder="1"/>
    <xf numFmtId="0" fontId="7" fillId="0" borderId="2" xfId="0" applyNumberFormat="1" applyFont="1" applyBorder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6" fillId="0" borderId="4" xfId="0" applyFont="1" applyBorder="1"/>
    <xf numFmtId="0" fontId="7" fillId="0" borderId="4" xfId="0" applyFont="1" applyBorder="1"/>
    <xf numFmtId="164" fontId="7" fillId="0" borderId="4" xfId="0" applyNumberFormat="1" applyFont="1" applyBorder="1"/>
    <xf numFmtId="0" fontId="7" fillId="0" borderId="4" xfId="0" applyNumberFormat="1" applyFont="1" applyBorder="1"/>
    <xf numFmtId="164" fontId="7" fillId="0" borderId="0" xfId="0" applyNumberFormat="1" applyFont="1"/>
    <xf numFmtId="1" fontId="7" fillId="0" borderId="0" xfId="0" applyNumberFormat="1" applyFont="1"/>
    <xf numFmtId="0" fontId="6" fillId="0" borderId="2" xfId="0" applyFont="1" applyFill="1" applyBorder="1"/>
    <xf numFmtId="0" fontId="7" fillId="0" borderId="2" xfId="0" applyFont="1" applyFill="1" applyBorder="1"/>
    <xf numFmtId="164" fontId="7" fillId="0" borderId="2" xfId="0" applyNumberFormat="1" applyFont="1" applyFill="1" applyBorder="1"/>
    <xf numFmtId="0" fontId="6" fillId="0" borderId="0" xfId="0" applyFont="1" applyFill="1"/>
    <xf numFmtId="0" fontId="7" fillId="0" borderId="0" xfId="0" applyFont="1" applyFill="1"/>
    <xf numFmtId="164" fontId="7" fillId="0" borderId="0" xfId="0" applyNumberFormat="1" applyFont="1" applyFill="1"/>
    <xf numFmtId="0" fontId="6" fillId="0" borderId="4" xfId="0" applyFont="1" applyFill="1" applyBorder="1"/>
    <xf numFmtId="0" fontId="7" fillId="0" borderId="4" xfId="0" applyFont="1" applyFill="1" applyBorder="1"/>
    <xf numFmtId="164" fontId="7" fillId="0" borderId="4" xfId="0" applyNumberFormat="1" applyFont="1" applyFill="1" applyBorder="1"/>
    <xf numFmtId="165" fontId="7" fillId="0" borderId="4" xfId="0" applyNumberFormat="1" applyFont="1" applyFill="1" applyBorder="1"/>
    <xf numFmtId="0" fontId="7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3" xfId="0" applyFont="1" applyBorder="1"/>
    <xf numFmtId="0" fontId="9" fillId="0" borderId="2" xfId="0" applyFont="1" applyBorder="1"/>
    <xf numFmtId="0" fontId="8" fillId="0" borderId="2" xfId="0" applyFont="1" applyBorder="1"/>
    <xf numFmtId="0" fontId="9" fillId="0" borderId="4" xfId="0" applyFont="1" applyBorder="1"/>
    <xf numFmtId="0" fontId="8" fillId="0" borderId="4" xfId="0" applyFont="1" applyBorder="1"/>
    <xf numFmtId="0" fontId="8" fillId="0" borderId="0" xfId="0" applyFont="1" applyFill="1" applyBorder="1"/>
    <xf numFmtId="0" fontId="10" fillId="0" borderId="5" xfId="0" applyFont="1" applyBorder="1"/>
    <xf numFmtId="0" fontId="10" fillId="0" borderId="5" xfId="0" applyFont="1" applyBorder="1" applyAlignment="1">
      <alignment horizontal="right"/>
    </xf>
    <xf numFmtId="0" fontId="8" fillId="0" borderId="0" xfId="0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8" fillId="0" borderId="4" xfId="0" applyFont="1" applyBorder="1" applyAlignment="1">
      <alignment horizontal="right"/>
    </xf>
    <xf numFmtId="166" fontId="8" fillId="0" borderId="4" xfId="0" applyNumberFormat="1" applyFont="1" applyBorder="1" applyAlignment="1">
      <alignment horizontal="right"/>
    </xf>
    <xf numFmtId="0" fontId="10" fillId="0" borderId="5" xfId="0" applyFont="1" applyBorder="1" applyAlignment="1">
      <alignment horizontal="right" vertical="justify"/>
    </xf>
    <xf numFmtId="0" fontId="10" fillId="0" borderId="5" xfId="0" applyFont="1" applyBorder="1" applyAlignment="1">
      <alignment vertical="justify"/>
    </xf>
    <xf numFmtId="0" fontId="10" fillId="0" borderId="6" xfId="0" applyFont="1" applyBorder="1" applyAlignment="1">
      <alignment horizontal="right" wrapText="1"/>
    </xf>
    <xf numFmtId="0" fontId="8" fillId="0" borderId="0" xfId="0" applyFont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0" fontId="10" fillId="0" borderId="6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0" xfId="0" applyFont="1" applyBorder="1"/>
    <xf numFmtId="0" fontId="9" fillId="0" borderId="0" xfId="0" applyFont="1" applyBorder="1"/>
    <xf numFmtId="0" fontId="9" fillId="0" borderId="3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right" vertical="top" wrapText="1"/>
    </xf>
    <xf numFmtId="0" fontId="8" fillId="0" borderId="3" xfId="0" applyFont="1" applyBorder="1" applyAlignment="1">
      <alignment horizontal="right"/>
    </xf>
    <xf numFmtId="0" fontId="8" fillId="0" borderId="0" xfId="0" applyFont="1" applyBorder="1" applyAlignment="1">
      <alignment horizontal="right" vertical="top" wrapText="1"/>
    </xf>
    <xf numFmtId="0" fontId="8" fillId="0" borderId="0" xfId="0" applyFont="1" applyBorder="1" applyAlignment="1">
      <alignment horizontal="right"/>
    </xf>
    <xf numFmtId="0" fontId="8" fillId="0" borderId="4" xfId="0" applyFont="1" applyBorder="1" applyAlignment="1">
      <alignment horizontal="right" vertical="top" wrapText="1"/>
    </xf>
    <xf numFmtId="0" fontId="10" fillId="0" borderId="6" xfId="0" applyFont="1" applyBorder="1"/>
    <xf numFmtId="0" fontId="10" fillId="0" borderId="6" xfId="0" applyFont="1" applyBorder="1" applyAlignment="1">
      <alignment wrapText="1"/>
    </xf>
    <xf numFmtId="0" fontId="0" fillId="0" borderId="7" xfId="0" applyBorder="1"/>
    <xf numFmtId="0" fontId="8" fillId="0" borderId="7" xfId="0" applyFont="1" applyBorder="1"/>
    <xf numFmtId="0" fontId="8" fillId="0" borderId="7" xfId="0" applyFont="1" applyBorder="1" applyAlignment="1">
      <alignment horizontal="right" vertical="top" wrapText="1"/>
    </xf>
    <xf numFmtId="0" fontId="8" fillId="0" borderId="7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Border="1"/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Seedling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Non-native</c:v>
          </c:tx>
          <c:invertIfNegative val="0"/>
          <c:cat>
            <c:strRef>
              <c:f>'old and new counts'!$H$39:$I$39</c:f>
              <c:strCache>
                <c:ptCount val="2"/>
                <c:pt idx="0">
                  <c:v>Anao (n=11)</c:v>
                </c:pt>
                <c:pt idx="1">
                  <c:v>Ritidian (n=15)</c:v>
                </c:pt>
              </c:strCache>
            </c:strRef>
          </c:cat>
          <c:val>
            <c:numRef>
              <c:f>'old and new counts'!$H$45:$I$45</c:f>
              <c:numCache>
                <c:formatCode>General</c:formatCode>
                <c:ptCount val="2"/>
                <c:pt idx="0">
                  <c:v>6</c:v>
                </c:pt>
                <c:pt idx="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F-4FF0-B066-074AEA31F0BB}"/>
            </c:ext>
          </c:extLst>
        </c:ser>
        <c:ser>
          <c:idx val="1"/>
          <c:order val="1"/>
          <c:tx>
            <c:v>Native</c:v>
          </c:tx>
          <c:invertIfNegative val="0"/>
          <c:cat>
            <c:strRef>
              <c:f>'old and new counts'!$H$39:$I$39</c:f>
              <c:strCache>
                <c:ptCount val="2"/>
                <c:pt idx="0">
                  <c:v>Anao (n=11)</c:v>
                </c:pt>
                <c:pt idx="1">
                  <c:v>Ritidian (n=15)</c:v>
                </c:pt>
              </c:strCache>
            </c:strRef>
          </c:cat>
          <c:val>
            <c:numRef>
              <c:f>'old and new counts'!$H$46:$I$46</c:f>
              <c:numCache>
                <c:formatCode>General</c:formatCode>
                <c:ptCount val="2"/>
                <c:pt idx="0">
                  <c:v>447</c:v>
                </c:pt>
                <c:pt idx="1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F-4FF0-B066-074AEA31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96832"/>
        <c:axId val="64338688"/>
      </c:barChart>
      <c:catAx>
        <c:axId val="4869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38688"/>
        <c:crosses val="autoZero"/>
        <c:auto val="1"/>
        <c:lblAlgn val="ctr"/>
        <c:lblOffset val="100"/>
        <c:noMultiLvlLbl val="0"/>
      </c:catAx>
      <c:valAx>
        <c:axId val="6433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69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# of seedlings per scat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Exotic</c:v>
          </c:tx>
          <c:invertIfNegative val="0"/>
          <c:errBars>
            <c:errBarType val="plus"/>
            <c:errValType val="cust"/>
            <c:noEndCap val="0"/>
            <c:plus>
              <c:numRef>
                <c:f>'old and new counts'!$H$51:$I$51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0.59048610867472162</c:v>
                  </c:pt>
                </c:numCache>
              </c:numRef>
            </c:plus>
            <c:minus>
              <c:numRef>
                <c:f>'old and new counts'!$H$51:$I$51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0.59048610867472162</c:v>
                  </c:pt>
                </c:numCache>
              </c:numRef>
            </c:minus>
          </c:errBars>
          <c:cat>
            <c:strRef>
              <c:f>'old and new counts'!$H$39:$K$39</c:f>
              <c:strCache>
                <c:ptCount val="4"/>
                <c:pt idx="0">
                  <c:v>Anao (n=11)</c:v>
                </c:pt>
                <c:pt idx="1">
                  <c:v>Ritidian (n=15)</c:v>
                </c:pt>
                <c:pt idx="2">
                  <c:v>S. Blas (n=3)</c:v>
                </c:pt>
                <c:pt idx="3">
                  <c:v>Ritd Swbks (n=2)</c:v>
                </c:pt>
              </c:strCache>
            </c:strRef>
          </c:cat>
          <c:val>
            <c:numRef>
              <c:f>'old and new counts'!$H$47:$K$47</c:f>
              <c:numCache>
                <c:formatCode>General</c:formatCode>
                <c:ptCount val="4"/>
                <c:pt idx="0">
                  <c:v>0.54545454545454541</c:v>
                </c:pt>
                <c:pt idx="1">
                  <c:v>20.923076923076923</c:v>
                </c:pt>
                <c:pt idx="2">
                  <c:v>0.33333333333333331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26D-AF7D-322E1BCAF9ED}"/>
            </c:ext>
          </c:extLst>
        </c:ser>
        <c:ser>
          <c:idx val="1"/>
          <c:order val="1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'old and new counts'!$H$52:$K$52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3.223407792873382</c:v>
                  </c:pt>
                  <c:pt idx="2">
                    <c:v>0</c:v>
                  </c:pt>
                  <c:pt idx="3">
                    <c:v>67.999999999999986</c:v>
                  </c:pt>
                </c:numCache>
              </c:numRef>
            </c:plus>
            <c:minus>
              <c:numRef>
                <c:f>'old and new counts'!$H$52:$K$52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3.223407792873382</c:v>
                  </c:pt>
                  <c:pt idx="2">
                    <c:v>0</c:v>
                  </c:pt>
                  <c:pt idx="3">
                    <c:v>67.999999999999986</c:v>
                  </c:pt>
                </c:numCache>
              </c:numRef>
            </c:minus>
          </c:errBars>
          <c:cat>
            <c:strRef>
              <c:f>'old and new counts'!$H$39:$K$39</c:f>
              <c:strCache>
                <c:ptCount val="4"/>
                <c:pt idx="0">
                  <c:v>Anao (n=11)</c:v>
                </c:pt>
                <c:pt idx="1">
                  <c:v>Ritidian (n=15)</c:v>
                </c:pt>
                <c:pt idx="2">
                  <c:v>S. Blas (n=3)</c:v>
                </c:pt>
                <c:pt idx="3">
                  <c:v>Ritd Swbks (n=2)</c:v>
                </c:pt>
              </c:strCache>
            </c:strRef>
          </c:cat>
          <c:val>
            <c:numRef>
              <c:f>'old and new counts'!$H$48:$K$48</c:f>
              <c:numCache>
                <c:formatCode>General</c:formatCode>
                <c:ptCount val="4"/>
                <c:pt idx="0">
                  <c:v>40.636363636363633</c:v>
                </c:pt>
                <c:pt idx="1">
                  <c:v>64.692307692307693</c:v>
                </c:pt>
                <c:pt idx="2">
                  <c:v>3.6666666666666665</c:v>
                </c:pt>
                <c:pt idx="3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2-426D-AF7D-322E1BCA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17376"/>
        <c:axId val="48783936"/>
      </c:barChart>
      <c:catAx>
        <c:axId val="685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8783936"/>
        <c:crosses val="autoZero"/>
        <c:auto val="1"/>
        <c:lblAlgn val="ctr"/>
        <c:lblOffset val="100"/>
        <c:noMultiLvlLbl val="0"/>
      </c:catAx>
      <c:valAx>
        <c:axId val="4878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# of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# seedlings per scat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Anao</c:v>
          </c:tx>
          <c:invertIfNegative val="0"/>
          <c:cat>
            <c:strRef>
              <c:f>'old and new counts'!$G$75:$G$82</c:f>
              <c:strCache>
                <c:ptCount val="8"/>
                <c:pt idx="0">
                  <c:v>Morinda (N)</c:v>
                </c:pt>
                <c:pt idx="1">
                  <c:v>Ficus (N)</c:v>
                </c:pt>
                <c:pt idx="2">
                  <c:v>Carica (I)</c:v>
                </c:pt>
                <c:pt idx="3">
                  <c:v>Coccinia (I)</c:v>
                </c:pt>
                <c:pt idx="4">
                  <c:v>Passiflora (I)</c:v>
                </c:pt>
                <c:pt idx="5">
                  <c:v>Chromolaena (I)</c:v>
                </c:pt>
                <c:pt idx="6">
                  <c:v>Leucaena (I)</c:v>
                </c:pt>
                <c:pt idx="7">
                  <c:v>unknown</c:v>
                </c:pt>
              </c:strCache>
            </c:strRef>
          </c:cat>
          <c:val>
            <c:numRef>
              <c:f>'old and new counts'!$H$75:$H$82</c:f>
              <c:numCache>
                <c:formatCode>General</c:formatCode>
                <c:ptCount val="8"/>
                <c:pt idx="0">
                  <c:v>0.27272727272727271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9.0909090909090912E-2</c:v>
                </c:pt>
                <c:pt idx="6">
                  <c:v>0</c:v>
                </c:pt>
                <c:pt idx="7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4-4040-8EEA-3243FBE63AEB}"/>
            </c:ext>
          </c:extLst>
        </c:ser>
        <c:ser>
          <c:idx val="1"/>
          <c:order val="1"/>
          <c:tx>
            <c:v>Ritidian</c:v>
          </c:tx>
          <c:invertIfNegative val="0"/>
          <c:cat>
            <c:strRef>
              <c:f>'old and new counts'!$G$75:$G$82</c:f>
              <c:strCache>
                <c:ptCount val="8"/>
                <c:pt idx="0">
                  <c:v>Morinda (N)</c:v>
                </c:pt>
                <c:pt idx="1">
                  <c:v>Ficus (N)</c:v>
                </c:pt>
                <c:pt idx="2">
                  <c:v>Carica (I)</c:v>
                </c:pt>
                <c:pt idx="3">
                  <c:v>Coccinia (I)</c:v>
                </c:pt>
                <c:pt idx="4">
                  <c:v>Passiflora (I)</c:v>
                </c:pt>
                <c:pt idx="5">
                  <c:v>Chromolaena (I)</c:v>
                </c:pt>
                <c:pt idx="6">
                  <c:v>Leucaena (I)</c:v>
                </c:pt>
                <c:pt idx="7">
                  <c:v>unknown</c:v>
                </c:pt>
              </c:strCache>
            </c:strRef>
          </c:cat>
          <c:val>
            <c:numRef>
              <c:f>'old and new counts'!$I$75:$I$82</c:f>
              <c:numCache>
                <c:formatCode>General</c:formatCode>
                <c:ptCount val="8"/>
                <c:pt idx="0">
                  <c:v>57.53846153846154</c:v>
                </c:pt>
                <c:pt idx="1">
                  <c:v>0.15384615384615385</c:v>
                </c:pt>
                <c:pt idx="2">
                  <c:v>3.6923076923076925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7.6923076923076927E-2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4-4040-8EEA-3243FBE6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62432"/>
        <c:axId val="48786240"/>
      </c:barChart>
      <c:catAx>
        <c:axId val="8456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240"/>
        <c:crosses val="autoZero"/>
        <c:auto val="1"/>
        <c:lblAlgn val="ctr"/>
        <c:lblOffset val="100"/>
        <c:noMultiLvlLbl val="0"/>
      </c:catAx>
      <c:valAx>
        <c:axId val="48786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45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# seedlings per scat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Dry</c:v>
          </c:tx>
          <c:invertIfNegative val="0"/>
          <c:errBars>
            <c:errBarType val="plus"/>
            <c:errValType val="cust"/>
            <c:noEndCap val="0"/>
            <c:plus>
              <c:numRef>
                <c:f>'old and new counts'!$H$63:$I$63</c:f>
                <c:numCache>
                  <c:formatCode>General</c:formatCode>
                  <c:ptCount val="2"/>
                  <c:pt idx="0">
                    <c:v>39.469612870359576</c:v>
                  </c:pt>
                  <c:pt idx="1">
                    <c:v>142.65898646686472</c:v>
                  </c:pt>
                </c:numCache>
              </c:numRef>
            </c:plus>
            <c:minus>
              <c:numRef>
                <c:f>'old and new counts'!$H$63:$I$63</c:f>
                <c:numCache>
                  <c:formatCode>General</c:formatCode>
                  <c:ptCount val="2"/>
                  <c:pt idx="0">
                    <c:v>39.469612870359576</c:v>
                  </c:pt>
                  <c:pt idx="1">
                    <c:v>142.65898646686472</c:v>
                  </c:pt>
                </c:numCache>
              </c:numRef>
            </c:minus>
          </c:errBars>
          <c:cat>
            <c:strRef>
              <c:f>'old and new counts'!$H$39:$I$39</c:f>
              <c:strCache>
                <c:ptCount val="2"/>
                <c:pt idx="0">
                  <c:v>Anao (n=11)</c:v>
                </c:pt>
                <c:pt idx="1">
                  <c:v>Ritidian (n=15)</c:v>
                </c:pt>
              </c:strCache>
            </c:strRef>
          </c:cat>
          <c:val>
            <c:numRef>
              <c:f>'old and new counts'!$H$59:$I$59</c:f>
              <c:numCache>
                <c:formatCode>General</c:formatCode>
                <c:ptCount val="2"/>
                <c:pt idx="0">
                  <c:v>83.25</c:v>
                </c:pt>
                <c:pt idx="1">
                  <c:v>215.55555555555554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F-40DB-8199-349BFF7F8B40}"/>
            </c:ext>
          </c:extLst>
        </c:ser>
        <c:ser>
          <c:idx val="1"/>
          <c:order val="1"/>
          <c:tx>
            <c:v>Rainy</c:v>
          </c:tx>
          <c:invertIfNegative val="0"/>
          <c:errBars>
            <c:errBarType val="plus"/>
            <c:errValType val="cust"/>
            <c:noEndCap val="0"/>
            <c:plus>
              <c:numRef>
                <c:f>'old and new counts'!$H$64:$I$64</c:f>
                <c:numCache>
                  <c:formatCode>General</c:formatCode>
                  <c:ptCount val="2"/>
                  <c:pt idx="0">
                    <c:v>0.25</c:v>
                  </c:pt>
                  <c:pt idx="1">
                    <c:v>8.608135686662937</c:v>
                  </c:pt>
                </c:numCache>
              </c:numRef>
            </c:plus>
            <c:minus>
              <c:numRef>
                <c:f>'old and new counts'!$H$64:$I$64</c:f>
                <c:numCache>
                  <c:formatCode>General</c:formatCode>
                  <c:ptCount val="2"/>
                  <c:pt idx="0">
                    <c:v>0.25</c:v>
                  </c:pt>
                  <c:pt idx="1">
                    <c:v>8.608135686662937</c:v>
                  </c:pt>
                </c:numCache>
              </c:numRef>
            </c:minus>
          </c:errBars>
          <c:cat>
            <c:strRef>
              <c:f>'old and new counts'!$H$39:$I$39</c:f>
              <c:strCache>
                <c:ptCount val="2"/>
                <c:pt idx="0">
                  <c:v>Anao (n=11)</c:v>
                </c:pt>
                <c:pt idx="1">
                  <c:v>Ritidian (n=15)</c:v>
                </c:pt>
              </c:strCache>
            </c:strRef>
          </c:cat>
          <c:val>
            <c:numRef>
              <c:f>'old and new counts'!$H$60:$I$60</c:f>
              <c:numCache>
                <c:formatCode>General</c:formatCode>
                <c:ptCount val="2"/>
                <c:pt idx="0">
                  <c:v>0.42857142857142855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F-40DB-8199-349BFF7F8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63456"/>
        <c:axId val="48787968"/>
      </c:barChart>
      <c:catAx>
        <c:axId val="8456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7968"/>
        <c:crosses val="autoZero"/>
        <c:auto val="1"/>
        <c:lblAlgn val="ctr"/>
        <c:lblOffset val="100"/>
        <c:noMultiLvlLbl val="0"/>
      </c:catAx>
      <c:valAx>
        <c:axId val="4878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45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# seedlings per g of scat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Non-native</c:v>
          </c:tx>
          <c:invertIfNegative val="0"/>
          <c:errBars>
            <c:errBarType val="plus"/>
            <c:errValType val="cust"/>
            <c:noEndCap val="0"/>
            <c:plus>
              <c:numRef>
                <c:f>'new wt-based'!$F$37:$G$37</c:f>
                <c:numCache>
                  <c:formatCode>General</c:formatCode>
                  <c:ptCount val="2"/>
                  <c:pt idx="0">
                    <c:v>1.9069647813594773E-2</c:v>
                  </c:pt>
                  <c:pt idx="1">
                    <c:v>0.160872740879003</c:v>
                  </c:pt>
                </c:numCache>
              </c:numRef>
            </c:plus>
            <c:minus>
              <c:numRef>
                <c:f>'new wt-based'!$F$37:$G$37</c:f>
                <c:numCache>
                  <c:formatCode>General</c:formatCode>
                  <c:ptCount val="2"/>
                  <c:pt idx="0">
                    <c:v>1.9069647813594773E-2</c:v>
                  </c:pt>
                  <c:pt idx="1">
                    <c:v>0.160872740879003</c:v>
                  </c:pt>
                </c:numCache>
              </c:numRef>
            </c:minus>
          </c:errBars>
          <c:cat>
            <c:strRef>
              <c:f>'new wt-based'!$F$29:$G$29</c:f>
              <c:strCache>
                <c:ptCount val="2"/>
                <c:pt idx="0">
                  <c:v>Anao (n=11)</c:v>
                </c:pt>
                <c:pt idx="1">
                  <c:v>Ritidian (n=7)</c:v>
                </c:pt>
              </c:strCache>
            </c:strRef>
          </c:cat>
          <c:val>
            <c:numRef>
              <c:f>'new wt-based'!$F$34:$G$34</c:f>
              <c:numCache>
                <c:formatCode>General</c:formatCode>
                <c:ptCount val="2"/>
                <c:pt idx="0">
                  <c:v>3.4909880144407213E-2</c:v>
                </c:pt>
                <c:pt idx="1">
                  <c:v>0.23071434103864299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A-47B8-9E8D-1410E9737DC1}"/>
            </c:ext>
          </c:extLst>
        </c:ser>
        <c:ser>
          <c:idx val="1"/>
          <c:order val="1"/>
          <c:tx>
            <c:v>Native</c:v>
          </c:tx>
          <c:invertIfNegative val="0"/>
          <c:errBars>
            <c:errBarType val="plus"/>
            <c:errValType val="cust"/>
            <c:noEndCap val="0"/>
            <c:plus>
              <c:numRef>
                <c:f>'new wt-based'!$F$39:$G$39</c:f>
                <c:numCache>
                  <c:formatCode>General</c:formatCode>
                  <c:ptCount val="2"/>
                  <c:pt idx="0">
                    <c:v>1.0316564566894364</c:v>
                  </c:pt>
                  <c:pt idx="1">
                    <c:v>2.9579742898600547</c:v>
                  </c:pt>
                </c:numCache>
              </c:numRef>
            </c:plus>
            <c:minus>
              <c:numRef>
                <c:f>'new wt-based'!$F$39:$G$39</c:f>
                <c:numCache>
                  <c:formatCode>General</c:formatCode>
                  <c:ptCount val="2"/>
                  <c:pt idx="0">
                    <c:v>1.0316564566894364</c:v>
                  </c:pt>
                  <c:pt idx="1">
                    <c:v>2.9579742898600547</c:v>
                  </c:pt>
                </c:numCache>
              </c:numRef>
            </c:minus>
          </c:errBars>
          <c:cat>
            <c:strRef>
              <c:f>'new wt-based'!$F$29:$G$29</c:f>
              <c:strCache>
                <c:ptCount val="2"/>
                <c:pt idx="0">
                  <c:v>Anao (n=11)</c:v>
                </c:pt>
                <c:pt idx="1">
                  <c:v>Ritidian (n=7)</c:v>
                </c:pt>
              </c:strCache>
            </c:strRef>
          </c:cat>
          <c:val>
            <c:numRef>
              <c:f>'new wt-based'!$F$35:$G$35</c:f>
              <c:numCache>
                <c:formatCode>General</c:formatCode>
                <c:ptCount val="2"/>
                <c:pt idx="0">
                  <c:v>2.2292452035071464</c:v>
                </c:pt>
                <c:pt idx="1">
                  <c:v>4.8697205554942151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A-47B8-9E8D-1410E973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93760"/>
        <c:axId val="48790272"/>
      </c:barChart>
      <c:catAx>
        <c:axId val="4869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90272"/>
        <c:crosses val="autoZero"/>
        <c:auto val="1"/>
        <c:lblAlgn val="ctr"/>
        <c:lblOffset val="100"/>
        <c:noMultiLvlLbl val="0"/>
      </c:catAx>
      <c:valAx>
        <c:axId val="48790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6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# of seedlings per g of scat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Anao</c:v>
          </c:tx>
          <c:invertIfNegative val="0"/>
          <c:cat>
            <c:strRef>
              <c:f>'new wt-based'!$E$42:$E$47</c:f>
              <c:strCache>
                <c:ptCount val="6"/>
                <c:pt idx="0">
                  <c:v>Morinda (N)</c:v>
                </c:pt>
                <c:pt idx="1">
                  <c:v>Ficus (N)</c:v>
                </c:pt>
                <c:pt idx="2">
                  <c:v>Carica (I)</c:v>
                </c:pt>
                <c:pt idx="3">
                  <c:v>Coccinia (I)</c:v>
                </c:pt>
                <c:pt idx="4">
                  <c:v>Chromolaena (I)</c:v>
                </c:pt>
                <c:pt idx="5">
                  <c:v>unknown</c:v>
                </c:pt>
              </c:strCache>
            </c:strRef>
          </c:cat>
          <c:val>
            <c:numRef>
              <c:f>'new wt-based'!$F$42:$F$47</c:f>
              <c:numCache>
                <c:formatCode>General</c:formatCode>
                <c:ptCount val="6"/>
                <c:pt idx="0">
                  <c:v>1.0073993984528939</c:v>
                </c:pt>
                <c:pt idx="1">
                  <c:v>1.2218458050542524</c:v>
                </c:pt>
                <c:pt idx="2">
                  <c:v>1.4961377204745949E-2</c:v>
                </c:pt>
                <c:pt idx="3">
                  <c:v>9.9742514698306327E-3</c:v>
                </c:pt>
                <c:pt idx="4">
                  <c:v>4.9871257349153163E-3</c:v>
                </c:pt>
                <c:pt idx="5">
                  <c:v>9.9742514698306327E-3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C-492B-BD5E-7950354BFC76}"/>
            </c:ext>
          </c:extLst>
        </c:ser>
        <c:ser>
          <c:idx val="1"/>
          <c:order val="1"/>
          <c:tx>
            <c:v>Ritidian</c:v>
          </c:tx>
          <c:invertIfNegative val="0"/>
          <c:cat>
            <c:strRef>
              <c:f>'new wt-based'!$E$42:$E$47</c:f>
              <c:strCache>
                <c:ptCount val="6"/>
                <c:pt idx="0">
                  <c:v>Morinda (N)</c:v>
                </c:pt>
                <c:pt idx="1">
                  <c:v>Ficus (N)</c:v>
                </c:pt>
                <c:pt idx="2">
                  <c:v>Carica (I)</c:v>
                </c:pt>
                <c:pt idx="3">
                  <c:v>Coccinia (I)</c:v>
                </c:pt>
                <c:pt idx="4">
                  <c:v>Chromolaena (I)</c:v>
                </c:pt>
                <c:pt idx="5">
                  <c:v>unknown</c:v>
                </c:pt>
              </c:strCache>
            </c:strRef>
          </c:cat>
          <c:val>
            <c:numRef>
              <c:f>'new wt-based'!$G$42:$G$47</c:f>
              <c:numCache>
                <c:formatCode>General</c:formatCode>
                <c:ptCount val="6"/>
                <c:pt idx="0">
                  <c:v>4.8532409597057402</c:v>
                </c:pt>
                <c:pt idx="1">
                  <c:v>1.6479595788474501E-2</c:v>
                </c:pt>
                <c:pt idx="2">
                  <c:v>0.23071434103864299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C-492B-BD5E-7950354B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65504"/>
        <c:axId val="91202688"/>
      </c:barChart>
      <c:catAx>
        <c:axId val="8456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202688"/>
        <c:crosses val="autoZero"/>
        <c:auto val="1"/>
        <c:lblAlgn val="ctr"/>
        <c:lblOffset val="100"/>
        <c:noMultiLvlLbl val="0"/>
      </c:catAx>
      <c:valAx>
        <c:axId val="9120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45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Species germinated from pig scats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Anao</c:v>
          </c:tx>
          <c:invertIfNegative val="0"/>
          <c:errBars>
            <c:errBarType val="plus"/>
            <c:errValType val="cust"/>
            <c:noEndCap val="0"/>
            <c:plus>
              <c:numRef>
                <c:f>Sheet3!$E$32:$E$39</c:f>
                <c:numCache>
                  <c:formatCode>General</c:formatCode>
                  <c:ptCount val="8"/>
                  <c:pt idx="0">
                    <c:v>12.91248354906827</c:v>
                  </c:pt>
                  <c:pt idx="1">
                    <c:v>0.15212000482437738</c:v>
                  </c:pt>
                  <c:pt idx="2">
                    <c:v>0.12196734422726126</c:v>
                  </c:pt>
                  <c:pt idx="3">
                    <c:v>14.966684766258759</c:v>
                  </c:pt>
                  <c:pt idx="4">
                    <c:v>9.0909090909090912E-2</c:v>
                  </c:pt>
                  <c:pt idx="5">
                    <c:v>0.44905778309921707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Sheet3!$E$32:$E$39</c:f>
                <c:numCache>
                  <c:formatCode>General</c:formatCode>
                  <c:ptCount val="8"/>
                  <c:pt idx="0">
                    <c:v>12.91248354906827</c:v>
                  </c:pt>
                  <c:pt idx="1">
                    <c:v>0.15212000482437738</c:v>
                  </c:pt>
                  <c:pt idx="2">
                    <c:v>0.12196734422726126</c:v>
                  </c:pt>
                  <c:pt idx="3">
                    <c:v>14.966684766258759</c:v>
                  </c:pt>
                  <c:pt idx="4">
                    <c:v>9.0909090909090912E-2</c:v>
                  </c:pt>
                  <c:pt idx="5">
                    <c:v>0.44905778309921707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</c:errBars>
          <c:cat>
            <c:strRef>
              <c:f>Sheet3!$A$32:$A$39</c:f>
              <c:strCache>
                <c:ptCount val="8"/>
                <c:pt idx="0">
                  <c:v>Morinda</c:v>
                </c:pt>
                <c:pt idx="1">
                  <c:v>Carica</c:v>
                </c:pt>
                <c:pt idx="2">
                  <c:v>Coccinia</c:v>
                </c:pt>
                <c:pt idx="3">
                  <c:v>Ficus prolixa</c:v>
                </c:pt>
                <c:pt idx="4">
                  <c:v>Chromolaena</c:v>
                </c:pt>
                <c:pt idx="5">
                  <c:v>unknown</c:v>
                </c:pt>
                <c:pt idx="6">
                  <c:v>Passiflora</c:v>
                </c:pt>
                <c:pt idx="7">
                  <c:v>Leucaena</c:v>
                </c:pt>
              </c:strCache>
            </c:strRef>
          </c:cat>
          <c:val>
            <c:numRef>
              <c:f>Sheet3!$C$32:$C$39</c:f>
              <c:numCache>
                <c:formatCode>General</c:formatCode>
                <c:ptCount val="8"/>
                <c:pt idx="0">
                  <c:v>18.363636363636363</c:v>
                </c:pt>
                <c:pt idx="1">
                  <c:v>0.36363636363636365</c:v>
                </c:pt>
                <c:pt idx="2">
                  <c:v>0.18181818181818182</c:v>
                </c:pt>
                <c:pt idx="3">
                  <c:v>22.272727272727273</c:v>
                </c:pt>
                <c:pt idx="4">
                  <c:v>9.0909090909090912E-2</c:v>
                </c:pt>
                <c:pt idx="5">
                  <c:v>0.72727272727272729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B-4B0B-BD70-412905812ADE}"/>
            </c:ext>
          </c:extLst>
        </c:ser>
        <c:ser>
          <c:idx val="1"/>
          <c:order val="1"/>
          <c:tx>
            <c:v>Ritidian Gate</c:v>
          </c:tx>
          <c:invertIfNegative val="0"/>
          <c:errBars>
            <c:errBarType val="plus"/>
            <c:errValType val="cust"/>
            <c:noEndCap val="0"/>
            <c:plus>
              <c:numRef>
                <c:f>Sheet3!$J$32:$J$39</c:f>
                <c:numCache>
                  <c:formatCode>General</c:formatCode>
                  <c:ptCount val="8"/>
                  <c:pt idx="0">
                    <c:v>22.044428443414574</c:v>
                  </c:pt>
                  <c:pt idx="1">
                    <c:v>11.126630431622358</c:v>
                  </c:pt>
                  <c:pt idx="2">
                    <c:v>0</c:v>
                  </c:pt>
                  <c:pt idx="3">
                    <c:v>0.1333333333333333</c:v>
                  </c:pt>
                  <c:pt idx="4">
                    <c:v>0</c:v>
                  </c:pt>
                  <c:pt idx="5">
                    <c:v>0</c:v>
                  </c:pt>
                  <c:pt idx="6">
                    <c:v>0.61618385217606908</c:v>
                  </c:pt>
                  <c:pt idx="7">
                    <c:v>6.6666666666666652E-2</c:v>
                  </c:pt>
                </c:numCache>
              </c:numRef>
            </c:plus>
            <c:minus>
              <c:numRef>
                <c:f>Sheet3!$J$32:$J$39</c:f>
                <c:numCache>
                  <c:formatCode>General</c:formatCode>
                  <c:ptCount val="8"/>
                  <c:pt idx="0">
                    <c:v>22.044428443414574</c:v>
                  </c:pt>
                  <c:pt idx="1">
                    <c:v>11.126630431622358</c:v>
                  </c:pt>
                  <c:pt idx="2">
                    <c:v>0</c:v>
                  </c:pt>
                  <c:pt idx="3">
                    <c:v>0.1333333333333333</c:v>
                  </c:pt>
                  <c:pt idx="4">
                    <c:v>0</c:v>
                  </c:pt>
                  <c:pt idx="5">
                    <c:v>0</c:v>
                  </c:pt>
                  <c:pt idx="6">
                    <c:v>0.61618385217606908</c:v>
                  </c:pt>
                  <c:pt idx="7">
                    <c:v>6.6666666666666652E-2</c:v>
                  </c:pt>
                </c:numCache>
              </c:numRef>
            </c:minus>
          </c:errBars>
          <c:val>
            <c:numRef>
              <c:f>Sheet3!$H$32:$H$39</c:f>
              <c:numCache>
                <c:formatCode>General</c:formatCode>
                <c:ptCount val="8"/>
                <c:pt idx="0">
                  <c:v>55.93333333333333</c:v>
                </c:pt>
                <c:pt idx="1">
                  <c:v>17.2</c:v>
                </c:pt>
                <c:pt idx="2">
                  <c:v>0</c:v>
                </c:pt>
                <c:pt idx="3">
                  <c:v>0.13333333333333333</c:v>
                </c:pt>
                <c:pt idx="4">
                  <c:v>0</c:v>
                </c:pt>
                <c:pt idx="5">
                  <c:v>0</c:v>
                </c:pt>
                <c:pt idx="6">
                  <c:v>0.8666666666666667</c:v>
                </c:pt>
                <c:pt idx="7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B-4B0B-BD70-41290581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93248"/>
        <c:axId val="91204416"/>
      </c:barChart>
      <c:catAx>
        <c:axId val="4869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204416"/>
        <c:crosses val="autoZero"/>
        <c:auto val="1"/>
        <c:lblAlgn val="ctr"/>
        <c:lblOffset val="100"/>
        <c:noMultiLvlLbl val="0"/>
      </c:catAx>
      <c:valAx>
        <c:axId val="9120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# seedlings per scat +SE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exotic</c:v>
          </c:tx>
          <c:invertIfNegative val="0"/>
          <c:errBars>
            <c:errBarType val="both"/>
            <c:errValType val="cust"/>
            <c:noEndCap val="0"/>
            <c:plus>
              <c:numRef>
                <c:f>(Sheet4!$P$45,Sheet4!$P$47)</c:f>
                <c:numCache>
                  <c:formatCode>General</c:formatCode>
                  <c:ptCount val="2"/>
                  <c:pt idx="0">
                    <c:v>6.6892443663737547E-2</c:v>
                  </c:pt>
                  <c:pt idx="1">
                    <c:v>9.6705882411420668E-2</c:v>
                  </c:pt>
                </c:numCache>
              </c:numRef>
            </c:plus>
            <c:minus>
              <c:numRef>
                <c:f>(Sheet4!$P$45,Sheet4!$P$47)</c:f>
                <c:numCache>
                  <c:formatCode>General</c:formatCode>
                  <c:ptCount val="2"/>
                  <c:pt idx="0">
                    <c:v>6.6892443663737547E-2</c:v>
                  </c:pt>
                  <c:pt idx="1">
                    <c:v>9.6705882411420668E-2</c:v>
                  </c:pt>
                </c:numCache>
              </c:numRef>
            </c:minus>
          </c:errBars>
          <c:cat>
            <c:strRef>
              <c:f>(Sheet4!$A$46,Sheet4!$A$48)</c:f>
              <c:strCache>
                <c:ptCount val="2"/>
                <c:pt idx="0">
                  <c:v>Anao North</c:v>
                </c:pt>
                <c:pt idx="1">
                  <c:v>Ritidian Gate</c:v>
                </c:pt>
              </c:strCache>
            </c:strRef>
          </c:cat>
          <c:val>
            <c:numRef>
              <c:f>(Sheet4!$H$45,Sheet4!$H$47)</c:f>
              <c:numCache>
                <c:formatCode>General</c:formatCode>
                <c:ptCount val="2"/>
                <c:pt idx="0">
                  <c:v>5.1043012737677702E-2</c:v>
                </c:pt>
                <c:pt idx="1">
                  <c:v>0.17340948333112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5-4883-A32A-78AE6F76FFA7}"/>
            </c:ext>
          </c:extLst>
        </c:ser>
        <c:ser>
          <c:idx val="1"/>
          <c:order val="1"/>
          <c:tx>
            <c:v>native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(Sheet4!$P$46,Sheet4!$P$48)</c:f>
                <c:numCache>
                  <c:formatCode>General</c:formatCode>
                  <c:ptCount val="2"/>
                  <c:pt idx="0">
                    <c:v>2.2033355011580939E-2</c:v>
                  </c:pt>
                  <c:pt idx="1">
                    <c:v>0.14908823538427352</c:v>
                  </c:pt>
                </c:numCache>
              </c:numRef>
            </c:plus>
            <c:minus>
              <c:numRef>
                <c:f>(Sheet4!$P$46,Sheet4!$P$48)</c:f>
                <c:numCache>
                  <c:formatCode>General</c:formatCode>
                  <c:ptCount val="2"/>
                  <c:pt idx="0">
                    <c:v>2.2033355011580939E-2</c:v>
                  </c:pt>
                  <c:pt idx="1">
                    <c:v>0.14908823538427352</c:v>
                  </c:pt>
                </c:numCache>
              </c:numRef>
            </c:minus>
          </c:errBars>
          <c:cat>
            <c:strRef>
              <c:f>(Sheet4!$A$46,Sheet4!$A$48)</c:f>
              <c:strCache>
                <c:ptCount val="2"/>
                <c:pt idx="0">
                  <c:v>Anao North</c:v>
                </c:pt>
                <c:pt idx="1">
                  <c:v>Ritidian Gate</c:v>
                </c:pt>
              </c:strCache>
            </c:strRef>
          </c:cat>
          <c:val>
            <c:numRef>
              <c:f>(Sheet4!$H$46,Sheet4!$H$48)</c:f>
              <c:numCache>
                <c:formatCode>General</c:formatCode>
                <c:ptCount val="2"/>
                <c:pt idx="0">
                  <c:v>0.94895698726232203</c:v>
                </c:pt>
                <c:pt idx="1">
                  <c:v>0.82659051666887995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5-4883-A32A-78AE6F76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99616"/>
        <c:axId val="91206144"/>
      </c:barChart>
      <c:catAx>
        <c:axId val="9079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91206144"/>
        <c:crosses val="autoZero"/>
        <c:auto val="1"/>
        <c:lblAlgn val="ctr"/>
        <c:lblOffset val="100"/>
        <c:noMultiLvlLbl val="0"/>
      </c:catAx>
      <c:valAx>
        <c:axId val="91206144"/>
        <c:scaling>
          <c:orientation val="minMax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Manly's selectivity index (B)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079961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>
            <a:defRPr sz="12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39</xdr:row>
      <xdr:rowOff>0</xdr:rowOff>
    </xdr:from>
    <xdr:to>
      <xdr:col>5</xdr:col>
      <xdr:colOff>774700</xdr:colOff>
      <xdr:row>53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35</xdr:row>
      <xdr:rowOff>25400</xdr:rowOff>
    </xdr:from>
    <xdr:to>
      <xdr:col>20</xdr:col>
      <xdr:colOff>546100</xdr:colOff>
      <xdr:row>57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876300</xdr:colOff>
      <xdr:row>64</xdr:row>
      <xdr:rowOff>76200</xdr:rowOff>
    </xdr:from>
    <xdr:to>
      <xdr:col>18</xdr:col>
      <xdr:colOff>863600</xdr:colOff>
      <xdr:row>87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596900</xdr:colOff>
      <xdr:row>55</xdr:row>
      <xdr:rowOff>0</xdr:rowOff>
    </xdr:from>
    <xdr:to>
      <xdr:col>5</xdr:col>
      <xdr:colOff>406400</xdr:colOff>
      <xdr:row>71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26</xdr:row>
      <xdr:rowOff>76200</xdr:rowOff>
    </xdr:from>
    <xdr:to>
      <xdr:col>13</xdr:col>
      <xdr:colOff>558800</xdr:colOff>
      <xdr:row>43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45</xdr:row>
      <xdr:rowOff>88900</xdr:rowOff>
    </xdr:from>
    <xdr:to>
      <xdr:col>13</xdr:col>
      <xdr:colOff>723900</xdr:colOff>
      <xdr:row>64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40</xdr:row>
      <xdr:rowOff>38100</xdr:rowOff>
    </xdr:from>
    <xdr:to>
      <xdr:col>13</xdr:col>
      <xdr:colOff>228600</xdr:colOff>
      <xdr:row>63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51</xdr:row>
      <xdr:rowOff>38100</xdr:rowOff>
    </xdr:from>
    <xdr:to>
      <xdr:col>15</xdr:col>
      <xdr:colOff>520700</xdr:colOff>
      <xdr:row>70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39" sqref="J39"/>
    </sheetView>
  </sheetViews>
  <sheetFormatPr defaultColWidth="10.921875" defaultRowHeight="13.5" x14ac:dyDescent="0.3"/>
  <sheetData>
    <row r="1" spans="1:11" x14ac:dyDescent="0.3">
      <c r="A1" t="s">
        <v>695</v>
      </c>
      <c r="B1" t="s">
        <v>696</v>
      </c>
      <c r="C1" t="s">
        <v>697</v>
      </c>
      <c r="D1" t="s">
        <v>82</v>
      </c>
      <c r="F1" t="s">
        <v>390</v>
      </c>
      <c r="G1" t="s">
        <v>203</v>
      </c>
      <c r="I1" t="s">
        <v>589</v>
      </c>
      <c r="J1" t="s">
        <v>630</v>
      </c>
      <c r="K1" t="s">
        <v>669</v>
      </c>
    </row>
    <row r="2" spans="1:11" s="2" customFormat="1" x14ac:dyDescent="0.3">
      <c r="A2" s="2" t="s">
        <v>593</v>
      </c>
      <c r="B2" s="2" t="s">
        <v>702</v>
      </c>
      <c r="C2" s="2">
        <v>2</v>
      </c>
      <c r="F2" s="2">
        <v>36</v>
      </c>
    </row>
    <row r="3" spans="1:11" s="2" customFormat="1" x14ac:dyDescent="0.3">
      <c r="A3" s="2" t="s">
        <v>698</v>
      </c>
      <c r="B3" s="2" t="s">
        <v>285</v>
      </c>
      <c r="C3" s="2">
        <v>5</v>
      </c>
      <c r="F3" s="2" t="s">
        <v>391</v>
      </c>
    </row>
    <row r="4" spans="1:11" s="2" customFormat="1" x14ac:dyDescent="0.3">
      <c r="A4" s="2" t="s">
        <v>698</v>
      </c>
      <c r="B4" s="2" t="s">
        <v>83</v>
      </c>
      <c r="D4" s="2">
        <v>1</v>
      </c>
      <c r="F4" s="2">
        <v>1</v>
      </c>
    </row>
    <row r="5" spans="1:11" s="2" customFormat="1" x14ac:dyDescent="0.3">
      <c r="A5" s="2" t="s">
        <v>698</v>
      </c>
      <c r="B5" s="2" t="s">
        <v>199</v>
      </c>
      <c r="D5" s="2">
        <v>87</v>
      </c>
      <c r="E5" s="2" t="s">
        <v>45</v>
      </c>
      <c r="F5" s="2">
        <v>129</v>
      </c>
      <c r="G5" s="2">
        <f>SUM(F2:F5+C3)</f>
        <v>134</v>
      </c>
    </row>
    <row r="6" spans="1:11" x14ac:dyDescent="0.3">
      <c r="A6" t="s">
        <v>105</v>
      </c>
      <c r="B6" t="s">
        <v>640</v>
      </c>
      <c r="C6">
        <v>8</v>
      </c>
      <c r="D6">
        <v>16</v>
      </c>
      <c r="E6" t="s">
        <v>46</v>
      </c>
    </row>
    <row r="7" spans="1:11" x14ac:dyDescent="0.3">
      <c r="A7" t="s">
        <v>105</v>
      </c>
      <c r="B7" t="s">
        <v>123</v>
      </c>
      <c r="D7">
        <v>1</v>
      </c>
      <c r="F7">
        <v>1</v>
      </c>
    </row>
    <row r="8" spans="1:11" x14ac:dyDescent="0.3">
      <c r="A8" t="s">
        <v>105</v>
      </c>
      <c r="B8" t="s">
        <v>200</v>
      </c>
      <c r="C8">
        <v>1</v>
      </c>
      <c r="F8">
        <v>1</v>
      </c>
      <c r="G8">
        <f>SUM(D6,F7:F8)</f>
        <v>18</v>
      </c>
    </row>
    <row r="9" spans="1:11" s="2" customFormat="1" x14ac:dyDescent="0.3">
      <c r="A9" s="2" t="s">
        <v>286</v>
      </c>
      <c r="B9" s="2" t="s">
        <v>287</v>
      </c>
      <c r="C9" s="2">
        <v>2</v>
      </c>
      <c r="F9" s="2">
        <v>7</v>
      </c>
    </row>
    <row r="10" spans="1:11" s="2" customFormat="1" x14ac:dyDescent="0.3">
      <c r="A10" s="2" t="s">
        <v>288</v>
      </c>
      <c r="B10" s="2" t="s">
        <v>289</v>
      </c>
      <c r="C10" s="2">
        <v>2</v>
      </c>
      <c r="F10" s="2">
        <v>1</v>
      </c>
    </row>
    <row r="11" spans="1:11" s="2" customFormat="1" x14ac:dyDescent="0.3">
      <c r="A11" s="2" t="s">
        <v>107</v>
      </c>
      <c r="B11" s="2" t="s">
        <v>11</v>
      </c>
      <c r="C11" s="2">
        <v>42</v>
      </c>
    </row>
    <row r="12" spans="1:11" s="2" customFormat="1" x14ac:dyDescent="0.3">
      <c r="A12" s="2" t="s">
        <v>107</v>
      </c>
      <c r="B12" s="2" t="s">
        <v>198</v>
      </c>
      <c r="D12" s="2">
        <v>45</v>
      </c>
      <c r="E12" s="2" t="s">
        <v>26</v>
      </c>
      <c r="F12" s="2">
        <v>116</v>
      </c>
      <c r="G12" s="2">
        <f>SUM(F9+C10+C11+F12)</f>
        <v>167</v>
      </c>
    </row>
    <row r="13" spans="1:11" x14ac:dyDescent="0.3">
      <c r="A13" t="s">
        <v>639</v>
      </c>
      <c r="B13" t="s">
        <v>290</v>
      </c>
      <c r="C13">
        <v>3</v>
      </c>
    </row>
    <row r="14" spans="1:11" x14ac:dyDescent="0.3">
      <c r="A14" t="s">
        <v>101</v>
      </c>
      <c r="B14" t="s">
        <v>287</v>
      </c>
      <c r="C14">
        <v>24</v>
      </c>
      <c r="D14">
        <v>143</v>
      </c>
      <c r="E14" t="s">
        <v>173</v>
      </c>
      <c r="F14">
        <v>116</v>
      </c>
    </row>
    <row r="15" spans="1:11" x14ac:dyDescent="0.3">
      <c r="A15" t="s">
        <v>101</v>
      </c>
      <c r="B15" t="s">
        <v>123</v>
      </c>
      <c r="C15">
        <v>1</v>
      </c>
    </row>
    <row r="16" spans="1:11" x14ac:dyDescent="0.3">
      <c r="A16" t="s">
        <v>101</v>
      </c>
      <c r="B16" t="s">
        <v>641</v>
      </c>
      <c r="F16">
        <v>1</v>
      </c>
      <c r="G16">
        <f>SUM(C13+D14+C15+F16)</f>
        <v>148</v>
      </c>
    </row>
    <row r="17" spans="1:10" s="2" customFormat="1" x14ac:dyDescent="0.3">
      <c r="A17" s="2" t="s">
        <v>190</v>
      </c>
      <c r="B17" s="2" t="s">
        <v>640</v>
      </c>
      <c r="D17" s="2">
        <v>5</v>
      </c>
      <c r="F17" s="2">
        <v>9</v>
      </c>
    </row>
    <row r="18" spans="1:10" s="2" customFormat="1" x14ac:dyDescent="0.3">
      <c r="A18" s="2" t="s">
        <v>190</v>
      </c>
      <c r="B18" s="2" t="s">
        <v>198</v>
      </c>
      <c r="D18" s="2">
        <v>2</v>
      </c>
      <c r="F18" s="2">
        <v>2</v>
      </c>
      <c r="G18" s="2">
        <f>SUM(F17:F18)</f>
        <v>11</v>
      </c>
    </row>
    <row r="19" spans="1:10" x14ac:dyDescent="0.3">
      <c r="A19" t="s">
        <v>603</v>
      </c>
      <c r="B19" t="s">
        <v>126</v>
      </c>
      <c r="C19">
        <v>16</v>
      </c>
      <c r="D19">
        <v>16</v>
      </c>
      <c r="E19" t="s">
        <v>174</v>
      </c>
      <c r="F19">
        <v>26</v>
      </c>
    </row>
    <row r="20" spans="1:10" x14ac:dyDescent="0.3">
      <c r="A20" t="s">
        <v>603</v>
      </c>
      <c r="B20" t="s">
        <v>287</v>
      </c>
      <c r="C20">
        <v>3</v>
      </c>
      <c r="D20">
        <v>19</v>
      </c>
      <c r="E20" t="s">
        <v>20</v>
      </c>
      <c r="F20">
        <v>66</v>
      </c>
      <c r="G20">
        <f>SUM(F19:F20)</f>
        <v>92</v>
      </c>
    </row>
    <row r="21" spans="1:10" s="2" customFormat="1" x14ac:dyDescent="0.3">
      <c r="A21" s="2" t="s">
        <v>605</v>
      </c>
      <c r="B21" s="2" t="s">
        <v>80</v>
      </c>
      <c r="C21" s="2">
        <v>13</v>
      </c>
      <c r="D21" s="2">
        <v>65</v>
      </c>
      <c r="E21" s="2" t="s">
        <v>21</v>
      </c>
      <c r="F21" s="2">
        <v>184</v>
      </c>
      <c r="G21" s="2">
        <v>184</v>
      </c>
    </row>
    <row r="22" spans="1:10" x14ac:dyDescent="0.3">
      <c r="A22" t="s">
        <v>607</v>
      </c>
      <c r="B22" t="s">
        <v>80</v>
      </c>
      <c r="C22">
        <v>21</v>
      </c>
      <c r="D22">
        <v>208</v>
      </c>
      <c r="E22" t="s">
        <v>389</v>
      </c>
      <c r="F22" s="2">
        <v>307</v>
      </c>
    </row>
    <row r="23" spans="1:10" x14ac:dyDescent="0.3">
      <c r="A23" t="s">
        <v>607</v>
      </c>
      <c r="B23" t="s">
        <v>81</v>
      </c>
      <c r="C23">
        <v>1</v>
      </c>
      <c r="D23">
        <v>2</v>
      </c>
      <c r="F23" s="2">
        <v>2</v>
      </c>
      <c r="G23">
        <f>SUM(F22:F23)</f>
        <v>309</v>
      </c>
    </row>
    <row r="24" spans="1:10" s="2" customFormat="1" x14ac:dyDescent="0.3">
      <c r="A24" s="2" t="s">
        <v>608</v>
      </c>
    </row>
    <row r="25" spans="1:10" x14ac:dyDescent="0.3">
      <c r="A25" t="s">
        <v>609</v>
      </c>
    </row>
    <row r="26" spans="1:10" s="2" customFormat="1" x14ac:dyDescent="0.3">
      <c r="A26" s="2" t="s">
        <v>701</v>
      </c>
    </row>
    <row r="27" spans="1:10" x14ac:dyDescent="0.3">
      <c r="A27" t="s">
        <v>70</v>
      </c>
      <c r="B27" t="s">
        <v>590</v>
      </c>
      <c r="I27">
        <v>23</v>
      </c>
      <c r="J27">
        <v>18</v>
      </c>
    </row>
    <row r="28" spans="1:10" x14ac:dyDescent="0.3">
      <c r="A28" t="s">
        <v>638</v>
      </c>
    </row>
    <row r="29" spans="1:10" s="2" customFormat="1" x14ac:dyDescent="0.3">
      <c r="A29" s="2" t="s">
        <v>71</v>
      </c>
    </row>
    <row r="30" spans="1:10" x14ac:dyDescent="0.3">
      <c r="A30" t="s">
        <v>72</v>
      </c>
    </row>
    <row r="31" spans="1:10" s="2" customFormat="1" x14ac:dyDescent="0.3">
      <c r="A31" s="2" t="s">
        <v>73</v>
      </c>
    </row>
    <row r="32" spans="1:10" x14ac:dyDescent="0.3">
      <c r="A32" t="s">
        <v>74</v>
      </c>
      <c r="B32" t="s">
        <v>629</v>
      </c>
      <c r="I32">
        <v>1</v>
      </c>
    </row>
    <row r="33" spans="1:10" s="2" customFormat="1" x14ac:dyDescent="0.3">
      <c r="A33" s="2" t="s">
        <v>636</v>
      </c>
      <c r="B33" s="2" t="s">
        <v>637</v>
      </c>
      <c r="H33" s="2">
        <v>1</v>
      </c>
    </row>
    <row r="34" spans="1:10" s="2" customFormat="1" x14ac:dyDescent="0.3">
      <c r="A34" s="2" t="s">
        <v>75</v>
      </c>
      <c r="B34" s="2" t="s">
        <v>631</v>
      </c>
      <c r="J34" s="2">
        <v>11</v>
      </c>
    </row>
    <row r="35" spans="1:10" x14ac:dyDescent="0.3">
      <c r="A35" t="s">
        <v>463</v>
      </c>
    </row>
    <row r="36" spans="1:10" s="2" customFormat="1" x14ac:dyDescent="0.3">
      <c r="A36" s="2" t="s">
        <v>632</v>
      </c>
      <c r="B36" s="2" t="s">
        <v>633</v>
      </c>
      <c r="J36" s="2">
        <v>1</v>
      </c>
    </row>
    <row r="37" spans="1:10" x14ac:dyDescent="0.3">
      <c r="A37" t="s">
        <v>594</v>
      </c>
      <c r="B37" t="s">
        <v>595</v>
      </c>
      <c r="J37">
        <v>1</v>
      </c>
    </row>
    <row r="38" spans="1:10" x14ac:dyDescent="0.3">
      <c r="A38" t="s">
        <v>635</v>
      </c>
      <c r="B38" t="s">
        <v>483</v>
      </c>
      <c r="J38">
        <v>1</v>
      </c>
    </row>
    <row r="39" spans="1:10" x14ac:dyDescent="0.3">
      <c r="A39" t="s">
        <v>634</v>
      </c>
      <c r="B39" t="s">
        <v>668</v>
      </c>
    </row>
    <row r="40" spans="1:10" x14ac:dyDescent="0.3">
      <c r="A40" t="s">
        <v>481</v>
      </c>
      <c r="B40" t="s">
        <v>668</v>
      </c>
    </row>
    <row r="41" spans="1:10" x14ac:dyDescent="0.3">
      <c r="A41" t="s">
        <v>482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pane ySplit="520" activePane="bottomLeft"/>
      <selection activeCell="D1" sqref="D1:E1048576"/>
      <selection pane="bottomLeft" activeCell="D4" sqref="D4"/>
    </sheetView>
  </sheetViews>
  <sheetFormatPr defaultColWidth="10.69140625" defaultRowHeight="13.5" x14ac:dyDescent="0.3"/>
  <cols>
    <col min="1" max="12" width="10.69140625" style="11"/>
    <col min="13" max="13" width="12.23046875" style="11" bestFit="1" customWidth="1"/>
    <col min="14" max="14" width="13" style="11" bestFit="1" customWidth="1"/>
    <col min="15" max="15" width="12.23046875" style="11" bestFit="1" customWidth="1"/>
    <col min="16" max="16384" width="10.69140625" style="11"/>
  </cols>
  <sheetData>
    <row r="1" spans="1:16" x14ac:dyDescent="0.3">
      <c r="A1" s="11" t="s">
        <v>598</v>
      </c>
      <c r="B1" s="11" t="s">
        <v>417</v>
      </c>
      <c r="C1" s="11" t="s">
        <v>1</v>
      </c>
      <c r="D1" s="11" t="s">
        <v>418</v>
      </c>
      <c r="E1" s="11" t="s">
        <v>419</v>
      </c>
      <c r="F1" s="11" t="s">
        <v>420</v>
      </c>
      <c r="G1" s="11" t="s">
        <v>306</v>
      </c>
      <c r="H1" s="11" t="s">
        <v>496</v>
      </c>
      <c r="I1" s="11" t="s">
        <v>503</v>
      </c>
      <c r="J1" s="11" t="s">
        <v>329</v>
      </c>
      <c r="K1" s="11" t="s">
        <v>504</v>
      </c>
      <c r="L1" s="11" t="s">
        <v>113</v>
      </c>
      <c r="M1" s="11" t="s">
        <v>415</v>
      </c>
      <c r="N1" s="11" t="s">
        <v>510</v>
      </c>
      <c r="O1" s="11" t="s">
        <v>416</v>
      </c>
      <c r="P1" s="11" t="s">
        <v>328</v>
      </c>
    </row>
    <row r="2" spans="1:16" x14ac:dyDescent="0.3">
      <c r="A2" s="11" t="s">
        <v>318</v>
      </c>
      <c r="B2" s="11" t="s">
        <v>421</v>
      </c>
      <c r="C2">
        <v>1</v>
      </c>
      <c r="D2" s="11">
        <f>C2/102</f>
        <v>9.8039215686274508E-3</v>
      </c>
      <c r="E2" s="11">
        <v>0</v>
      </c>
      <c r="F2" s="11">
        <f t="shared" ref="F2:F17" si="0">E2/454</f>
        <v>0</v>
      </c>
      <c r="G2" s="11">
        <f>F2/D2</f>
        <v>0</v>
      </c>
      <c r="H2" s="11">
        <f>G2/347.602323</f>
        <v>0</v>
      </c>
      <c r="I2" s="11">
        <v>454</v>
      </c>
      <c r="J2" s="11">
        <f>(E2-(I2*D2))^2</f>
        <v>19.81122645136486</v>
      </c>
      <c r="K2" s="11">
        <f>I2*D2</f>
        <v>4.4509803921568629</v>
      </c>
      <c r="L2" s="11">
        <f>J2/K2</f>
        <v>4.4509803921568629</v>
      </c>
      <c r="M2" s="11">
        <f>SQRT(1-D2)/456*D2</f>
        <v>2.1394177101552345E-5</v>
      </c>
      <c r="N2" s="11">
        <f>G2-M2</f>
        <v>-2.1394177101552345E-5</v>
      </c>
      <c r="O2" s="11">
        <f>G2+M2</f>
        <v>2.1394177101552345E-5</v>
      </c>
    </row>
    <row r="3" spans="1:16" x14ac:dyDescent="0.3">
      <c r="A3" s="11" t="s">
        <v>318</v>
      </c>
      <c r="B3" s="11" t="s">
        <v>426</v>
      </c>
      <c r="C3">
        <v>1</v>
      </c>
      <c r="D3" s="11">
        <f t="shared" ref="D3:D17" si="1">C3/102</f>
        <v>9.8039215686274508E-3</v>
      </c>
      <c r="E3" s="11">
        <v>0</v>
      </c>
      <c r="F3" s="11">
        <f t="shared" si="0"/>
        <v>0</v>
      </c>
      <c r="G3" s="11">
        <f t="shared" ref="G3:G17" si="2">F3/D3</f>
        <v>0</v>
      </c>
      <c r="H3" s="11">
        <f t="shared" ref="H3:H17" si="3">G3/347.602323</f>
        <v>0</v>
      </c>
      <c r="I3" s="11">
        <v>454</v>
      </c>
      <c r="J3" s="11">
        <f t="shared" ref="J3:J31" si="4">(E3-(I3*D3))^2</f>
        <v>19.81122645136486</v>
      </c>
      <c r="K3" s="11">
        <f t="shared" ref="K3:K17" si="5">I3*D3</f>
        <v>4.4509803921568629</v>
      </c>
      <c r="L3" s="11">
        <f t="shared" ref="L3:L17" si="6">J3/K3</f>
        <v>4.4509803921568629</v>
      </c>
      <c r="M3" s="11">
        <f t="shared" ref="M3:M17" si="7">SQRT(1-D3)/456*D3</f>
        <v>2.1394177101552345E-5</v>
      </c>
      <c r="N3" s="11">
        <f t="shared" ref="N3:N31" si="8">G3-M3</f>
        <v>-2.1394177101552345E-5</v>
      </c>
      <c r="O3" s="11">
        <f t="shared" ref="O3:O31" si="9">G3+M3</f>
        <v>2.1394177101552345E-5</v>
      </c>
    </row>
    <row r="4" spans="1:16" x14ac:dyDescent="0.3">
      <c r="A4" s="11" t="s">
        <v>318</v>
      </c>
      <c r="B4" s="11" t="s">
        <v>422</v>
      </c>
      <c r="C4">
        <v>1</v>
      </c>
      <c r="D4" s="11">
        <f t="shared" si="1"/>
        <v>9.8039215686274508E-3</v>
      </c>
      <c r="E4" s="11">
        <v>0</v>
      </c>
      <c r="F4" s="11">
        <f t="shared" si="0"/>
        <v>0</v>
      </c>
      <c r="G4" s="11">
        <f t="shared" si="2"/>
        <v>0</v>
      </c>
      <c r="H4" s="11">
        <f t="shared" si="3"/>
        <v>0</v>
      </c>
      <c r="I4" s="11">
        <v>454</v>
      </c>
      <c r="J4" s="11">
        <f t="shared" si="4"/>
        <v>19.81122645136486</v>
      </c>
      <c r="K4" s="11">
        <f t="shared" si="5"/>
        <v>4.4509803921568629</v>
      </c>
      <c r="L4" s="11">
        <f t="shared" si="6"/>
        <v>4.4509803921568629</v>
      </c>
      <c r="M4" s="11">
        <f t="shared" si="7"/>
        <v>2.1394177101552345E-5</v>
      </c>
      <c r="N4" s="11">
        <f t="shared" si="8"/>
        <v>-2.1394177101552345E-5</v>
      </c>
      <c r="O4" s="11">
        <f t="shared" si="9"/>
        <v>2.1394177101552345E-5</v>
      </c>
    </row>
    <row r="5" spans="1:16" x14ac:dyDescent="0.3">
      <c r="A5" s="11" t="s">
        <v>318</v>
      </c>
      <c r="B5" s="11" t="s">
        <v>423</v>
      </c>
      <c r="C5">
        <v>1</v>
      </c>
      <c r="D5" s="11">
        <f t="shared" si="1"/>
        <v>9.8039215686274508E-3</v>
      </c>
      <c r="E5" s="11">
        <v>0</v>
      </c>
      <c r="F5" s="11">
        <f t="shared" si="0"/>
        <v>0</v>
      </c>
      <c r="G5" s="11">
        <f t="shared" si="2"/>
        <v>0</v>
      </c>
      <c r="H5" s="11">
        <f t="shared" si="3"/>
        <v>0</v>
      </c>
      <c r="I5" s="11">
        <v>454</v>
      </c>
      <c r="J5" s="11">
        <f t="shared" si="4"/>
        <v>19.81122645136486</v>
      </c>
      <c r="K5" s="11">
        <f t="shared" si="5"/>
        <v>4.4509803921568629</v>
      </c>
      <c r="L5" s="11">
        <f t="shared" si="6"/>
        <v>4.4509803921568629</v>
      </c>
      <c r="M5" s="11">
        <f t="shared" si="7"/>
        <v>2.1394177101552345E-5</v>
      </c>
      <c r="N5" s="11">
        <f t="shared" si="8"/>
        <v>-2.1394177101552345E-5</v>
      </c>
      <c r="O5" s="11">
        <f t="shared" si="9"/>
        <v>2.1394177101552345E-5</v>
      </c>
    </row>
    <row r="6" spans="1:16" x14ac:dyDescent="0.3">
      <c r="A6" s="11" t="s">
        <v>318</v>
      </c>
      <c r="B6" s="11" t="s">
        <v>424</v>
      </c>
      <c r="C6">
        <v>1</v>
      </c>
      <c r="D6" s="11">
        <f t="shared" si="1"/>
        <v>9.8039215686274508E-3</v>
      </c>
      <c r="E6" s="11">
        <v>0</v>
      </c>
      <c r="F6" s="11">
        <f t="shared" si="0"/>
        <v>0</v>
      </c>
      <c r="G6" s="11">
        <f t="shared" si="2"/>
        <v>0</v>
      </c>
      <c r="H6" s="11">
        <f t="shared" si="3"/>
        <v>0</v>
      </c>
      <c r="I6" s="11">
        <v>454</v>
      </c>
      <c r="J6" s="11">
        <f t="shared" si="4"/>
        <v>19.81122645136486</v>
      </c>
      <c r="K6" s="11">
        <f t="shared" si="5"/>
        <v>4.4509803921568629</v>
      </c>
      <c r="L6" s="11">
        <f t="shared" si="6"/>
        <v>4.4509803921568629</v>
      </c>
      <c r="M6" s="11">
        <f t="shared" si="7"/>
        <v>2.1394177101552345E-5</v>
      </c>
      <c r="N6" s="11">
        <f t="shared" si="8"/>
        <v>-2.1394177101552345E-5</v>
      </c>
      <c r="O6" s="11">
        <f t="shared" si="9"/>
        <v>2.1394177101552345E-5</v>
      </c>
    </row>
    <row r="7" spans="1:16" x14ac:dyDescent="0.3">
      <c r="A7" s="11" t="s">
        <v>318</v>
      </c>
      <c r="B7" s="11" t="s">
        <v>428</v>
      </c>
      <c r="C7">
        <v>5</v>
      </c>
      <c r="D7" s="11">
        <f t="shared" si="1"/>
        <v>4.9019607843137254E-2</v>
      </c>
      <c r="E7" s="11">
        <v>0</v>
      </c>
      <c r="F7" s="11">
        <f t="shared" si="0"/>
        <v>0</v>
      </c>
      <c r="G7" s="11">
        <f t="shared" si="2"/>
        <v>0</v>
      </c>
      <c r="H7" s="11">
        <f t="shared" si="3"/>
        <v>0</v>
      </c>
      <c r="I7" s="11">
        <v>454</v>
      </c>
      <c r="J7" s="11">
        <f t="shared" si="4"/>
        <v>495.28066128412144</v>
      </c>
      <c r="K7" s="11">
        <f t="shared" si="5"/>
        <v>22.254901960784313</v>
      </c>
      <c r="L7" s="11">
        <f t="shared" si="6"/>
        <v>22.254901960784313</v>
      </c>
      <c r="M7" s="11">
        <f t="shared" si="7"/>
        <v>1.0483125165091872E-4</v>
      </c>
      <c r="N7" s="11">
        <f t="shared" si="8"/>
        <v>-1.0483125165091872E-4</v>
      </c>
      <c r="O7" s="11">
        <f t="shared" si="9"/>
        <v>1.0483125165091872E-4</v>
      </c>
    </row>
    <row r="8" spans="1:16" x14ac:dyDescent="0.3">
      <c r="A8" s="11" t="s">
        <v>318</v>
      </c>
      <c r="B8" s="11" t="s">
        <v>430</v>
      </c>
      <c r="C8">
        <v>6</v>
      </c>
      <c r="D8" s="11">
        <f t="shared" si="1"/>
        <v>5.8823529411764705E-2</v>
      </c>
      <c r="E8" s="11">
        <v>0</v>
      </c>
      <c r="F8" s="11">
        <f t="shared" si="0"/>
        <v>0</v>
      </c>
      <c r="G8" s="11">
        <f t="shared" si="2"/>
        <v>0</v>
      </c>
      <c r="H8" s="11">
        <f t="shared" si="3"/>
        <v>0</v>
      </c>
      <c r="I8" s="11">
        <v>454</v>
      </c>
      <c r="J8" s="11">
        <f t="shared" si="4"/>
        <v>713.20415224913495</v>
      </c>
      <c r="K8" s="11">
        <f t="shared" si="5"/>
        <v>26.705882352941178</v>
      </c>
      <c r="L8" s="11">
        <f t="shared" si="6"/>
        <v>26.705882352941174</v>
      </c>
      <c r="M8" s="11">
        <f t="shared" si="7"/>
        <v>1.2514738133969708E-4</v>
      </c>
      <c r="N8" s="11">
        <f t="shared" si="8"/>
        <v>-1.2514738133969708E-4</v>
      </c>
      <c r="O8" s="11">
        <f t="shared" si="9"/>
        <v>1.2514738133969708E-4</v>
      </c>
    </row>
    <row r="9" spans="1:16" x14ac:dyDescent="0.3">
      <c r="A9" s="11" t="s">
        <v>318</v>
      </c>
      <c r="B9" s="11" t="s">
        <v>246</v>
      </c>
      <c r="C9">
        <v>9</v>
      </c>
      <c r="D9" s="11">
        <f t="shared" si="1"/>
        <v>8.8235294117647065E-2</v>
      </c>
      <c r="E9" s="11">
        <v>2</v>
      </c>
      <c r="F9" s="11">
        <f t="shared" si="0"/>
        <v>4.4052863436123352E-3</v>
      </c>
      <c r="G9" s="11">
        <f>F9/D9</f>
        <v>4.9926578560939794E-2</v>
      </c>
      <c r="H9" s="11">
        <f t="shared" si="3"/>
        <v>1.4363131445741171E-4</v>
      </c>
      <c r="I9" s="11">
        <v>454</v>
      </c>
      <c r="J9" s="11">
        <f t="shared" si="4"/>
        <v>1448.4740484429069</v>
      </c>
      <c r="K9" s="11">
        <f t="shared" si="5"/>
        <v>40.058823529411768</v>
      </c>
      <c r="L9" s="11">
        <f t="shared" si="6"/>
        <v>36.158676686533653</v>
      </c>
      <c r="M9" s="11">
        <f t="shared" si="7"/>
        <v>1.8476464989013758E-4</v>
      </c>
      <c r="N9" s="11">
        <f t="shared" si="8"/>
        <v>4.9741813911049655E-2</v>
      </c>
      <c r="O9" s="11">
        <f t="shared" si="9"/>
        <v>5.0111343210829933E-2</v>
      </c>
    </row>
    <row r="10" spans="1:16" x14ac:dyDescent="0.3">
      <c r="A10" s="11" t="s">
        <v>318</v>
      </c>
      <c r="B10" s="11" t="s">
        <v>56</v>
      </c>
      <c r="C10">
        <v>7</v>
      </c>
      <c r="D10" s="11">
        <f t="shared" si="1"/>
        <v>6.8627450980392163E-2</v>
      </c>
      <c r="E10" s="11">
        <v>0</v>
      </c>
      <c r="F10" s="11">
        <f t="shared" si="0"/>
        <v>0</v>
      </c>
      <c r="G10" s="11">
        <f t="shared" si="2"/>
        <v>0</v>
      </c>
      <c r="H10" s="11">
        <f t="shared" si="3"/>
        <v>0</v>
      </c>
      <c r="I10" s="11">
        <v>454</v>
      </c>
      <c r="J10" s="11">
        <f t="shared" si="4"/>
        <v>970.75009611687835</v>
      </c>
      <c r="K10" s="11">
        <f t="shared" si="5"/>
        <v>31.156862745098042</v>
      </c>
      <c r="L10" s="11">
        <f t="shared" si="6"/>
        <v>31.156862745098042</v>
      </c>
      <c r="M10" s="11">
        <f t="shared" si="7"/>
        <v>1.4524284336704673E-4</v>
      </c>
      <c r="N10" s="11">
        <f t="shared" si="8"/>
        <v>-1.4524284336704673E-4</v>
      </c>
      <c r="O10" s="11">
        <f t="shared" si="9"/>
        <v>1.4524284336704673E-4</v>
      </c>
    </row>
    <row r="11" spans="1:16" x14ac:dyDescent="0.3">
      <c r="A11" s="11" t="s">
        <v>318</v>
      </c>
      <c r="B11" s="11" t="s">
        <v>425</v>
      </c>
      <c r="C11">
        <v>24</v>
      </c>
      <c r="D11" s="11">
        <f t="shared" si="1"/>
        <v>0.23529411764705882</v>
      </c>
      <c r="E11" s="11">
        <v>0</v>
      </c>
      <c r="F11" s="11">
        <f t="shared" si="0"/>
        <v>0</v>
      </c>
      <c r="G11" s="11">
        <f t="shared" si="2"/>
        <v>0</v>
      </c>
      <c r="H11" s="11">
        <f t="shared" si="3"/>
        <v>0</v>
      </c>
      <c r="I11" s="11">
        <v>454</v>
      </c>
      <c r="J11" s="11">
        <f t="shared" si="4"/>
        <v>11411.266435986159</v>
      </c>
      <c r="K11" s="11">
        <f t="shared" si="5"/>
        <v>106.82352941176471</v>
      </c>
      <c r="L11" s="11">
        <f t="shared" si="6"/>
        <v>106.8235294117647</v>
      </c>
      <c r="M11" s="11">
        <f t="shared" si="7"/>
        <v>4.5122530041032311E-4</v>
      </c>
      <c r="N11" s="11">
        <f t="shared" si="8"/>
        <v>-4.5122530041032311E-4</v>
      </c>
      <c r="O11" s="11">
        <f t="shared" si="9"/>
        <v>4.5122530041032311E-4</v>
      </c>
    </row>
    <row r="12" spans="1:16" x14ac:dyDescent="0.3">
      <c r="A12" s="11" t="s">
        <v>318</v>
      </c>
      <c r="B12" s="11" t="s">
        <v>62</v>
      </c>
      <c r="C12">
        <v>15</v>
      </c>
      <c r="D12" s="11">
        <f t="shared" si="1"/>
        <v>0.14705882352941177</v>
      </c>
      <c r="E12" s="11">
        <v>0</v>
      </c>
      <c r="F12" s="11">
        <f t="shared" si="0"/>
        <v>0</v>
      </c>
      <c r="G12" s="11">
        <f t="shared" si="2"/>
        <v>0</v>
      </c>
      <c r="H12" s="11">
        <f t="shared" si="3"/>
        <v>0</v>
      </c>
      <c r="I12" s="11">
        <v>454</v>
      </c>
      <c r="J12" s="11">
        <f t="shared" si="4"/>
        <v>4457.5259515570933</v>
      </c>
      <c r="K12" s="11">
        <f t="shared" si="5"/>
        <v>66.764705882352942</v>
      </c>
      <c r="L12" s="11">
        <f t="shared" si="6"/>
        <v>66.764705882352942</v>
      </c>
      <c r="M12" s="11">
        <f t="shared" si="7"/>
        <v>2.9784189408630003E-4</v>
      </c>
      <c r="N12" s="11">
        <f t="shared" si="8"/>
        <v>-2.9784189408630003E-4</v>
      </c>
      <c r="O12" s="11">
        <f t="shared" si="9"/>
        <v>2.9784189408630003E-4</v>
      </c>
    </row>
    <row r="13" spans="1:16" x14ac:dyDescent="0.3">
      <c r="A13" s="11" t="s">
        <v>318</v>
      </c>
      <c r="B13" s="11" t="s">
        <v>60</v>
      </c>
      <c r="C13">
        <v>27</v>
      </c>
      <c r="D13" s="11">
        <f t="shared" si="1"/>
        <v>0.26470588235294118</v>
      </c>
      <c r="E13" s="11">
        <v>0</v>
      </c>
      <c r="F13" s="11">
        <f t="shared" si="0"/>
        <v>0</v>
      </c>
      <c r="G13" s="11">
        <f t="shared" si="2"/>
        <v>0</v>
      </c>
      <c r="H13" s="11">
        <f t="shared" si="3"/>
        <v>0</v>
      </c>
      <c r="I13" s="11">
        <v>454</v>
      </c>
      <c r="J13" s="11">
        <f t="shared" si="4"/>
        <v>14442.384083044981</v>
      </c>
      <c r="K13" s="11">
        <f t="shared" si="5"/>
        <v>120.17647058823529</v>
      </c>
      <c r="L13" s="11">
        <f t="shared" si="6"/>
        <v>120.17647058823528</v>
      </c>
      <c r="M13" s="11">
        <f t="shared" si="7"/>
        <v>4.9777066121084218E-4</v>
      </c>
      <c r="N13" s="11">
        <f t="shared" si="8"/>
        <v>-4.9777066121084218E-4</v>
      </c>
      <c r="O13" s="11">
        <f t="shared" si="9"/>
        <v>4.9777066121084218E-4</v>
      </c>
    </row>
    <row r="14" spans="1:16" x14ac:dyDescent="0.3">
      <c r="A14" s="11" t="s">
        <v>318</v>
      </c>
      <c r="B14" s="11" t="s">
        <v>61</v>
      </c>
      <c r="C14" s="11">
        <v>1</v>
      </c>
      <c r="D14" s="11">
        <f t="shared" si="1"/>
        <v>9.8039215686274508E-3</v>
      </c>
      <c r="E14" s="11">
        <v>202</v>
      </c>
      <c r="F14" s="11">
        <f t="shared" si="0"/>
        <v>0.44493392070484583</v>
      </c>
      <c r="G14" s="11">
        <f t="shared" si="2"/>
        <v>45.383259911894278</v>
      </c>
      <c r="H14" s="11">
        <f t="shared" si="3"/>
        <v>0.13056086484178725</v>
      </c>
      <c r="I14" s="11">
        <v>454</v>
      </c>
      <c r="J14" s="11">
        <f t="shared" si="4"/>
        <v>39025.615148019999</v>
      </c>
      <c r="K14" s="11">
        <f t="shared" si="5"/>
        <v>4.4509803921568629</v>
      </c>
      <c r="L14" s="11">
        <f t="shared" si="6"/>
        <v>8767.8694825948005</v>
      </c>
      <c r="M14" s="11">
        <f t="shared" si="7"/>
        <v>2.1394177101552345E-5</v>
      </c>
      <c r="N14" s="11">
        <f t="shared" si="8"/>
        <v>45.383238517717174</v>
      </c>
      <c r="O14" s="11">
        <f t="shared" si="9"/>
        <v>45.383281306071382</v>
      </c>
    </row>
    <row r="15" spans="1:16" x14ac:dyDescent="0.3">
      <c r="A15" s="11" t="s">
        <v>318</v>
      </c>
      <c r="B15" s="11" t="s">
        <v>350</v>
      </c>
      <c r="C15" s="11">
        <v>1</v>
      </c>
      <c r="D15" s="11">
        <f t="shared" si="1"/>
        <v>9.8039215686274508E-3</v>
      </c>
      <c r="E15" s="11">
        <v>245</v>
      </c>
      <c r="F15" s="11">
        <f t="shared" si="0"/>
        <v>0.53964757709251099</v>
      </c>
      <c r="G15" s="11">
        <f t="shared" si="2"/>
        <v>55.044052863436121</v>
      </c>
      <c r="H15" s="11">
        <f t="shared" si="3"/>
        <v>0.15835352418929641</v>
      </c>
      <c r="I15" s="11">
        <v>454</v>
      </c>
      <c r="J15" s="11">
        <f t="shared" si="4"/>
        <v>57863.830834294509</v>
      </c>
      <c r="K15" s="11">
        <f t="shared" si="5"/>
        <v>4.4509803921568629</v>
      </c>
      <c r="L15" s="11">
        <f t="shared" si="6"/>
        <v>13000.243931934008</v>
      </c>
      <c r="M15" s="11">
        <f t="shared" si="7"/>
        <v>2.1394177101552345E-5</v>
      </c>
      <c r="N15" s="11">
        <f t="shared" si="8"/>
        <v>55.044031469259018</v>
      </c>
      <c r="O15" s="11">
        <f t="shared" si="9"/>
        <v>55.044074257613225</v>
      </c>
    </row>
    <row r="16" spans="1:16" x14ac:dyDescent="0.3">
      <c r="A16" s="11" t="s">
        <v>318</v>
      </c>
      <c r="B16" s="11" t="s">
        <v>63</v>
      </c>
      <c r="C16" s="11">
        <v>1</v>
      </c>
      <c r="D16" s="11">
        <f t="shared" si="1"/>
        <v>9.8039215686274508E-3</v>
      </c>
      <c r="E16" s="11">
        <v>1</v>
      </c>
      <c r="F16" s="11">
        <f t="shared" si="0"/>
        <v>2.2026431718061676E-3</v>
      </c>
      <c r="G16" s="11">
        <f t="shared" si="2"/>
        <v>0.2246696035242291</v>
      </c>
      <c r="H16" s="11">
        <f t="shared" si="3"/>
        <v>6.4634091505835279E-4</v>
      </c>
      <c r="I16" s="11">
        <v>454</v>
      </c>
      <c r="J16" s="11">
        <f t="shared" si="4"/>
        <v>11.909265667051136</v>
      </c>
      <c r="K16" s="11">
        <f t="shared" si="5"/>
        <v>4.4509803921568629</v>
      </c>
      <c r="L16" s="11">
        <f t="shared" si="6"/>
        <v>2.6756499956810922</v>
      </c>
      <c r="M16" s="11">
        <f t="shared" si="7"/>
        <v>2.1394177101552345E-5</v>
      </c>
      <c r="N16" s="11">
        <f t="shared" si="8"/>
        <v>0.22464820934712754</v>
      </c>
      <c r="O16" s="11">
        <f t="shared" si="9"/>
        <v>0.22469099770133066</v>
      </c>
    </row>
    <row r="17" spans="1:15" x14ac:dyDescent="0.3">
      <c r="A17" s="11" t="s">
        <v>318</v>
      </c>
      <c r="B17" s="11" t="s">
        <v>58</v>
      </c>
      <c r="C17" s="11">
        <v>1</v>
      </c>
      <c r="D17" s="11">
        <f t="shared" si="1"/>
        <v>9.8039215686274508E-3</v>
      </c>
      <c r="E17" s="11">
        <v>4</v>
      </c>
      <c r="F17" s="11">
        <f t="shared" si="0"/>
        <v>8.8105726872246704E-3</v>
      </c>
      <c r="G17" s="11">
        <f t="shared" si="2"/>
        <v>0.8986784140969164</v>
      </c>
      <c r="H17" s="11">
        <f t="shared" si="3"/>
        <v>2.5853636602334112E-3</v>
      </c>
      <c r="I17" s="11">
        <v>454</v>
      </c>
      <c r="J17" s="11">
        <f t="shared" si="4"/>
        <v>0.20338331410995786</v>
      </c>
      <c r="K17" s="11">
        <f t="shared" si="5"/>
        <v>4.4509803921568629</v>
      </c>
      <c r="L17" s="11">
        <f t="shared" si="6"/>
        <v>4.5694048544527972E-2</v>
      </c>
      <c r="M17" s="11">
        <f t="shared" si="7"/>
        <v>2.1394177101552345E-5</v>
      </c>
      <c r="N17" s="11">
        <f t="shared" si="8"/>
        <v>0.89865701991981484</v>
      </c>
      <c r="O17" s="11">
        <f t="shared" si="9"/>
        <v>0.89869980827401796</v>
      </c>
    </row>
    <row r="18" spans="1:15" x14ac:dyDescent="0.3">
      <c r="A18" s="11" t="s">
        <v>36</v>
      </c>
      <c r="B18" s="11" t="s">
        <v>59</v>
      </c>
      <c r="C18">
        <v>1</v>
      </c>
      <c r="D18" s="11">
        <f>C18/61</f>
        <v>1.6393442622950821E-2</v>
      </c>
      <c r="E18" s="11">
        <v>0</v>
      </c>
      <c r="F18" s="11">
        <f t="shared" ref="F18:F31" si="10">E18/1113</f>
        <v>0</v>
      </c>
      <c r="G18" s="11">
        <f t="shared" ref="G18:G31" si="11">F18/D18</f>
        <v>0</v>
      </c>
      <c r="H18" s="11">
        <f t="shared" ref="H18:H31" si="12">G18/43.4235404</f>
        <v>0</v>
      </c>
      <c r="I18" s="11">
        <v>1113</v>
      </c>
      <c r="J18" s="11">
        <f t="shared" si="4"/>
        <v>332.91292663262573</v>
      </c>
      <c r="K18" s="11">
        <f t="shared" ref="K18:K31" si="13">I18*D18</f>
        <v>18.245901639344265</v>
      </c>
      <c r="L18" s="11">
        <f t="shared" ref="L18:L31" si="14">J18/K18</f>
        <v>18.245901639344265</v>
      </c>
      <c r="M18" s="11">
        <f t="shared" ref="M18:M30" si="15">SQRT(1-D18)/1113*D18</f>
        <v>1.4607830076162925E-5</v>
      </c>
      <c r="N18" s="11">
        <f t="shared" si="8"/>
        <v>-1.4607830076162925E-5</v>
      </c>
      <c r="O18" s="11">
        <f t="shared" si="9"/>
        <v>1.4607830076162925E-5</v>
      </c>
    </row>
    <row r="19" spans="1:15" x14ac:dyDescent="0.3">
      <c r="A19" s="11" t="s">
        <v>36</v>
      </c>
      <c r="B19" s="11" t="s">
        <v>112</v>
      </c>
      <c r="C19">
        <v>1</v>
      </c>
      <c r="D19" s="11">
        <f t="shared" ref="D19:D31" si="16">C19/61</f>
        <v>1.6393442622950821E-2</v>
      </c>
      <c r="E19" s="11">
        <v>0</v>
      </c>
      <c r="F19" s="11">
        <f t="shared" si="10"/>
        <v>0</v>
      </c>
      <c r="G19" s="11">
        <f t="shared" si="11"/>
        <v>0</v>
      </c>
      <c r="H19" s="11">
        <f t="shared" si="12"/>
        <v>0</v>
      </c>
      <c r="I19" s="11">
        <v>1113</v>
      </c>
      <c r="J19" s="11">
        <f t="shared" si="4"/>
        <v>332.91292663262573</v>
      </c>
      <c r="K19" s="11">
        <f t="shared" si="13"/>
        <v>18.245901639344265</v>
      </c>
      <c r="L19" s="11">
        <f t="shared" si="14"/>
        <v>18.245901639344265</v>
      </c>
      <c r="M19" s="11">
        <f t="shared" si="15"/>
        <v>1.4607830076162925E-5</v>
      </c>
      <c r="N19" s="11">
        <f t="shared" si="8"/>
        <v>-1.4607830076162925E-5</v>
      </c>
      <c r="O19" s="11">
        <f t="shared" si="9"/>
        <v>1.4607830076162925E-5</v>
      </c>
    </row>
    <row r="20" spans="1:15" x14ac:dyDescent="0.3">
      <c r="A20" s="11" t="s">
        <v>36</v>
      </c>
      <c r="B20" s="11" t="s">
        <v>427</v>
      </c>
      <c r="C20">
        <v>1</v>
      </c>
      <c r="D20" s="11">
        <f t="shared" si="16"/>
        <v>1.6393442622950821E-2</v>
      </c>
      <c r="E20" s="11">
        <v>0</v>
      </c>
      <c r="F20" s="11">
        <f t="shared" si="10"/>
        <v>0</v>
      </c>
      <c r="G20" s="11">
        <f t="shared" si="11"/>
        <v>0</v>
      </c>
      <c r="H20" s="11">
        <f t="shared" si="12"/>
        <v>0</v>
      </c>
      <c r="I20" s="11">
        <v>1113</v>
      </c>
      <c r="J20" s="11">
        <f t="shared" si="4"/>
        <v>332.91292663262573</v>
      </c>
      <c r="K20" s="11">
        <f t="shared" si="13"/>
        <v>18.245901639344265</v>
      </c>
      <c r="L20" s="11">
        <f t="shared" si="14"/>
        <v>18.245901639344265</v>
      </c>
      <c r="M20" s="11">
        <f t="shared" si="15"/>
        <v>1.4607830076162925E-5</v>
      </c>
      <c r="N20" s="11">
        <f t="shared" si="8"/>
        <v>-1.4607830076162925E-5</v>
      </c>
      <c r="O20" s="11">
        <f t="shared" si="9"/>
        <v>1.4607830076162925E-5</v>
      </c>
    </row>
    <row r="21" spans="1:15" x14ac:dyDescent="0.3">
      <c r="A21" s="11" t="s">
        <v>36</v>
      </c>
      <c r="B21" s="11" t="s">
        <v>350</v>
      </c>
      <c r="C21">
        <v>3</v>
      </c>
      <c r="D21" s="11">
        <f t="shared" si="16"/>
        <v>4.9180327868852458E-2</v>
      </c>
      <c r="E21" s="11">
        <v>2</v>
      </c>
      <c r="F21" s="11">
        <f t="shared" si="10"/>
        <v>1.7969451931716084E-3</v>
      </c>
      <c r="G21" s="11">
        <f t="shared" si="11"/>
        <v>3.6537885594489374E-2</v>
      </c>
      <c r="H21" s="11">
        <f>G21/43.4235404</f>
        <v>8.4143036836511315E-4</v>
      </c>
      <c r="I21" s="11">
        <v>1113</v>
      </c>
      <c r="J21" s="11">
        <f t="shared" si="4"/>
        <v>2781.265520021499</v>
      </c>
      <c r="K21" s="11">
        <f t="shared" si="13"/>
        <v>54.737704918032783</v>
      </c>
      <c r="L21" s="11">
        <f t="shared" si="14"/>
        <v>50.810780689221758</v>
      </c>
      <c r="M21" s="11">
        <f t="shared" si="15"/>
        <v>4.3086908521571092E-5</v>
      </c>
      <c r="N21" s="11">
        <f t="shared" si="8"/>
        <v>3.6494798685967805E-2</v>
      </c>
      <c r="O21" s="11">
        <f t="shared" si="9"/>
        <v>3.6580972503010942E-2</v>
      </c>
    </row>
    <row r="22" spans="1:15" x14ac:dyDescent="0.3">
      <c r="A22" s="11" t="s">
        <v>36</v>
      </c>
      <c r="B22" s="11" t="s">
        <v>63</v>
      </c>
      <c r="C22">
        <v>2</v>
      </c>
      <c r="D22" s="11">
        <f t="shared" si="16"/>
        <v>3.2786885245901641E-2</v>
      </c>
      <c r="E22" s="11">
        <v>0</v>
      </c>
      <c r="F22" s="11">
        <f t="shared" si="10"/>
        <v>0</v>
      </c>
      <c r="G22" s="11">
        <f t="shared" si="11"/>
        <v>0</v>
      </c>
      <c r="H22" s="11">
        <f t="shared" si="12"/>
        <v>0</v>
      </c>
      <c r="I22" s="11">
        <v>1113</v>
      </c>
      <c r="J22" s="11">
        <f t="shared" si="4"/>
        <v>1331.6517065305029</v>
      </c>
      <c r="K22" s="11">
        <f t="shared" si="13"/>
        <v>36.491803278688529</v>
      </c>
      <c r="L22" s="11">
        <f t="shared" si="14"/>
        <v>36.491803278688529</v>
      </c>
      <c r="M22" s="11">
        <f t="shared" si="15"/>
        <v>2.8971173342374838E-5</v>
      </c>
      <c r="N22" s="11">
        <f t="shared" si="8"/>
        <v>-2.8971173342374838E-5</v>
      </c>
      <c r="O22" s="11">
        <f t="shared" si="9"/>
        <v>2.8971173342374838E-5</v>
      </c>
    </row>
    <row r="23" spans="1:15" x14ac:dyDescent="0.3">
      <c r="A23" s="11" t="s">
        <v>218</v>
      </c>
      <c r="B23" s="11" t="s">
        <v>2</v>
      </c>
      <c r="C23">
        <v>5</v>
      </c>
      <c r="D23" s="11">
        <f t="shared" si="16"/>
        <v>8.1967213114754092E-2</v>
      </c>
      <c r="E23" s="11">
        <v>0</v>
      </c>
      <c r="F23" s="11">
        <f t="shared" ref="F23" si="17">E23/1113</f>
        <v>0</v>
      </c>
      <c r="G23" s="11">
        <f t="shared" ref="G23" si="18">F23/D23</f>
        <v>0</v>
      </c>
      <c r="H23" s="11">
        <f t="shared" ref="H23" si="19">G23/43.4235404</f>
        <v>0</v>
      </c>
      <c r="I23" s="11">
        <v>1113</v>
      </c>
      <c r="J23" s="11">
        <f t="shared" ref="J23" si="20">(E23-(I23*D23))^2</f>
        <v>8322.8231658156383</v>
      </c>
      <c r="K23" s="11">
        <f t="shared" ref="K23" si="21">I23*D23</f>
        <v>91.229508196721298</v>
      </c>
      <c r="L23" s="11">
        <f t="shared" ref="L23" si="22">J23/K23</f>
        <v>91.229508196721298</v>
      </c>
      <c r="M23" s="11">
        <f t="shared" ref="M23" si="23">SQRT(1-D23)/1113*D23</f>
        <v>7.056252302599802E-5</v>
      </c>
      <c r="N23" s="11">
        <f t="shared" ref="N23" si="24">G23-M23</f>
        <v>-7.056252302599802E-5</v>
      </c>
      <c r="O23" s="11">
        <f t="shared" ref="O23" si="25">G23+M23</f>
        <v>7.056252302599802E-5</v>
      </c>
    </row>
    <row r="24" spans="1:15" x14ac:dyDescent="0.3">
      <c r="A24" s="11" t="s">
        <v>36</v>
      </c>
      <c r="B24" s="11" t="s">
        <v>60</v>
      </c>
      <c r="C24">
        <v>3</v>
      </c>
      <c r="D24" s="11">
        <f t="shared" si="16"/>
        <v>4.9180327868852458E-2</v>
      </c>
      <c r="E24" s="11">
        <v>0</v>
      </c>
      <c r="F24" s="11">
        <f t="shared" si="10"/>
        <v>0</v>
      </c>
      <c r="G24" s="11">
        <f t="shared" si="11"/>
        <v>0</v>
      </c>
      <c r="H24" s="11">
        <f t="shared" si="12"/>
        <v>0</v>
      </c>
      <c r="I24" s="11">
        <v>1113</v>
      </c>
      <c r="J24" s="11">
        <f t="shared" si="4"/>
        <v>2996.2163396936303</v>
      </c>
      <c r="K24" s="11">
        <f t="shared" si="13"/>
        <v>54.737704918032783</v>
      </c>
      <c r="L24" s="11">
        <f t="shared" si="14"/>
        <v>54.737704918032783</v>
      </c>
      <c r="M24" s="11">
        <f t="shared" si="15"/>
        <v>4.3086908521571092E-5</v>
      </c>
      <c r="N24" s="11">
        <f t="shared" si="8"/>
        <v>-4.3086908521571092E-5</v>
      </c>
      <c r="O24" s="11">
        <f t="shared" si="9"/>
        <v>4.3086908521571092E-5</v>
      </c>
    </row>
    <row r="25" spans="1:15" x14ac:dyDescent="0.3">
      <c r="A25" s="11" t="s">
        <v>36</v>
      </c>
      <c r="B25" s="11" t="s">
        <v>425</v>
      </c>
      <c r="C25">
        <v>8</v>
      </c>
      <c r="D25" s="11">
        <f t="shared" si="16"/>
        <v>0.13114754098360656</v>
      </c>
      <c r="E25" s="11">
        <v>0</v>
      </c>
      <c r="F25" s="11">
        <f t="shared" si="10"/>
        <v>0</v>
      </c>
      <c r="G25" s="11">
        <f t="shared" si="11"/>
        <v>0</v>
      </c>
      <c r="H25" s="11">
        <f t="shared" si="12"/>
        <v>0</v>
      </c>
      <c r="I25" s="11">
        <v>1113</v>
      </c>
      <c r="J25" s="11">
        <f t="shared" si="4"/>
        <v>21306.427304488047</v>
      </c>
      <c r="K25" s="11">
        <f t="shared" si="13"/>
        <v>145.96721311475412</v>
      </c>
      <c r="L25" s="11">
        <f t="shared" si="14"/>
        <v>145.96721311475412</v>
      </c>
      <c r="M25" s="11">
        <f t="shared" si="15"/>
        <v>1.098343046608161E-4</v>
      </c>
      <c r="N25" s="11">
        <f t="shared" si="8"/>
        <v>-1.098343046608161E-4</v>
      </c>
      <c r="O25" s="11">
        <f t="shared" si="9"/>
        <v>1.098343046608161E-4</v>
      </c>
    </row>
    <row r="26" spans="1:15" x14ac:dyDescent="0.3">
      <c r="A26" s="11" t="s">
        <v>36</v>
      </c>
      <c r="B26" s="11" t="s">
        <v>61</v>
      </c>
      <c r="C26">
        <v>3</v>
      </c>
      <c r="D26" s="11">
        <f t="shared" si="16"/>
        <v>4.9180327868852458E-2</v>
      </c>
      <c r="E26" s="11">
        <v>839</v>
      </c>
      <c r="F26" s="11">
        <f t="shared" si="10"/>
        <v>0.75381850853548971</v>
      </c>
      <c r="G26" s="11">
        <f t="shared" si="11"/>
        <v>15.327643006888291</v>
      </c>
      <c r="H26" s="11">
        <f t="shared" si="12"/>
        <v>0.35298003952916496</v>
      </c>
      <c r="I26" s="11">
        <v>1113</v>
      </c>
      <c r="J26" s="11">
        <f t="shared" si="4"/>
        <v>615067.34748723451</v>
      </c>
      <c r="K26" s="11">
        <f t="shared" si="13"/>
        <v>54.737704918032783</v>
      </c>
      <c r="L26" s="11">
        <f t="shared" si="14"/>
        <v>11236.630187697307</v>
      </c>
      <c r="M26" s="11">
        <f t="shared" si="15"/>
        <v>4.3086908521571092E-5</v>
      </c>
      <c r="N26" s="11">
        <f t="shared" si="8"/>
        <v>15.32759991997977</v>
      </c>
      <c r="O26" s="11">
        <f t="shared" si="9"/>
        <v>15.327686093796812</v>
      </c>
    </row>
    <row r="27" spans="1:15" x14ac:dyDescent="0.3">
      <c r="A27" s="11" t="s">
        <v>36</v>
      </c>
      <c r="B27" s="11" t="s">
        <v>426</v>
      </c>
      <c r="C27">
        <v>1</v>
      </c>
      <c r="D27" s="11">
        <f t="shared" si="16"/>
        <v>1.6393442622950821E-2</v>
      </c>
      <c r="E27" s="11">
        <v>13</v>
      </c>
      <c r="F27" s="11">
        <f t="shared" si="10"/>
        <v>1.1680143755615454E-2</v>
      </c>
      <c r="G27" s="11">
        <f t="shared" si="11"/>
        <v>0.71248876909254266</v>
      </c>
      <c r="H27" s="11">
        <f t="shared" si="12"/>
        <v>1.6407892183119704E-2</v>
      </c>
      <c r="I27" s="11">
        <v>1113</v>
      </c>
      <c r="J27" s="11">
        <f t="shared" si="4"/>
        <v>27.519484009674841</v>
      </c>
      <c r="K27" s="11">
        <f t="shared" si="13"/>
        <v>18.245901639344265</v>
      </c>
      <c r="L27" s="11">
        <f t="shared" si="14"/>
        <v>1.5082556375473182</v>
      </c>
      <c r="M27" s="11">
        <f t="shared" si="15"/>
        <v>1.4607830076162925E-5</v>
      </c>
      <c r="N27" s="11">
        <f t="shared" si="8"/>
        <v>0.71247416126246654</v>
      </c>
      <c r="O27" s="11">
        <f t="shared" si="9"/>
        <v>0.71250337692261878</v>
      </c>
    </row>
    <row r="28" spans="1:15" x14ac:dyDescent="0.3">
      <c r="A28" s="11" t="s">
        <v>36</v>
      </c>
      <c r="B28" s="11" t="s">
        <v>62</v>
      </c>
      <c r="C28">
        <v>5</v>
      </c>
      <c r="D28" s="11">
        <f t="shared" si="16"/>
        <v>8.1967213114754092E-2</v>
      </c>
      <c r="E28" s="11">
        <v>0</v>
      </c>
      <c r="F28" s="11">
        <f t="shared" si="10"/>
        <v>0</v>
      </c>
      <c r="G28" s="11">
        <f t="shared" si="11"/>
        <v>0</v>
      </c>
      <c r="H28" s="11">
        <f t="shared" si="12"/>
        <v>0</v>
      </c>
      <c r="I28" s="11">
        <v>1113</v>
      </c>
      <c r="J28" s="11">
        <f t="shared" si="4"/>
        <v>8322.8231658156383</v>
      </c>
      <c r="K28" s="11">
        <f t="shared" si="13"/>
        <v>91.229508196721298</v>
      </c>
      <c r="L28" s="11">
        <f t="shared" si="14"/>
        <v>91.229508196721298</v>
      </c>
      <c r="M28" s="11">
        <f t="shared" si="15"/>
        <v>7.056252302599802E-5</v>
      </c>
      <c r="N28" s="11">
        <f t="shared" si="8"/>
        <v>-7.056252302599802E-5</v>
      </c>
      <c r="O28" s="11">
        <f t="shared" si="9"/>
        <v>7.056252302599802E-5</v>
      </c>
    </row>
    <row r="29" spans="1:15" x14ac:dyDescent="0.3">
      <c r="A29" s="11" t="s">
        <v>36</v>
      </c>
      <c r="B29" s="11" t="s">
        <v>58</v>
      </c>
      <c r="C29" s="11">
        <v>1</v>
      </c>
      <c r="D29" s="11">
        <f t="shared" si="16"/>
        <v>1.6393442622950821E-2</v>
      </c>
      <c r="E29" s="11">
        <v>258</v>
      </c>
      <c r="F29" s="11">
        <f t="shared" si="10"/>
        <v>0.23180592991913745</v>
      </c>
      <c r="G29" s="11">
        <f t="shared" si="11"/>
        <v>14.140161725067385</v>
      </c>
      <c r="H29" s="11">
        <f t="shared" si="12"/>
        <v>0.32563355255729876</v>
      </c>
      <c r="I29" s="11">
        <v>1113</v>
      </c>
      <c r="J29" s="11">
        <f t="shared" si="4"/>
        <v>57482.027680730993</v>
      </c>
      <c r="K29" s="11">
        <f t="shared" si="13"/>
        <v>18.245901639344265</v>
      </c>
      <c r="L29" s="11">
        <f t="shared" si="14"/>
        <v>3150.4076267067298</v>
      </c>
      <c r="M29" s="11">
        <f>SQRT(1-D29)/1113*D29</f>
        <v>1.4607830076162925E-5</v>
      </c>
      <c r="N29" s="11">
        <f>G29-M29</f>
        <v>14.140147117237309</v>
      </c>
      <c r="O29" s="11">
        <f t="shared" si="9"/>
        <v>14.140176332897461</v>
      </c>
    </row>
    <row r="30" spans="1:15" x14ac:dyDescent="0.3">
      <c r="A30" s="11" t="s">
        <v>36</v>
      </c>
      <c r="B30" s="11" t="s">
        <v>64</v>
      </c>
      <c r="C30" s="11">
        <v>1</v>
      </c>
      <c r="D30" s="11">
        <f t="shared" si="16"/>
        <v>1.6393442622950821E-2</v>
      </c>
      <c r="E30" s="11">
        <v>1</v>
      </c>
      <c r="F30" s="11">
        <f t="shared" si="10"/>
        <v>8.9847259658580418E-4</v>
      </c>
      <c r="G30" s="11">
        <f t="shared" si="11"/>
        <v>5.480682839173405E-2</v>
      </c>
      <c r="H30" s="11">
        <f t="shared" si="12"/>
        <v>1.2621455525476694E-3</v>
      </c>
      <c r="I30" s="11">
        <v>1113</v>
      </c>
      <c r="J30" s="11">
        <f t="shared" si="4"/>
        <v>297.42112335393722</v>
      </c>
      <c r="K30" s="11">
        <f t="shared" si="13"/>
        <v>18.245901639344265</v>
      </c>
      <c r="L30" s="11">
        <f t="shared" si="14"/>
        <v>16.300708467736001</v>
      </c>
      <c r="M30" s="11">
        <f t="shared" si="15"/>
        <v>1.4607830076162925E-5</v>
      </c>
      <c r="N30" s="11">
        <f t="shared" si="8"/>
        <v>5.4792220561657889E-2</v>
      </c>
      <c r="O30" s="11">
        <f t="shared" si="9"/>
        <v>5.482143622181021E-2</v>
      </c>
    </row>
    <row r="31" spans="1:15" x14ac:dyDescent="0.3">
      <c r="A31" s="11" t="s">
        <v>465</v>
      </c>
      <c r="B31" s="11" t="s">
        <v>466</v>
      </c>
      <c r="C31">
        <v>26</v>
      </c>
      <c r="D31" s="11">
        <f t="shared" si="16"/>
        <v>0.42622950819672129</v>
      </c>
      <c r="E31" s="11">
        <v>0</v>
      </c>
      <c r="F31" s="11">
        <f t="shared" si="10"/>
        <v>0</v>
      </c>
      <c r="G31" s="11">
        <f t="shared" si="11"/>
        <v>0</v>
      </c>
      <c r="H31" s="11">
        <f t="shared" si="12"/>
        <v>0</v>
      </c>
      <c r="I31" s="11">
        <v>1113</v>
      </c>
      <c r="J31" s="11">
        <f t="shared" si="4"/>
        <v>225049.13840365488</v>
      </c>
      <c r="K31" s="11">
        <f t="shared" si="13"/>
        <v>474.39344262295077</v>
      </c>
      <c r="L31" s="11">
        <f t="shared" si="14"/>
        <v>474.39344262295077</v>
      </c>
      <c r="M31" s="11">
        <f>SQRT(1-D31)/1113*D31</f>
        <v>2.9007977727329954E-4</v>
      </c>
      <c r="N31" s="11">
        <f t="shared" si="8"/>
        <v>-2.9007977727329954E-4</v>
      </c>
      <c r="O31" s="11">
        <f t="shared" si="9"/>
        <v>2.9007977727329954E-4</v>
      </c>
    </row>
    <row r="32" spans="1:15" x14ac:dyDescent="0.3">
      <c r="E32" s="11">
        <f>SUM(E2:E31)</f>
        <v>1567</v>
      </c>
    </row>
    <row r="34" spans="1:14" x14ac:dyDescent="0.3">
      <c r="C34" s="11" t="s">
        <v>302</v>
      </c>
      <c r="D34" s="11" t="s">
        <v>480</v>
      </c>
      <c r="F34" s="11" t="s">
        <v>327</v>
      </c>
    </row>
    <row r="35" spans="1:14" x14ac:dyDescent="0.3">
      <c r="A35" s="11" t="s">
        <v>304</v>
      </c>
      <c r="B35" s="11" t="s">
        <v>14</v>
      </c>
      <c r="C35" s="11">
        <f>SUM(C2:C17)</f>
        <v>102</v>
      </c>
      <c r="D35" s="11" t="s">
        <v>305</v>
      </c>
      <c r="E35" s="11" t="s">
        <v>325</v>
      </c>
      <c r="F35" s="11">
        <v>16</v>
      </c>
    </row>
    <row r="36" spans="1:14" x14ac:dyDescent="0.3">
      <c r="B36" s="11" t="s">
        <v>303</v>
      </c>
      <c r="C36" s="11">
        <v>454</v>
      </c>
      <c r="D36" s="11" t="s">
        <v>500</v>
      </c>
    </row>
    <row r="37" spans="1:14" x14ac:dyDescent="0.3">
      <c r="B37" s="11" t="s">
        <v>307</v>
      </c>
      <c r="C37" s="11">
        <v>347.6023227873448</v>
      </c>
    </row>
    <row r="38" spans="1:14" x14ac:dyDescent="0.3">
      <c r="B38" s="11" t="s">
        <v>507</v>
      </c>
      <c r="C38" s="11">
        <v>-109.92224880382769</v>
      </c>
    </row>
    <row r="39" spans="1:14" x14ac:dyDescent="0.3">
      <c r="A39" s="11" t="s">
        <v>497</v>
      </c>
      <c r="B39" s="11" t="s">
        <v>14</v>
      </c>
      <c r="C39" s="11">
        <f>SUM(C18:C31)</f>
        <v>61</v>
      </c>
      <c r="D39" s="11" t="s">
        <v>499</v>
      </c>
      <c r="E39" s="11" t="s">
        <v>326</v>
      </c>
      <c r="F39" s="11">
        <v>14</v>
      </c>
    </row>
    <row r="40" spans="1:14" x14ac:dyDescent="0.3">
      <c r="B40" s="11" t="s">
        <v>13</v>
      </c>
      <c r="C40" s="11">
        <v>1113</v>
      </c>
      <c r="D40" s="11" t="s">
        <v>498</v>
      </c>
    </row>
    <row r="41" spans="1:14" x14ac:dyDescent="0.3">
      <c r="B41" s="11" t="s">
        <v>501</v>
      </c>
      <c r="C41" s="11">
        <v>43.4235404</v>
      </c>
    </row>
    <row r="42" spans="1:14" x14ac:dyDescent="0.3">
      <c r="B42" s="11" t="s">
        <v>507</v>
      </c>
      <c r="C42" s="11">
        <v>-1069.5764596020097</v>
      </c>
    </row>
    <row r="45" spans="1:14" x14ac:dyDescent="0.3">
      <c r="C45" s="11" t="s">
        <v>335</v>
      </c>
      <c r="D45" s="11" t="s">
        <v>418</v>
      </c>
      <c r="E45" s="11" t="s">
        <v>221</v>
      </c>
      <c r="F45" s="11" t="s">
        <v>420</v>
      </c>
      <c r="G45" s="11" t="s">
        <v>219</v>
      </c>
      <c r="H45" s="11" t="s">
        <v>220</v>
      </c>
      <c r="I45" s="11" t="s">
        <v>222</v>
      </c>
      <c r="J45" s="11" t="s">
        <v>329</v>
      </c>
      <c r="K45" s="11" t="s">
        <v>225</v>
      </c>
      <c r="L45" s="11" t="s">
        <v>224</v>
      </c>
      <c r="M45" s="11" t="s">
        <v>223</v>
      </c>
      <c r="N45" s="11" t="s">
        <v>226</v>
      </c>
    </row>
    <row r="46" spans="1:14" x14ac:dyDescent="0.3">
      <c r="A46" s="11" t="s">
        <v>217</v>
      </c>
      <c r="B46" s="11" t="s">
        <v>331</v>
      </c>
      <c r="C46" s="11">
        <f>SUM(C17,C8)</f>
        <v>7</v>
      </c>
      <c r="D46" s="11">
        <f>C46/349</f>
        <v>2.0057306590257881E-2</v>
      </c>
      <c r="E46" s="11">
        <v>4</v>
      </c>
      <c r="F46" s="11">
        <f>E46/456</f>
        <v>8.771929824561403E-3</v>
      </c>
      <c r="G46" s="11">
        <f>F46/D46</f>
        <v>0.43734335839598992</v>
      </c>
      <c r="H46" s="11">
        <f>G46/2.06466408</f>
        <v>0.21182300919188266</v>
      </c>
      <c r="I46" s="11">
        <v>456</v>
      </c>
      <c r="J46" s="11">
        <f>(E46-(I46*D46))^2</f>
        <v>26.48267255605456</v>
      </c>
      <c r="K46" s="11">
        <f>I46*D46</f>
        <v>9.1461318051575944</v>
      </c>
      <c r="L46" s="11">
        <f>J46/K46</f>
        <v>2.8955052387415541</v>
      </c>
      <c r="M46" s="11">
        <v>299.0686638890005</v>
      </c>
    </row>
    <row r="47" spans="1:14" x14ac:dyDescent="0.3">
      <c r="A47" s="11" t="s">
        <v>217</v>
      </c>
      <c r="B47" s="11" t="s">
        <v>332</v>
      </c>
      <c r="C47" s="11">
        <f>SUM(C14:C15,C10:C12,C4:C6,C2)</f>
        <v>52</v>
      </c>
      <c r="D47" s="11">
        <f t="shared" ref="D47:D49" si="26">C47/349</f>
        <v>0.14899713467048711</v>
      </c>
      <c r="E47" s="11">
        <v>447</v>
      </c>
      <c r="F47" s="11">
        <f t="shared" ref="F47:F49" si="27">E47/456</f>
        <v>0.98026315789473684</v>
      </c>
      <c r="G47" s="11">
        <f t="shared" ref="G47:G53" si="28">F47/D47</f>
        <v>6.5790738866396756</v>
      </c>
      <c r="H47" s="11">
        <f t="shared" ref="H47:H49" si="29">G47/2.06466408</f>
        <v>3.1865105565451963</v>
      </c>
      <c r="I47" s="11">
        <v>456</v>
      </c>
      <c r="J47" s="11">
        <f t="shared" ref="J47:J58" si="30">(E47-(I47*D47))^2</f>
        <v>143684.44167946078</v>
      </c>
      <c r="K47" s="11">
        <f t="shared" ref="K47:K58" si="31">I47*D47</f>
        <v>67.94269340974212</v>
      </c>
      <c r="L47" s="11">
        <f t="shared" ref="L47:L58" si="32">J47/K47</f>
        <v>2114.7887207376775</v>
      </c>
      <c r="M47" s="11">
        <v>299.0686638890005</v>
      </c>
    </row>
    <row r="48" spans="1:14" x14ac:dyDescent="0.3">
      <c r="A48" s="11" t="s">
        <v>217</v>
      </c>
      <c r="B48" s="11" t="s">
        <v>333</v>
      </c>
      <c r="C48" s="11">
        <f>SUM(C16,C9,C7,C3)</f>
        <v>16</v>
      </c>
      <c r="D48" s="11">
        <f t="shared" si="26"/>
        <v>4.5845272206303724E-2</v>
      </c>
      <c r="E48" s="11">
        <v>3</v>
      </c>
      <c r="F48" s="11">
        <f t="shared" si="27"/>
        <v>6.5789473684210523E-3</v>
      </c>
      <c r="G48" s="11">
        <f t="shared" si="28"/>
        <v>0.14350328947368421</v>
      </c>
      <c r="H48" s="11">
        <f t="shared" si="29"/>
        <v>6.9504424891086505E-2</v>
      </c>
      <c r="I48" s="11">
        <v>456</v>
      </c>
      <c r="J48" s="11">
        <f t="shared" si="30"/>
        <v>320.60492935197578</v>
      </c>
      <c r="K48" s="11">
        <f t="shared" si="31"/>
        <v>20.905444126074499</v>
      </c>
      <c r="L48" s="11">
        <f t="shared" si="32"/>
        <v>15.335953994495551</v>
      </c>
      <c r="M48" s="11">
        <v>299.0686638890005</v>
      </c>
    </row>
    <row r="49" spans="1:16" x14ac:dyDescent="0.3">
      <c r="A49" s="11" t="s">
        <v>217</v>
      </c>
      <c r="B49" s="11" t="s">
        <v>334</v>
      </c>
      <c r="C49" s="11" t="e">
        <f>SUM(C13,#REF!)</f>
        <v>#REF!</v>
      </c>
      <c r="D49" s="11" t="e">
        <f t="shared" si="26"/>
        <v>#REF!</v>
      </c>
      <c r="E49" s="11">
        <v>0</v>
      </c>
      <c r="F49" s="11">
        <f t="shared" si="27"/>
        <v>0</v>
      </c>
      <c r="G49" s="11" t="e">
        <f t="shared" si="28"/>
        <v>#REF!</v>
      </c>
      <c r="H49" s="11" t="e">
        <f t="shared" si="29"/>
        <v>#REF!</v>
      </c>
      <c r="I49" s="11">
        <v>456</v>
      </c>
      <c r="J49" s="11" t="e">
        <f t="shared" si="30"/>
        <v>#REF!</v>
      </c>
      <c r="K49" s="11" t="e">
        <f t="shared" si="31"/>
        <v>#REF!</v>
      </c>
      <c r="L49" s="11" t="e">
        <f t="shared" si="32"/>
        <v>#REF!</v>
      </c>
      <c r="M49" s="11">
        <v>299.0686638890005</v>
      </c>
    </row>
    <row r="50" spans="1:16" x14ac:dyDescent="0.3">
      <c r="A50" s="11" t="s">
        <v>218</v>
      </c>
      <c r="B50" s="11" t="s">
        <v>331</v>
      </c>
      <c r="C50" s="11">
        <f>SUM(C30,C29)</f>
        <v>2</v>
      </c>
      <c r="D50" s="11">
        <f>C50/192</f>
        <v>1.0416666666666666E-2</v>
      </c>
      <c r="E50" s="11">
        <v>259</v>
      </c>
      <c r="F50" s="11">
        <f>E50/1113</f>
        <v>0.23270440251572327</v>
      </c>
      <c r="G50" s="11">
        <f t="shared" si="28"/>
        <v>22.339622641509436</v>
      </c>
      <c r="H50" s="11">
        <f>G50/23.655086</f>
        <v>0.94438982980275088</v>
      </c>
      <c r="I50" s="11">
        <v>1113</v>
      </c>
      <c r="J50" s="11">
        <f t="shared" si="30"/>
        <v>61209.8525390625</v>
      </c>
      <c r="K50" s="11">
        <f t="shared" si="31"/>
        <v>11.59375</v>
      </c>
      <c r="L50" s="11">
        <f t="shared" si="32"/>
        <v>5279.5560141509432</v>
      </c>
      <c r="M50" s="11" t="e">
        <f>SUM(L50:L53)</f>
        <v>#REF!</v>
      </c>
    </row>
    <row r="51" spans="1:16" x14ac:dyDescent="0.3">
      <c r="A51" s="11" t="s">
        <v>218</v>
      </c>
      <c r="B51" s="11" t="s">
        <v>332</v>
      </c>
      <c r="C51" s="11">
        <f>SUM(C18:C19,C21,C25:C26,C28)</f>
        <v>21</v>
      </c>
      <c r="D51" s="11">
        <f t="shared" ref="D51:D53" si="33">C51/192</f>
        <v>0.109375</v>
      </c>
      <c r="E51" s="11">
        <v>841</v>
      </c>
      <c r="F51" s="11">
        <f t="shared" ref="F51:F53" si="34">E51/1113</f>
        <v>0.75561545372866123</v>
      </c>
      <c r="G51" s="11">
        <f t="shared" si="28"/>
        <v>6.9084841483763313</v>
      </c>
      <c r="H51" s="11">
        <f t="shared" ref="H51:H53" si="35">G51/23.655086</f>
        <v>0.2920506883118637</v>
      </c>
      <c r="I51" s="11">
        <v>1113</v>
      </c>
      <c r="J51" s="11">
        <f t="shared" si="30"/>
        <v>517343.03930664063</v>
      </c>
      <c r="K51" s="11">
        <f t="shared" si="31"/>
        <v>121.734375</v>
      </c>
      <c r="L51" s="11">
        <f t="shared" si="32"/>
        <v>4249.769543784495</v>
      </c>
      <c r="M51" s="11">
        <v>5753.1139278482715</v>
      </c>
    </row>
    <row r="52" spans="1:16" x14ac:dyDescent="0.3">
      <c r="A52" s="11" t="s">
        <v>218</v>
      </c>
      <c r="B52" s="11" t="s">
        <v>333</v>
      </c>
      <c r="C52" s="11" t="e">
        <f>SUM(C31,C27,#REF!,C22,C20)</f>
        <v>#REF!</v>
      </c>
      <c r="D52" s="11" t="e">
        <f t="shared" si="33"/>
        <v>#REF!</v>
      </c>
      <c r="E52" s="11">
        <v>13</v>
      </c>
      <c r="F52" s="11">
        <f t="shared" si="34"/>
        <v>1.1680143755615454E-2</v>
      </c>
      <c r="G52" s="11" t="e">
        <f t="shared" si="28"/>
        <v>#REF!</v>
      </c>
      <c r="H52" s="11" t="e">
        <f t="shared" si="35"/>
        <v>#REF!</v>
      </c>
      <c r="I52" s="11">
        <v>1113</v>
      </c>
      <c r="J52" s="11" t="e">
        <f t="shared" si="30"/>
        <v>#REF!</v>
      </c>
      <c r="K52" s="11" t="e">
        <f t="shared" si="31"/>
        <v>#REF!</v>
      </c>
      <c r="L52" s="11" t="e">
        <f t="shared" si="32"/>
        <v>#REF!</v>
      </c>
      <c r="M52" s="11">
        <v>5753.1139278482715</v>
      </c>
    </row>
    <row r="53" spans="1:16" x14ac:dyDescent="0.3">
      <c r="A53" s="11" t="s">
        <v>218</v>
      </c>
      <c r="B53" s="11" t="s">
        <v>334</v>
      </c>
      <c r="C53" s="11">
        <f>SUM(C24)</f>
        <v>3</v>
      </c>
      <c r="D53" s="11">
        <f t="shared" si="33"/>
        <v>1.5625E-2</v>
      </c>
      <c r="E53" s="11">
        <v>0</v>
      </c>
      <c r="F53" s="11">
        <f t="shared" si="34"/>
        <v>0</v>
      </c>
      <c r="G53" s="11">
        <f t="shared" si="28"/>
        <v>0</v>
      </c>
      <c r="H53" s="11">
        <f t="shared" si="35"/>
        <v>0</v>
      </c>
      <c r="I53" s="11">
        <v>1113</v>
      </c>
      <c r="J53" s="11">
        <f t="shared" si="30"/>
        <v>302.433837890625</v>
      </c>
      <c r="K53" s="11">
        <f t="shared" si="31"/>
        <v>17.390625</v>
      </c>
      <c r="L53" s="11">
        <f t="shared" si="32"/>
        <v>17.390625</v>
      </c>
      <c r="M53" s="11">
        <v>5753.1139278482715</v>
      </c>
    </row>
    <row r="54" spans="1:16" x14ac:dyDescent="0.3">
      <c r="C54" s="11" t="s">
        <v>335</v>
      </c>
      <c r="D54" s="11" t="s">
        <v>418</v>
      </c>
      <c r="E54" s="11" t="s">
        <v>221</v>
      </c>
      <c r="F54" s="11" t="s">
        <v>420</v>
      </c>
      <c r="G54" s="11" t="s">
        <v>219</v>
      </c>
      <c r="H54" s="11" t="s">
        <v>220</v>
      </c>
      <c r="I54" s="11" t="s">
        <v>222</v>
      </c>
      <c r="J54" s="11" t="s">
        <v>329</v>
      </c>
      <c r="K54" s="11" t="s">
        <v>225</v>
      </c>
      <c r="L54" s="11" t="s">
        <v>224</v>
      </c>
      <c r="M54" s="11" t="s">
        <v>223</v>
      </c>
      <c r="N54" s="11" t="s">
        <v>447</v>
      </c>
      <c r="O54" s="11" t="s">
        <v>448</v>
      </c>
      <c r="P54" s="11" t="s">
        <v>450</v>
      </c>
    </row>
    <row r="55" spans="1:16" x14ac:dyDescent="0.3">
      <c r="A55" s="11" t="s">
        <v>217</v>
      </c>
      <c r="B55" s="11" t="s">
        <v>227</v>
      </c>
      <c r="C55" s="11">
        <f>SUM(C3,C7,C8:C9,C16,C17)</f>
        <v>23</v>
      </c>
      <c r="D55" s="11">
        <f>C55/102</f>
        <v>0.22549019607843138</v>
      </c>
      <c r="E55" s="11">
        <v>7</v>
      </c>
      <c r="F55" s="11">
        <f>E55/456</f>
        <v>1.5350877192982455E-2</v>
      </c>
      <c r="G55" s="11">
        <f>F55/D55</f>
        <v>6.8077803203661316E-2</v>
      </c>
      <c r="H55" s="11">
        <f>G55/(G55+G56)</f>
        <v>5.1043012737677675E-2</v>
      </c>
      <c r="I55" s="11">
        <v>454</v>
      </c>
      <c r="J55" s="11">
        <f>(E55-(I55*D55))^2</f>
        <v>9095.9231064975011</v>
      </c>
      <c r="K55" s="11">
        <f t="shared" si="31"/>
        <v>102.37254901960785</v>
      </c>
      <c r="L55" s="11">
        <f t="shared" si="32"/>
        <v>88.851192957550765</v>
      </c>
      <c r="M55" s="11">
        <f>SUM(L55:L56)</f>
        <v>114.7192617932934</v>
      </c>
      <c r="N55" s="11">
        <f>1.96*(SQRT(F55*(1-F55)/(I55*D55^2)))</f>
        <v>5.0154260174466267E-2</v>
      </c>
      <c r="O55" s="11">
        <f>G55+G56</f>
        <v>1.3337340323842075</v>
      </c>
      <c r="P55" s="11">
        <f>N55/O55</f>
        <v>3.7604394097082147E-2</v>
      </c>
    </row>
    <row r="56" spans="1:16" x14ac:dyDescent="0.3">
      <c r="A56" s="11" t="s">
        <v>217</v>
      </c>
      <c r="B56" s="11" t="s">
        <v>228</v>
      </c>
      <c r="C56" s="11">
        <f>SUM(C2,C4:C6,C10:C15)</f>
        <v>79</v>
      </c>
      <c r="D56" s="11">
        <f>C56/102</f>
        <v>0.77450980392156865</v>
      </c>
      <c r="E56" s="11">
        <v>447</v>
      </c>
      <c r="F56" s="11">
        <f>E56/456</f>
        <v>0.98026315789473684</v>
      </c>
      <c r="G56" s="11">
        <f t="shared" ref="G56:G61" si="36">F56/D56</f>
        <v>1.2656562291805462</v>
      </c>
      <c r="H56" s="11">
        <f>G56/(G55+G56)</f>
        <v>0.94895698726232236</v>
      </c>
      <c r="I56" s="11">
        <v>454</v>
      </c>
      <c r="J56" s="11">
        <f t="shared" si="30"/>
        <v>9095.9231064975011</v>
      </c>
      <c r="K56" s="11">
        <f t="shared" si="31"/>
        <v>351.62745098039215</v>
      </c>
      <c r="L56" s="11">
        <f t="shared" si="32"/>
        <v>25.86806883574263</v>
      </c>
      <c r="M56" s="11">
        <f>SUM(L55:L56)</f>
        <v>114.7192617932934</v>
      </c>
      <c r="N56" s="11">
        <f t="shared" ref="N56:N58" si="37">1.96*(SQRT(F56*(1-F56)/(I56*D56^2)))</f>
        <v>1.6520051581943748E-2</v>
      </c>
      <c r="O56" s="11">
        <v>1.3337340323842075</v>
      </c>
      <c r="P56" s="11">
        <f>N56/O56</f>
        <v>1.2386316297569613E-2</v>
      </c>
    </row>
    <row r="57" spans="1:16" x14ac:dyDescent="0.3">
      <c r="A57" s="11" t="s">
        <v>218</v>
      </c>
      <c r="B57" s="11" t="s">
        <v>227</v>
      </c>
      <c r="C57" s="11">
        <f>SUM(C29:C31,C27,C22:C23,C20)</f>
        <v>37</v>
      </c>
      <c r="D57" s="11">
        <f>C57/61</f>
        <v>0.60655737704918034</v>
      </c>
      <c r="E57" s="11">
        <f>259+13</f>
        <v>272</v>
      </c>
      <c r="F57" s="11">
        <f>E57/1113</f>
        <v>0.24438454627133874</v>
      </c>
      <c r="G57" s="11">
        <f t="shared" si="36"/>
        <v>0.40290425196085577</v>
      </c>
      <c r="H57" s="11">
        <f>G57/(G57+G58)</f>
        <v>0.17340948333111969</v>
      </c>
      <c r="I57" s="11">
        <v>1113</v>
      </c>
      <c r="J57" s="11">
        <f>(E57-(I57*D57))^2</f>
        <v>162488.28836334316</v>
      </c>
      <c r="K57" s="11">
        <f t="shared" si="31"/>
        <v>675.09836065573768</v>
      </c>
      <c r="L57" s="11">
        <f t="shared" si="32"/>
        <v>240.68831718909044</v>
      </c>
      <c r="M57" s="11">
        <f>SUM(L57:L58)</f>
        <v>611.74947285560506</v>
      </c>
      <c r="N57" s="11">
        <f t="shared" si="37"/>
        <v>4.1622090167650401E-2</v>
      </c>
      <c r="O57" s="11">
        <f>SUM(G57+G58)</f>
        <v>2.323426863521203</v>
      </c>
      <c r="P57" s="11">
        <f>N57/O57</f>
        <v>1.7914095262104027E-2</v>
      </c>
    </row>
    <row r="58" spans="1:16" x14ac:dyDescent="0.3">
      <c r="A58" s="11" t="s">
        <v>218</v>
      </c>
      <c r="B58" s="11" t="s">
        <v>228</v>
      </c>
      <c r="C58" s="11">
        <f>SUM(C28,C24:C26,C21,C18:C19)</f>
        <v>24</v>
      </c>
      <c r="D58" s="11">
        <f>C58/61</f>
        <v>0.39344262295081966</v>
      </c>
      <c r="E58" s="11">
        <v>841</v>
      </c>
      <c r="F58" s="11">
        <f>E58/1113</f>
        <v>0.75561545372866123</v>
      </c>
      <c r="G58" s="11">
        <f t="shared" si="36"/>
        <v>1.9205226115603473</v>
      </c>
      <c r="H58" s="11">
        <f>G58/(G57+G58)</f>
        <v>0.82659051666888039</v>
      </c>
      <c r="I58" s="11">
        <v>1113</v>
      </c>
      <c r="J58" s="11">
        <f t="shared" si="30"/>
        <v>162488.28836334322</v>
      </c>
      <c r="K58" s="11">
        <f t="shared" si="31"/>
        <v>437.90163934426226</v>
      </c>
      <c r="L58" s="11">
        <f t="shared" si="32"/>
        <v>371.06115566651459</v>
      </c>
      <c r="M58" s="11">
        <f>SUM(L57:L58)</f>
        <v>611.74947285560506</v>
      </c>
      <c r="N58" s="11">
        <f t="shared" si="37"/>
        <v>6.4167389008461029E-2</v>
      </c>
      <c r="O58" s="11">
        <v>2.323426863521203</v>
      </c>
      <c r="P58" s="11">
        <f>N58/O58</f>
        <v>2.7617563529077037E-2</v>
      </c>
    </row>
    <row r="59" spans="1:16" x14ac:dyDescent="0.3">
      <c r="E59" s="11">
        <f>SUM(E55:E58)</f>
        <v>1567</v>
      </c>
    </row>
    <row r="60" spans="1:16" x14ac:dyDescent="0.3">
      <c r="A60" s="11" t="s">
        <v>3</v>
      </c>
      <c r="B60" s="11" t="s">
        <v>4</v>
      </c>
      <c r="C60" s="11">
        <f>23+37</f>
        <v>60</v>
      </c>
      <c r="D60" s="11">
        <f>C60/160</f>
        <v>0.375</v>
      </c>
      <c r="E60" s="11">
        <f>7+272</f>
        <v>279</v>
      </c>
      <c r="F60" s="11">
        <f>E60/(279+1288)</f>
        <v>0.1780472239948947</v>
      </c>
      <c r="G60" s="11">
        <f>F60/D60</f>
        <v>0.47479259731971918</v>
      </c>
      <c r="H60" s="11">
        <f>G60/(G60+G61)</f>
        <v>0.2652595550484883</v>
      </c>
      <c r="I60" s="11">
        <v>1567</v>
      </c>
      <c r="J60" s="11">
        <f>(E60-(I60*D60))^2</f>
        <v>95249.390625</v>
      </c>
      <c r="K60" s="11">
        <f>I60*D60</f>
        <v>587.625</v>
      </c>
      <c r="L60" s="11">
        <f t="shared" ref="L60:L61" si="38">J60/K60</f>
        <v>162.09213465220165</v>
      </c>
      <c r="M60" s="11">
        <f>SUM(L60:L61)</f>
        <v>259.34741544352266</v>
      </c>
    </row>
    <row r="61" spans="1:16" x14ac:dyDescent="0.3">
      <c r="B61" s="11" t="s">
        <v>228</v>
      </c>
      <c r="C61" s="11">
        <f>79+21</f>
        <v>100</v>
      </c>
      <c r="D61" s="11">
        <f>C61/160</f>
        <v>0.625</v>
      </c>
      <c r="E61" s="11">
        <f>447+841</f>
        <v>1288</v>
      </c>
      <c r="F61" s="11">
        <f t="shared" ref="F61" si="39">E61/(279+1288)</f>
        <v>0.8219527760051053</v>
      </c>
      <c r="G61" s="11">
        <f t="shared" si="36"/>
        <v>1.3151244416081684</v>
      </c>
      <c r="H61" s="11">
        <f>G61/(G60+G61)</f>
        <v>0.7347404449515117</v>
      </c>
      <c r="I61" s="11">
        <v>1567</v>
      </c>
      <c r="J61" s="11">
        <f>(E61-(I61*D61))^2</f>
        <v>95249.390625</v>
      </c>
      <c r="K61" s="11">
        <f t="shared" ref="K61" si="40">I61*D61</f>
        <v>979.375</v>
      </c>
      <c r="L61" s="11">
        <f t="shared" si="38"/>
        <v>97.255280791320999</v>
      </c>
    </row>
    <row r="62" spans="1:16" x14ac:dyDescent="0.3">
      <c r="C62" s="11">
        <f>C60/C61</f>
        <v>0.6</v>
      </c>
      <c r="E62" s="11">
        <f>E60/E61</f>
        <v>0.21661490683229814</v>
      </c>
    </row>
    <row r="63" spans="1:16" x14ac:dyDescent="0.3">
      <c r="C63" s="11" t="s">
        <v>335</v>
      </c>
      <c r="E63" s="11" t="s">
        <v>10</v>
      </c>
      <c r="F63" s="11" t="s">
        <v>309</v>
      </c>
      <c r="G63" s="11" t="s">
        <v>310</v>
      </c>
      <c r="H63" s="11" t="s">
        <v>220</v>
      </c>
    </row>
    <row r="64" spans="1:16" x14ac:dyDescent="0.3">
      <c r="A64" s="11" t="s">
        <v>217</v>
      </c>
      <c r="B64" s="11" t="s">
        <v>8</v>
      </c>
      <c r="C64" s="11">
        <f>SUM(C12,C16,C17:C18,C25,C26)</f>
        <v>29</v>
      </c>
      <c r="D64" s="11">
        <f>C64/102</f>
        <v>0.28431372549019607</v>
      </c>
      <c r="E64" s="11">
        <v>6</v>
      </c>
      <c r="F64" s="11">
        <f>E64/11</f>
        <v>0.54545454545454541</v>
      </c>
      <c r="G64" s="11">
        <f>F64/D64</f>
        <v>1.9184952978056427</v>
      </c>
      <c r="H64" s="11">
        <f>G64/(G64+G65)</f>
        <v>0.77862595419847325</v>
      </c>
      <c r="I64" s="11">
        <v>11</v>
      </c>
      <c r="J64" s="11">
        <f t="shared" ref="J64:J67" si="41">(E64-(I64*D64))^2</f>
        <v>8.2515378700499813</v>
      </c>
      <c r="K64" s="11">
        <f t="shared" ref="K64:K67" si="42">I64*D64</f>
        <v>3.1274509803921569</v>
      </c>
      <c r="L64" s="11">
        <f t="shared" ref="L64:L67" si="43">J64/K64</f>
        <v>2.6384227672260128</v>
      </c>
      <c r="M64" s="11">
        <f>L64+L65</f>
        <v>4.1535742823775275</v>
      </c>
      <c r="N64" s="11">
        <v>4.2000000000000003E-2</v>
      </c>
    </row>
    <row r="65" spans="1:14" x14ac:dyDescent="0.3">
      <c r="A65" s="11" t="s">
        <v>5</v>
      </c>
      <c r="B65" s="11" t="s">
        <v>9</v>
      </c>
      <c r="C65" s="11">
        <f>SUM(C11,C13:C15,C19:C24)</f>
        <v>68</v>
      </c>
      <c r="D65" s="11">
        <f>C65/102</f>
        <v>0.66666666666666663</v>
      </c>
      <c r="E65" s="11">
        <v>4</v>
      </c>
      <c r="F65" s="11">
        <f>E65/11</f>
        <v>0.36363636363636365</v>
      </c>
      <c r="G65" s="11">
        <f t="shared" ref="G65:G67" si="44">F65/D65</f>
        <v>0.54545454545454553</v>
      </c>
      <c r="H65" s="11">
        <f>G65/(G64+G65)</f>
        <v>0.22137404580152673</v>
      </c>
      <c r="I65" s="11">
        <v>11</v>
      </c>
      <c r="J65" s="11">
        <f t="shared" si="41"/>
        <v>11.111111111111109</v>
      </c>
      <c r="K65" s="11">
        <f t="shared" si="42"/>
        <v>7.333333333333333</v>
      </c>
      <c r="L65" s="11">
        <f t="shared" si="43"/>
        <v>1.5151515151515149</v>
      </c>
      <c r="M65" s="11">
        <f>L64+L65</f>
        <v>4.1535742823775275</v>
      </c>
      <c r="N65" s="11">
        <v>4.2000000000000003E-2</v>
      </c>
    </row>
    <row r="66" spans="1:14" x14ac:dyDescent="0.3">
      <c r="A66" s="11" t="s">
        <v>6</v>
      </c>
      <c r="B66" s="11" t="s">
        <v>8</v>
      </c>
      <c r="C66" s="11">
        <f>SUM(C38:C40,C36,C31:C32,C29)</f>
        <v>1545.0777511961724</v>
      </c>
      <c r="D66" s="11">
        <f>C66/61</f>
        <v>25.329143462232334</v>
      </c>
      <c r="E66" s="11">
        <v>11</v>
      </c>
      <c r="F66" s="11">
        <f>E66/15</f>
        <v>0.73333333333333328</v>
      </c>
      <c r="G66" s="11">
        <f t="shared" si="44"/>
        <v>2.8952156808096912E-2</v>
      </c>
      <c r="H66" s="11">
        <f>G66/(G66+G67)</f>
        <v>0.20003577603368311</v>
      </c>
      <c r="I66" s="11">
        <v>15</v>
      </c>
      <c r="J66" s="11">
        <f t="shared" si="41"/>
        <v>136114.62207679142</v>
      </c>
      <c r="K66" s="11">
        <f t="shared" si="42"/>
        <v>379.93715193348504</v>
      </c>
      <c r="L66" s="11">
        <f t="shared" si="43"/>
        <v>358.25562565837407</v>
      </c>
      <c r="M66" s="11">
        <f>L66+L67</f>
        <v>446.04006094157279</v>
      </c>
      <c r="N66" s="11" t="s">
        <v>311</v>
      </c>
    </row>
    <row r="67" spans="1:14" x14ac:dyDescent="0.3">
      <c r="A67" s="11" t="s">
        <v>7</v>
      </c>
      <c r="B67" s="11" t="s">
        <v>9</v>
      </c>
      <c r="C67" s="11">
        <f>SUM(C37,C34:C35,C30,C27:C28)</f>
        <v>456.6023227873448</v>
      </c>
      <c r="D67" s="11">
        <f>C67/61</f>
        <v>7.485283980120407</v>
      </c>
      <c r="E67" s="11">
        <v>13</v>
      </c>
      <c r="F67" s="11">
        <f>E67/15</f>
        <v>0.8666666666666667</v>
      </c>
      <c r="G67" s="11">
        <f t="shared" si="44"/>
        <v>0.11578273703020224</v>
      </c>
      <c r="H67" s="11">
        <f>G67/(G66+G67)</f>
        <v>0.79996422396631683</v>
      </c>
      <c r="I67" s="11">
        <v>15</v>
      </c>
      <c r="J67" s="11">
        <f t="shared" si="41"/>
        <v>9856.3714069386606</v>
      </c>
      <c r="K67" s="11">
        <f t="shared" si="42"/>
        <v>112.2792597018061</v>
      </c>
      <c r="L67" s="11">
        <f t="shared" si="43"/>
        <v>87.784435283198732</v>
      </c>
      <c r="M67" s="11">
        <f>L66+L67</f>
        <v>446.04006094157279</v>
      </c>
      <c r="N67" s="11" t="s">
        <v>330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J25" sqref="J25"/>
    </sheetView>
  </sheetViews>
  <sheetFormatPr defaultColWidth="17.4609375" defaultRowHeight="13.5" x14ac:dyDescent="0.25"/>
  <cols>
    <col min="1" max="1" width="17.53515625" style="15" customWidth="1"/>
    <col min="2" max="2" width="7.84375" style="15" customWidth="1"/>
    <col min="3" max="3" width="9.15234375" style="15" customWidth="1"/>
    <col min="4" max="4" width="8.84375" style="15" customWidth="1"/>
    <col min="5" max="6" width="8.53515625" style="15" customWidth="1"/>
    <col min="7" max="7" width="8.4609375" style="15" customWidth="1"/>
    <col min="8" max="8" width="8.69140625" style="15" customWidth="1"/>
    <col min="9" max="9" width="8" style="15" customWidth="1"/>
    <col min="10" max="16384" width="17.4609375" style="15"/>
  </cols>
  <sheetData>
    <row r="1" spans="1:9" ht="14.5" thickBot="1" x14ac:dyDescent="0.35">
      <c r="A1" s="14" t="s">
        <v>599</v>
      </c>
      <c r="B1" s="14" t="s">
        <v>116</v>
      </c>
      <c r="C1" s="14" t="s">
        <v>117</v>
      </c>
      <c r="D1" s="14" t="s">
        <v>114</v>
      </c>
      <c r="E1" s="14" t="s">
        <v>115</v>
      </c>
      <c r="F1" s="14" t="s">
        <v>118</v>
      </c>
      <c r="G1" s="14" t="s">
        <v>509</v>
      </c>
      <c r="H1" s="14" t="s">
        <v>511</v>
      </c>
      <c r="I1" s="14" t="s">
        <v>308</v>
      </c>
    </row>
    <row r="2" spans="1:9" ht="14.5" thickTop="1" x14ac:dyDescent="0.3">
      <c r="A2" s="16" t="s">
        <v>421</v>
      </c>
      <c r="B2" s="17">
        <v>2</v>
      </c>
      <c r="C2" s="18">
        <v>5.7306590257879654E-3</v>
      </c>
      <c r="D2" s="19">
        <v>0</v>
      </c>
      <c r="E2" s="19">
        <v>0</v>
      </c>
      <c r="F2" s="19">
        <v>0</v>
      </c>
      <c r="G2" s="19">
        <v>-1.2531173699616184E-5</v>
      </c>
      <c r="H2" s="19">
        <v>1.2531173699616184E-5</v>
      </c>
      <c r="I2" s="19">
        <v>0</v>
      </c>
    </row>
    <row r="3" spans="1:9" ht="14" x14ac:dyDescent="0.3">
      <c r="A3" s="20" t="s">
        <v>426</v>
      </c>
      <c r="B3" s="21">
        <v>2</v>
      </c>
      <c r="C3" s="22">
        <v>5.7306590257879654E-3</v>
      </c>
      <c r="D3" s="23">
        <v>0</v>
      </c>
      <c r="E3" s="23">
        <v>0</v>
      </c>
      <c r="F3" s="23">
        <v>0</v>
      </c>
      <c r="G3" s="23">
        <v>-1.2531173699616184E-5</v>
      </c>
      <c r="H3" s="23">
        <v>1.2531173699616184E-5</v>
      </c>
      <c r="I3" s="23">
        <v>0</v>
      </c>
    </row>
    <row r="4" spans="1:9" ht="14" x14ac:dyDescent="0.3">
      <c r="A4" s="20" t="s">
        <v>422</v>
      </c>
      <c r="B4" s="21">
        <v>2</v>
      </c>
      <c r="C4" s="22">
        <v>5.7306590257879654E-3</v>
      </c>
      <c r="D4" s="23">
        <v>0</v>
      </c>
      <c r="E4" s="23">
        <v>0</v>
      </c>
      <c r="F4" s="23">
        <v>0</v>
      </c>
      <c r="G4" s="23">
        <v>-1.2531173699616184E-5</v>
      </c>
      <c r="H4" s="23">
        <v>1.2531173699616184E-5</v>
      </c>
      <c r="I4" s="23">
        <v>0</v>
      </c>
    </row>
    <row r="5" spans="1:9" ht="14" x14ac:dyDescent="0.3">
      <c r="A5" s="20" t="s">
        <v>423</v>
      </c>
      <c r="B5" s="21">
        <v>2</v>
      </c>
      <c r="C5" s="22">
        <v>5.7306590257879654E-3</v>
      </c>
      <c r="D5" s="23">
        <v>0</v>
      </c>
      <c r="E5" s="23">
        <v>0</v>
      </c>
      <c r="F5" s="23">
        <v>0</v>
      </c>
      <c r="G5" s="23">
        <v>-1.2531173699616184E-5</v>
      </c>
      <c r="H5" s="23">
        <v>1.2531173699616184E-5</v>
      </c>
      <c r="I5" s="23">
        <v>0</v>
      </c>
    </row>
    <row r="6" spans="1:9" ht="14" x14ac:dyDescent="0.3">
      <c r="A6" s="20" t="s">
        <v>424</v>
      </c>
      <c r="B6" s="21">
        <v>4</v>
      </c>
      <c r="C6" s="22">
        <v>1.1461318051575931E-2</v>
      </c>
      <c r="D6" s="23">
        <v>0</v>
      </c>
      <c r="E6" s="23">
        <v>0</v>
      </c>
      <c r="F6" s="23">
        <v>0</v>
      </c>
      <c r="G6" s="23">
        <v>-2.4990017241480517E-5</v>
      </c>
      <c r="H6" s="23">
        <v>2.4990017241480517E-5</v>
      </c>
      <c r="I6" s="23">
        <v>0</v>
      </c>
    </row>
    <row r="7" spans="1:9" ht="14" x14ac:dyDescent="0.3">
      <c r="A7" s="20" t="s">
        <v>119</v>
      </c>
      <c r="B7" s="21">
        <v>6</v>
      </c>
      <c r="C7" s="22">
        <v>1.7191977077363897E-2</v>
      </c>
      <c r="D7" s="23">
        <v>0</v>
      </c>
      <c r="E7" s="23">
        <v>0</v>
      </c>
      <c r="F7" s="23">
        <v>0</v>
      </c>
      <c r="G7" s="23">
        <v>-3.7376215688230794E-5</v>
      </c>
      <c r="H7" s="23">
        <v>3.7376215688230794E-5</v>
      </c>
      <c r="I7" s="23">
        <v>0</v>
      </c>
    </row>
    <row r="8" spans="1:9" ht="14" x14ac:dyDescent="0.3">
      <c r="A8" s="20" t="s">
        <v>428</v>
      </c>
      <c r="B8" s="21">
        <v>7</v>
      </c>
      <c r="C8" s="22">
        <v>2.0057306590257881E-2</v>
      </c>
      <c r="D8" s="23">
        <v>0</v>
      </c>
      <c r="E8" s="23">
        <v>0</v>
      </c>
      <c r="F8" s="23">
        <v>0</v>
      </c>
      <c r="G8" s="23">
        <v>-4.3541973579105954E-5</v>
      </c>
      <c r="H8" s="23">
        <v>4.3541973579105954E-5</v>
      </c>
      <c r="I8" s="23">
        <v>0</v>
      </c>
    </row>
    <row r="9" spans="1:9" ht="14" x14ac:dyDescent="0.3">
      <c r="A9" s="20" t="s">
        <v>429</v>
      </c>
      <c r="B9" s="21">
        <v>10</v>
      </c>
      <c r="C9" s="22">
        <v>2.865329512893983E-2</v>
      </c>
      <c r="D9" s="23">
        <v>0</v>
      </c>
      <c r="E9" s="23">
        <v>0</v>
      </c>
      <c r="F9" s="23">
        <v>0</v>
      </c>
      <c r="G9" s="23">
        <v>-6.1929399088727746E-5</v>
      </c>
      <c r="H9" s="23">
        <v>6.1929399088727746E-5</v>
      </c>
      <c r="I9" s="23">
        <v>0</v>
      </c>
    </row>
    <row r="10" spans="1:9" ht="14" x14ac:dyDescent="0.3">
      <c r="A10" s="20" t="s">
        <v>247</v>
      </c>
      <c r="B10" s="21">
        <v>11</v>
      </c>
      <c r="C10" s="22">
        <v>3.151862464183381E-2</v>
      </c>
      <c r="D10" s="23">
        <v>2</v>
      </c>
      <c r="E10" s="22">
        <v>4.4052863436123352E-3</v>
      </c>
      <c r="F10" s="22">
        <v>0.13976772126551865</v>
      </c>
      <c r="G10" s="22">
        <v>0.13969969947615371</v>
      </c>
      <c r="H10" s="22">
        <v>0.13983574305488358</v>
      </c>
      <c r="I10" s="22">
        <v>4.0209087229120343E-4</v>
      </c>
    </row>
    <row r="11" spans="1:9" ht="14" x14ac:dyDescent="0.3">
      <c r="A11" s="20" t="s">
        <v>55</v>
      </c>
      <c r="B11" s="21">
        <v>27</v>
      </c>
      <c r="C11" s="22">
        <v>7.7363896848137534E-2</v>
      </c>
      <c r="D11" s="23">
        <v>0</v>
      </c>
      <c r="E11" s="24">
        <v>0</v>
      </c>
      <c r="F11" s="23">
        <v>0</v>
      </c>
      <c r="G11" s="23">
        <v>-1.6296288963302876E-4</v>
      </c>
      <c r="H11" s="23">
        <v>1.6296288963302876E-4</v>
      </c>
      <c r="I11" s="23">
        <v>0</v>
      </c>
    </row>
    <row r="12" spans="1:9" ht="14" x14ac:dyDescent="0.3">
      <c r="A12" s="20" t="s">
        <v>425</v>
      </c>
      <c r="B12" s="21">
        <v>68</v>
      </c>
      <c r="C12" s="22">
        <v>0.19484240687679083</v>
      </c>
      <c r="D12" s="23">
        <v>0</v>
      </c>
      <c r="E12" s="24">
        <v>0</v>
      </c>
      <c r="F12" s="23">
        <v>0</v>
      </c>
      <c r="G12" s="23">
        <v>-3.8340616296593635E-4</v>
      </c>
      <c r="H12" s="23">
        <v>3.8340616296593635E-4</v>
      </c>
      <c r="I12" s="23">
        <v>0</v>
      </c>
    </row>
    <row r="13" spans="1:9" ht="14" x14ac:dyDescent="0.3">
      <c r="A13" s="20" t="s">
        <v>62</v>
      </c>
      <c r="B13" s="21">
        <v>97</v>
      </c>
      <c r="C13" s="22">
        <v>0.27793696275071633</v>
      </c>
      <c r="D13" s="23">
        <v>0</v>
      </c>
      <c r="E13" s="24">
        <v>0</v>
      </c>
      <c r="F13" s="23">
        <v>0</v>
      </c>
      <c r="G13" s="23">
        <v>-5.1792756025119814E-4</v>
      </c>
      <c r="H13" s="23">
        <v>5.1792756025119814E-4</v>
      </c>
      <c r="I13" s="23">
        <v>0</v>
      </c>
    </row>
    <row r="14" spans="1:9" ht="14" x14ac:dyDescent="0.3">
      <c r="A14" s="20" t="s">
        <v>60</v>
      </c>
      <c r="B14" s="21">
        <v>107</v>
      </c>
      <c r="C14" s="22">
        <v>0.30659025787965616</v>
      </c>
      <c r="D14" s="23">
        <v>0</v>
      </c>
      <c r="E14" s="24">
        <v>0</v>
      </c>
      <c r="F14" s="23">
        <v>0</v>
      </c>
      <c r="G14" s="23">
        <v>-5.5987165092680517E-4</v>
      </c>
      <c r="H14" s="23">
        <v>5.5987165092680517E-4</v>
      </c>
      <c r="I14" s="23">
        <v>0</v>
      </c>
    </row>
    <row r="15" spans="1:9" ht="14" x14ac:dyDescent="0.3">
      <c r="A15" s="20" t="s">
        <v>61</v>
      </c>
      <c r="B15" s="21">
        <v>1</v>
      </c>
      <c r="C15" s="22">
        <v>2.8653295128939827E-3</v>
      </c>
      <c r="D15" s="23">
        <v>202</v>
      </c>
      <c r="E15" s="22">
        <v>0.44493392070484583</v>
      </c>
      <c r="F15" s="22">
        <v>155.28193832599121</v>
      </c>
      <c r="G15" s="22">
        <v>155.28193205138263</v>
      </c>
      <c r="H15" s="22">
        <v>155.28194460059979</v>
      </c>
      <c r="I15" s="22">
        <v>0.44672295911552695</v>
      </c>
    </row>
    <row r="16" spans="1:9" ht="14" x14ac:dyDescent="0.3">
      <c r="A16" s="20" t="s">
        <v>350</v>
      </c>
      <c r="B16" s="21">
        <v>1</v>
      </c>
      <c r="C16" s="22">
        <v>2.8653295128939827E-3</v>
      </c>
      <c r="D16" s="23">
        <v>245</v>
      </c>
      <c r="E16" s="22">
        <v>0.53964757709251099</v>
      </c>
      <c r="F16" s="22">
        <v>188.33700440528634</v>
      </c>
      <c r="G16" s="22">
        <v>188.33699813067776</v>
      </c>
      <c r="H16" s="22">
        <v>188.33701067989492</v>
      </c>
      <c r="I16" s="22">
        <v>0.54181745041239648</v>
      </c>
    </row>
    <row r="17" spans="1:9" ht="14" x14ac:dyDescent="0.3">
      <c r="A17" s="20" t="s">
        <v>63</v>
      </c>
      <c r="B17" s="21">
        <v>1</v>
      </c>
      <c r="C17" s="22">
        <v>2.8653295128939827E-3</v>
      </c>
      <c r="D17" s="23">
        <v>1</v>
      </c>
      <c r="E17" s="22">
        <v>2.2026431718061676E-3</v>
      </c>
      <c r="F17" s="22">
        <v>0.76872246696035251</v>
      </c>
      <c r="G17" s="22">
        <v>0.76871619235177469</v>
      </c>
      <c r="H17" s="22">
        <v>0.76872874156893034</v>
      </c>
      <c r="I17" s="22">
        <v>2.2114997976016189E-3</v>
      </c>
    </row>
    <row r="18" spans="1:9" ht="14" x14ac:dyDescent="0.3">
      <c r="A18" s="25" t="s">
        <v>57</v>
      </c>
      <c r="B18" s="26">
        <v>1</v>
      </c>
      <c r="C18" s="27">
        <v>2.8653295128939827E-3</v>
      </c>
      <c r="D18" s="28">
        <v>4</v>
      </c>
      <c r="E18" s="27">
        <v>8.8105726872246704E-3</v>
      </c>
      <c r="F18" s="27">
        <v>3.0748898678414101</v>
      </c>
      <c r="G18" s="27">
        <v>3.0748835932328324</v>
      </c>
      <c r="H18" s="27">
        <v>3.0748961424499877</v>
      </c>
      <c r="I18" s="27">
        <v>8.8459991904064755E-3</v>
      </c>
    </row>
    <row r="19" spans="1:9" ht="14" x14ac:dyDescent="0.3">
      <c r="A19" s="21" t="s">
        <v>312</v>
      </c>
      <c r="B19" s="21">
        <f>SUM(B2:B18)</f>
        <v>349</v>
      </c>
      <c r="C19" s="21">
        <f t="shared" ref="C19:F19" si="0">SUM(C2:C18)</f>
        <v>1</v>
      </c>
      <c r="D19" s="21">
        <f t="shared" si="0"/>
        <v>454</v>
      </c>
      <c r="E19" s="21">
        <f t="shared" si="0"/>
        <v>1</v>
      </c>
      <c r="F19" s="29">
        <f t="shared" si="0"/>
        <v>347.6023227873448</v>
      </c>
      <c r="G19" s="29"/>
      <c r="H19" s="29"/>
      <c r="I19" s="30">
        <f>SUM(I2:I18)</f>
        <v>0.9999999993882227</v>
      </c>
    </row>
    <row r="21" spans="1:9" ht="14.5" thickBot="1" x14ac:dyDescent="0.35">
      <c r="A21" s="14" t="s">
        <v>599</v>
      </c>
      <c r="B21" s="14" t="s">
        <v>116</v>
      </c>
      <c r="C21" s="14" t="s">
        <v>117</v>
      </c>
      <c r="D21" s="14" t="s">
        <v>114</v>
      </c>
      <c r="E21" s="14" t="s">
        <v>115</v>
      </c>
      <c r="F21" s="14" t="s">
        <v>118</v>
      </c>
      <c r="G21" s="14" t="s">
        <v>509</v>
      </c>
      <c r="H21" s="14" t="s">
        <v>511</v>
      </c>
      <c r="I21" s="14" t="s">
        <v>308</v>
      </c>
    </row>
    <row r="22" spans="1:9" ht="14.5" thickTop="1" x14ac:dyDescent="0.3">
      <c r="A22" s="31" t="s">
        <v>313</v>
      </c>
      <c r="B22" s="32">
        <v>1</v>
      </c>
      <c r="C22" s="33">
        <v>6.024096385542169E-3</v>
      </c>
      <c r="D22" s="32">
        <v>0</v>
      </c>
      <c r="E22" s="32">
        <v>0</v>
      </c>
      <c r="F22" s="32">
        <v>0</v>
      </c>
      <c r="G22" s="32">
        <v>-5.396158227925748E-6</v>
      </c>
      <c r="H22" s="32">
        <v>5.396158227925748E-6</v>
      </c>
      <c r="I22" s="32">
        <v>0</v>
      </c>
    </row>
    <row r="23" spans="1:9" ht="14" x14ac:dyDescent="0.3">
      <c r="A23" s="34" t="s">
        <v>59</v>
      </c>
      <c r="B23" s="35">
        <v>1</v>
      </c>
      <c r="C23" s="36">
        <v>6.024096385542169E-3</v>
      </c>
      <c r="D23" s="35">
        <v>0</v>
      </c>
      <c r="E23" s="35">
        <v>0</v>
      </c>
      <c r="F23" s="35">
        <v>0</v>
      </c>
      <c r="G23" s="35">
        <v>-5.396158227925748E-6</v>
      </c>
      <c r="H23" s="35">
        <v>5.396158227925748E-6</v>
      </c>
      <c r="I23" s="35">
        <v>0</v>
      </c>
    </row>
    <row r="24" spans="1:9" ht="14" x14ac:dyDescent="0.3">
      <c r="A24" s="34" t="s">
        <v>314</v>
      </c>
      <c r="B24" s="35">
        <v>1</v>
      </c>
      <c r="C24" s="36">
        <v>6.024096385542169E-3</v>
      </c>
      <c r="D24" s="35">
        <v>0</v>
      </c>
      <c r="E24" s="35">
        <v>0</v>
      </c>
      <c r="F24" s="35">
        <v>0</v>
      </c>
      <c r="G24" s="35">
        <v>-5.396158227925748E-6</v>
      </c>
      <c r="H24" s="35">
        <v>5.396158227925748E-6</v>
      </c>
      <c r="I24" s="35">
        <v>0</v>
      </c>
    </row>
    <row r="25" spans="1:9" ht="14" x14ac:dyDescent="0.3">
      <c r="A25" s="34" t="s">
        <v>427</v>
      </c>
      <c r="B25" s="35">
        <v>2</v>
      </c>
      <c r="C25" s="36">
        <v>1.2048192771084338E-2</v>
      </c>
      <c r="D25" s="35">
        <v>0</v>
      </c>
      <c r="E25" s="35">
        <v>0</v>
      </c>
      <c r="F25" s="35">
        <v>0</v>
      </c>
      <c r="G25" s="35">
        <v>-1.0759562764365209E-5</v>
      </c>
      <c r="H25" s="35">
        <v>1.0759562764365209E-5</v>
      </c>
      <c r="I25" s="35">
        <v>0</v>
      </c>
    </row>
    <row r="26" spans="1:9" ht="14" x14ac:dyDescent="0.3">
      <c r="A26" s="34" t="s">
        <v>350</v>
      </c>
      <c r="B26" s="35">
        <v>3</v>
      </c>
      <c r="C26" s="36">
        <v>1.8072289156626505E-2</v>
      </c>
      <c r="D26" s="35">
        <v>2</v>
      </c>
      <c r="E26" s="36">
        <v>1.7969451931716084E-3</v>
      </c>
      <c r="F26" s="36">
        <v>9.943096735549567E-2</v>
      </c>
      <c r="G26" s="36">
        <v>9.9414877291904305E-2</v>
      </c>
      <c r="H26" s="36">
        <v>9.9447057419087034E-2</v>
      </c>
      <c r="I26" s="36">
        <v>2.2897941171903077E-3</v>
      </c>
    </row>
    <row r="27" spans="1:9" ht="14" x14ac:dyDescent="0.3">
      <c r="A27" s="34" t="s">
        <v>63</v>
      </c>
      <c r="B27" s="35">
        <v>5</v>
      </c>
      <c r="C27" s="36">
        <v>3.0120481927710843E-2</v>
      </c>
      <c r="D27" s="35">
        <v>0</v>
      </c>
      <c r="E27" s="35">
        <v>0</v>
      </c>
      <c r="F27" s="35">
        <v>0</v>
      </c>
      <c r="G27" s="35">
        <v>-2.6651744791796463E-5</v>
      </c>
      <c r="H27" s="35">
        <v>2.6651744791796463E-5</v>
      </c>
      <c r="I27" s="35">
        <v>0</v>
      </c>
    </row>
    <row r="28" spans="1:9" ht="14" x14ac:dyDescent="0.3">
      <c r="A28" s="34" t="s">
        <v>60</v>
      </c>
      <c r="B28" s="35">
        <v>6</v>
      </c>
      <c r="C28" s="36">
        <v>3.614457831325301E-2</v>
      </c>
      <c r="D28" s="35">
        <v>0</v>
      </c>
      <c r="E28" s="35">
        <v>0</v>
      </c>
      <c r="F28" s="35">
        <v>0</v>
      </c>
      <c r="G28" s="35">
        <v>-3.1882615768117171E-5</v>
      </c>
      <c r="H28" s="35">
        <v>3.1882615768117171E-5</v>
      </c>
      <c r="I28" s="35">
        <v>0</v>
      </c>
    </row>
    <row r="29" spans="1:9" ht="14" x14ac:dyDescent="0.3">
      <c r="A29" s="34" t="s">
        <v>40</v>
      </c>
      <c r="B29" s="35">
        <v>6</v>
      </c>
      <c r="C29" s="36">
        <v>3.614457831325301E-2</v>
      </c>
      <c r="D29" s="35">
        <v>0</v>
      </c>
      <c r="E29" s="35">
        <v>0</v>
      </c>
      <c r="F29" s="35">
        <v>0</v>
      </c>
      <c r="G29" s="35">
        <v>-3.1882615768117171E-5</v>
      </c>
      <c r="H29" s="35">
        <v>3.1882615768117171E-5</v>
      </c>
      <c r="I29" s="35">
        <v>0</v>
      </c>
    </row>
    <row r="30" spans="1:9" ht="14" x14ac:dyDescent="0.3">
      <c r="A30" s="34" t="s">
        <v>425</v>
      </c>
      <c r="B30" s="35">
        <v>9</v>
      </c>
      <c r="C30" s="36">
        <v>5.4216867469879519E-2</v>
      </c>
      <c r="D30" s="35">
        <v>0</v>
      </c>
      <c r="E30" s="35">
        <v>0</v>
      </c>
      <c r="F30" s="35">
        <v>0</v>
      </c>
      <c r="G30" s="35">
        <v>-4.7373452793850844E-5</v>
      </c>
      <c r="H30" s="35">
        <v>4.7373452793850844E-5</v>
      </c>
      <c r="I30" s="35">
        <v>0</v>
      </c>
    </row>
    <row r="31" spans="1:9" ht="14" x14ac:dyDescent="0.3">
      <c r="A31" s="34" t="s">
        <v>424</v>
      </c>
      <c r="B31" s="35">
        <v>26</v>
      </c>
      <c r="C31" s="36">
        <v>0.15662650602409639</v>
      </c>
      <c r="D31" s="35">
        <v>0</v>
      </c>
      <c r="E31" s="35">
        <v>0</v>
      </c>
      <c r="F31" s="35">
        <v>0</v>
      </c>
      <c r="G31" s="35">
        <v>-1.2923497686498852E-4</v>
      </c>
      <c r="H31" s="35">
        <v>1.2923497686498852E-4</v>
      </c>
      <c r="I31" s="35">
        <v>0</v>
      </c>
    </row>
    <row r="32" spans="1:9" ht="14" x14ac:dyDescent="0.3">
      <c r="A32" s="34" t="s">
        <v>61</v>
      </c>
      <c r="B32" s="35">
        <v>27</v>
      </c>
      <c r="C32" s="36">
        <v>0.16265060240963855</v>
      </c>
      <c r="D32" s="35">
        <v>839</v>
      </c>
      <c r="E32" s="36">
        <v>0.75381850853548971</v>
      </c>
      <c r="F32" s="36">
        <v>4.6345878672922698</v>
      </c>
      <c r="G32" s="36">
        <v>4.6344541419038912</v>
      </c>
      <c r="H32" s="36">
        <v>4.6347215926806484</v>
      </c>
      <c r="I32" s="36">
        <v>0.10672984801792601</v>
      </c>
    </row>
    <row r="33" spans="1:9" ht="14" x14ac:dyDescent="0.3">
      <c r="A33" s="34" t="s">
        <v>426</v>
      </c>
      <c r="B33" s="35">
        <v>32</v>
      </c>
      <c r="C33" s="36">
        <v>0.19277108433734941</v>
      </c>
      <c r="D33" s="35">
        <v>13</v>
      </c>
      <c r="E33" s="36">
        <v>1.1680143755615454E-2</v>
      </c>
      <c r="F33" s="36">
        <v>6.0590745732255168E-2</v>
      </c>
      <c r="G33" s="36">
        <v>6.0435133016852896E-2</v>
      </c>
      <c r="H33" s="36">
        <v>6.0746358447657439E-2</v>
      </c>
      <c r="I33" s="36">
        <v>1.3953432901628437E-3</v>
      </c>
    </row>
    <row r="34" spans="1:9" ht="14" x14ac:dyDescent="0.3">
      <c r="A34" s="34" t="s">
        <v>62</v>
      </c>
      <c r="B34" s="35">
        <v>45</v>
      </c>
      <c r="C34" s="36">
        <v>0.27108433734939757</v>
      </c>
      <c r="D34" s="35">
        <v>0</v>
      </c>
      <c r="E34" s="35">
        <v>0</v>
      </c>
      <c r="F34" s="35">
        <v>0</v>
      </c>
      <c r="G34" s="35">
        <v>-2.079447224069511E-4</v>
      </c>
      <c r="H34" s="35">
        <v>2.079447224069511E-4</v>
      </c>
      <c r="I34" s="35">
        <v>0</v>
      </c>
    </row>
    <row r="35" spans="1:9" ht="14" x14ac:dyDescent="0.3">
      <c r="A35" s="34" t="s">
        <v>315</v>
      </c>
      <c r="B35" s="35">
        <v>1</v>
      </c>
      <c r="C35" s="36">
        <v>6.024096385542169E-3</v>
      </c>
      <c r="D35" s="35">
        <v>258</v>
      </c>
      <c r="E35" s="36">
        <v>0.23180592991913745</v>
      </c>
      <c r="F35" s="36">
        <v>38.479784366576816</v>
      </c>
      <c r="G35" s="36">
        <v>38.479778970418586</v>
      </c>
      <c r="H35" s="36">
        <v>38.479789762735045</v>
      </c>
      <c r="I35" s="36">
        <v>0.88615032335264898</v>
      </c>
    </row>
    <row r="36" spans="1:9" ht="14" x14ac:dyDescent="0.3">
      <c r="A36" s="37" t="s">
        <v>64</v>
      </c>
      <c r="B36" s="38">
        <v>1</v>
      </c>
      <c r="C36" s="39">
        <v>6.024096385542169E-3</v>
      </c>
      <c r="D36" s="38">
        <v>1</v>
      </c>
      <c r="E36" s="39">
        <v>8.9847259658580418E-4</v>
      </c>
      <c r="F36" s="39">
        <v>0.14914645103324348</v>
      </c>
      <c r="G36" s="40">
        <v>0.14914105487501556</v>
      </c>
      <c r="H36" s="39">
        <v>0.1491518471914714</v>
      </c>
      <c r="I36" s="39">
        <v>3.4346911757854614E-3</v>
      </c>
    </row>
    <row r="37" spans="1:9" ht="14" x14ac:dyDescent="0.3">
      <c r="A37" s="41" t="s">
        <v>316</v>
      </c>
      <c r="B37" s="21">
        <f>SUM(B22:B36)</f>
        <v>166</v>
      </c>
      <c r="C37" s="21">
        <f t="shared" ref="C37:F37" si="1">SUM(C22:C36)</f>
        <v>1</v>
      </c>
      <c r="D37" s="21">
        <f t="shared" si="1"/>
        <v>1113</v>
      </c>
      <c r="E37" s="21">
        <f t="shared" si="1"/>
        <v>1</v>
      </c>
      <c r="F37" s="29">
        <f t="shared" si="1"/>
        <v>43.423540397990081</v>
      </c>
      <c r="H37" s="29"/>
      <c r="I37" s="21">
        <f>SUM(I22:I36)</f>
        <v>0.99999999995371358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/>
  </sheetViews>
  <sheetFormatPr defaultColWidth="10.921875" defaultRowHeight="13.5" x14ac:dyDescent="0.3"/>
  <cols>
    <col min="3" max="3" width="8.84375" customWidth="1"/>
    <col min="4" max="4" width="8.69140625" customWidth="1"/>
    <col min="5" max="5" width="8.23046875" customWidth="1"/>
    <col min="6" max="6" width="7.4609375" customWidth="1"/>
    <col min="7" max="7" width="8.69140625" customWidth="1"/>
    <col min="8" max="8" width="7.4609375" customWidth="1"/>
  </cols>
  <sheetData>
    <row r="1" spans="1:5" x14ac:dyDescent="0.3">
      <c r="A1" t="s">
        <v>133</v>
      </c>
      <c r="B1" t="s">
        <v>279</v>
      </c>
      <c r="C1" t="s">
        <v>134</v>
      </c>
      <c r="D1" t="s">
        <v>135</v>
      </c>
      <c r="E1" t="s">
        <v>136</v>
      </c>
    </row>
    <row r="2" spans="1:5" x14ac:dyDescent="0.3">
      <c r="A2" t="s">
        <v>229</v>
      </c>
      <c r="B2" t="s">
        <v>238</v>
      </c>
      <c r="C2">
        <v>2</v>
      </c>
      <c r="D2">
        <v>1</v>
      </c>
      <c r="E2">
        <f t="shared" ref="E2:E32" si="0">C2-D2</f>
        <v>1</v>
      </c>
    </row>
    <row r="3" spans="1:5" x14ac:dyDescent="0.3">
      <c r="A3" t="s">
        <v>229</v>
      </c>
      <c r="B3" t="s">
        <v>127</v>
      </c>
      <c r="C3">
        <v>2</v>
      </c>
      <c r="D3">
        <v>1</v>
      </c>
      <c r="E3">
        <f t="shared" si="0"/>
        <v>1</v>
      </c>
    </row>
    <row r="4" spans="1:5" x14ac:dyDescent="0.3">
      <c r="A4" t="s">
        <v>229</v>
      </c>
      <c r="B4" t="s">
        <v>129</v>
      </c>
      <c r="C4">
        <v>2</v>
      </c>
      <c r="D4">
        <v>1</v>
      </c>
      <c r="E4">
        <f t="shared" si="0"/>
        <v>1</v>
      </c>
    </row>
    <row r="5" spans="1:5" x14ac:dyDescent="0.3">
      <c r="A5" t="s">
        <v>229</v>
      </c>
      <c r="B5" t="s">
        <v>131</v>
      </c>
      <c r="C5">
        <v>2</v>
      </c>
      <c r="D5">
        <v>1</v>
      </c>
      <c r="E5">
        <f t="shared" si="0"/>
        <v>1</v>
      </c>
    </row>
    <row r="6" spans="1:5" x14ac:dyDescent="0.3">
      <c r="A6" t="s">
        <v>229</v>
      </c>
      <c r="B6" t="s">
        <v>232</v>
      </c>
      <c r="C6">
        <v>3</v>
      </c>
      <c r="E6">
        <f t="shared" si="0"/>
        <v>3</v>
      </c>
    </row>
    <row r="7" spans="1:5" x14ac:dyDescent="0.3">
      <c r="A7" t="s">
        <v>229</v>
      </c>
      <c r="B7" t="s">
        <v>130</v>
      </c>
      <c r="C7">
        <v>4</v>
      </c>
      <c r="D7">
        <v>3</v>
      </c>
      <c r="E7">
        <f t="shared" si="0"/>
        <v>1</v>
      </c>
    </row>
    <row r="8" spans="1:5" x14ac:dyDescent="0.3">
      <c r="A8" t="s">
        <v>229</v>
      </c>
      <c r="B8" t="s">
        <v>236</v>
      </c>
      <c r="C8">
        <v>6</v>
      </c>
      <c r="D8">
        <v>6</v>
      </c>
      <c r="E8">
        <f t="shared" si="0"/>
        <v>0</v>
      </c>
    </row>
    <row r="9" spans="1:5" x14ac:dyDescent="0.3">
      <c r="A9" t="s">
        <v>229</v>
      </c>
      <c r="B9" t="s">
        <v>239</v>
      </c>
      <c r="C9">
        <v>7</v>
      </c>
      <c r="D9">
        <v>2</v>
      </c>
      <c r="E9">
        <f t="shared" si="0"/>
        <v>5</v>
      </c>
    </row>
    <row r="10" spans="1:5" x14ac:dyDescent="0.3">
      <c r="A10" t="s">
        <v>229</v>
      </c>
      <c r="B10" t="s">
        <v>128</v>
      </c>
      <c r="C10">
        <v>10</v>
      </c>
      <c r="E10">
        <f t="shared" si="0"/>
        <v>10</v>
      </c>
    </row>
    <row r="11" spans="1:5" x14ac:dyDescent="0.3">
      <c r="A11" t="s">
        <v>229</v>
      </c>
      <c r="B11" t="s">
        <v>132</v>
      </c>
      <c r="C11">
        <v>10</v>
      </c>
      <c r="D11">
        <v>4</v>
      </c>
      <c r="E11">
        <f t="shared" si="0"/>
        <v>6</v>
      </c>
    </row>
    <row r="12" spans="1:5" x14ac:dyDescent="0.3">
      <c r="A12" t="s">
        <v>229</v>
      </c>
      <c r="B12" t="s">
        <v>231</v>
      </c>
      <c r="C12">
        <v>11</v>
      </c>
      <c r="D12">
        <v>2</v>
      </c>
      <c r="E12">
        <f t="shared" si="0"/>
        <v>9</v>
      </c>
    </row>
    <row r="13" spans="1:5" x14ac:dyDescent="0.3">
      <c r="A13" t="s">
        <v>229</v>
      </c>
      <c r="B13" t="s">
        <v>237</v>
      </c>
      <c r="C13">
        <v>15</v>
      </c>
      <c r="D13">
        <v>3</v>
      </c>
      <c r="E13">
        <f t="shared" si="0"/>
        <v>12</v>
      </c>
    </row>
    <row r="14" spans="1:5" x14ac:dyDescent="0.3">
      <c r="A14" t="s">
        <v>229</v>
      </c>
      <c r="B14" t="s">
        <v>233</v>
      </c>
      <c r="C14">
        <v>27</v>
      </c>
      <c r="D14">
        <v>20</v>
      </c>
      <c r="E14">
        <f t="shared" si="0"/>
        <v>7</v>
      </c>
    </row>
    <row r="15" spans="1:5" x14ac:dyDescent="0.3">
      <c r="A15" t="s">
        <v>229</v>
      </c>
      <c r="B15" t="s">
        <v>235</v>
      </c>
      <c r="C15">
        <v>68</v>
      </c>
      <c r="D15">
        <v>44</v>
      </c>
      <c r="E15">
        <f t="shared" si="0"/>
        <v>24</v>
      </c>
    </row>
    <row r="16" spans="1:5" x14ac:dyDescent="0.3">
      <c r="A16" t="s">
        <v>229</v>
      </c>
      <c r="B16" t="s">
        <v>230</v>
      </c>
      <c r="C16">
        <v>97</v>
      </c>
      <c r="D16">
        <v>82</v>
      </c>
      <c r="E16">
        <f t="shared" si="0"/>
        <v>15</v>
      </c>
    </row>
    <row r="17" spans="1:5" x14ac:dyDescent="0.3">
      <c r="A17" t="s">
        <v>229</v>
      </c>
      <c r="B17" t="s">
        <v>234</v>
      </c>
      <c r="C17">
        <v>107</v>
      </c>
      <c r="D17">
        <v>80</v>
      </c>
      <c r="E17">
        <f t="shared" si="0"/>
        <v>27</v>
      </c>
    </row>
    <row r="18" spans="1:5" x14ac:dyDescent="0.3">
      <c r="A18" t="s">
        <v>137</v>
      </c>
      <c r="B18" t="s">
        <v>140</v>
      </c>
      <c r="C18">
        <v>1</v>
      </c>
      <c r="D18">
        <v>1</v>
      </c>
      <c r="E18">
        <f t="shared" si="0"/>
        <v>0</v>
      </c>
    </row>
    <row r="19" spans="1:5" x14ac:dyDescent="0.3">
      <c r="A19" t="s">
        <v>137</v>
      </c>
      <c r="B19" t="s">
        <v>142</v>
      </c>
      <c r="C19">
        <v>1</v>
      </c>
      <c r="E19">
        <f t="shared" si="0"/>
        <v>1</v>
      </c>
    </row>
    <row r="20" spans="1:5" x14ac:dyDescent="0.3">
      <c r="A20" t="s">
        <v>150</v>
      </c>
      <c r="B20" t="s">
        <v>151</v>
      </c>
      <c r="C20">
        <v>1</v>
      </c>
      <c r="E20">
        <f t="shared" si="0"/>
        <v>1</v>
      </c>
    </row>
    <row r="21" spans="1:5" x14ac:dyDescent="0.3">
      <c r="A21" t="s">
        <v>145</v>
      </c>
      <c r="B21" t="s">
        <v>147</v>
      </c>
      <c r="C21">
        <v>2</v>
      </c>
      <c r="D21">
        <v>2</v>
      </c>
      <c r="E21">
        <f t="shared" si="0"/>
        <v>0</v>
      </c>
    </row>
    <row r="22" spans="1:5" x14ac:dyDescent="0.3">
      <c r="A22" t="s">
        <v>137</v>
      </c>
      <c r="B22" t="s">
        <v>141</v>
      </c>
      <c r="C22">
        <v>3</v>
      </c>
      <c r="E22">
        <f t="shared" si="0"/>
        <v>3</v>
      </c>
    </row>
    <row r="23" spans="1:5" x14ac:dyDescent="0.3">
      <c r="A23" t="s">
        <v>137</v>
      </c>
      <c r="B23" t="s">
        <v>139</v>
      </c>
      <c r="C23">
        <v>5</v>
      </c>
      <c r="D23">
        <v>3</v>
      </c>
      <c r="E23">
        <f t="shared" si="0"/>
        <v>2</v>
      </c>
    </row>
    <row r="24" spans="1:5" x14ac:dyDescent="0.3">
      <c r="A24" t="s">
        <v>152</v>
      </c>
      <c r="B24" t="s">
        <v>0</v>
      </c>
      <c r="C24">
        <v>5</v>
      </c>
      <c r="E24">
        <f t="shared" si="0"/>
        <v>5</v>
      </c>
    </row>
    <row r="25" spans="1:5" x14ac:dyDescent="0.3">
      <c r="A25" t="s">
        <v>465</v>
      </c>
      <c r="B25" t="s">
        <v>562</v>
      </c>
      <c r="C25">
        <v>6</v>
      </c>
      <c r="D25">
        <v>3</v>
      </c>
      <c r="E25">
        <f t="shared" si="0"/>
        <v>3</v>
      </c>
    </row>
    <row r="26" spans="1:5" x14ac:dyDescent="0.3">
      <c r="A26" t="s">
        <v>465</v>
      </c>
      <c r="B26" t="s">
        <v>144</v>
      </c>
      <c r="C26">
        <v>6</v>
      </c>
      <c r="D26">
        <v>6</v>
      </c>
      <c r="E26">
        <f t="shared" si="0"/>
        <v>0</v>
      </c>
    </row>
    <row r="27" spans="1:5" x14ac:dyDescent="0.3">
      <c r="A27" t="s">
        <v>465</v>
      </c>
      <c r="B27" t="s">
        <v>143</v>
      </c>
      <c r="C27">
        <v>9</v>
      </c>
      <c r="D27">
        <v>1</v>
      </c>
      <c r="E27">
        <f t="shared" si="0"/>
        <v>8</v>
      </c>
    </row>
    <row r="28" spans="1:5" x14ac:dyDescent="0.3">
      <c r="A28" t="s">
        <v>465</v>
      </c>
      <c r="B28" t="s">
        <v>260</v>
      </c>
      <c r="C28">
        <v>26</v>
      </c>
      <c r="E28">
        <f t="shared" si="0"/>
        <v>26</v>
      </c>
    </row>
    <row r="29" spans="1:5" x14ac:dyDescent="0.3">
      <c r="A29" t="s">
        <v>148</v>
      </c>
      <c r="B29" t="s">
        <v>149</v>
      </c>
      <c r="C29">
        <v>26</v>
      </c>
      <c r="D29">
        <v>26</v>
      </c>
      <c r="E29">
        <f t="shared" si="0"/>
        <v>0</v>
      </c>
    </row>
    <row r="30" spans="1:5" x14ac:dyDescent="0.3">
      <c r="A30" t="s">
        <v>145</v>
      </c>
      <c r="B30" t="s">
        <v>146</v>
      </c>
      <c r="C30">
        <v>27</v>
      </c>
      <c r="D30">
        <v>24</v>
      </c>
      <c r="E30">
        <f t="shared" si="0"/>
        <v>3</v>
      </c>
    </row>
    <row r="31" spans="1:5" x14ac:dyDescent="0.3">
      <c r="A31" t="s">
        <v>465</v>
      </c>
      <c r="B31" t="s">
        <v>574</v>
      </c>
      <c r="C31">
        <v>32</v>
      </c>
      <c r="D31">
        <v>32</v>
      </c>
      <c r="E31">
        <f t="shared" si="0"/>
        <v>0</v>
      </c>
    </row>
    <row r="32" spans="1:5" x14ac:dyDescent="0.3">
      <c r="A32" t="s">
        <v>137</v>
      </c>
      <c r="B32" t="s">
        <v>138</v>
      </c>
      <c r="C32">
        <v>45</v>
      </c>
      <c r="D32">
        <v>40</v>
      </c>
      <c r="E32">
        <f t="shared" si="0"/>
        <v>5</v>
      </c>
    </row>
    <row r="34" spans="1:16" ht="29" customHeight="1" x14ac:dyDescent="0.3">
      <c r="A34" s="50" t="s">
        <v>660</v>
      </c>
      <c r="B34" s="57" t="s">
        <v>443</v>
      </c>
      <c r="C34" s="51" t="s">
        <v>661</v>
      </c>
      <c r="D34" s="56" t="s">
        <v>662</v>
      </c>
      <c r="E34" s="51" t="s">
        <v>663</v>
      </c>
      <c r="F34" s="56" t="s">
        <v>664</v>
      </c>
      <c r="G34" s="51" t="s">
        <v>245</v>
      </c>
      <c r="H34" s="51" t="s">
        <v>665</v>
      </c>
    </row>
    <row r="35" spans="1:16" ht="15.5" x14ac:dyDescent="0.35">
      <c r="A35" s="42" t="s">
        <v>666</v>
      </c>
      <c r="B35" s="42" t="s">
        <v>667</v>
      </c>
      <c r="C35" s="52">
        <v>23</v>
      </c>
      <c r="D35" s="53">
        <v>0.22549019607843099</v>
      </c>
      <c r="E35" s="52">
        <v>7</v>
      </c>
      <c r="F35" s="53">
        <v>1.53508771929825E-2</v>
      </c>
      <c r="G35" s="53">
        <v>114.71926179329341</v>
      </c>
      <c r="H35" s="52" t="s">
        <v>375</v>
      </c>
    </row>
    <row r="36" spans="1:16" ht="15.5" x14ac:dyDescent="0.35">
      <c r="A36" s="42" t="s">
        <v>656</v>
      </c>
      <c r="B36" s="42" t="s">
        <v>657</v>
      </c>
      <c r="C36" s="52">
        <v>79</v>
      </c>
      <c r="D36" s="53">
        <v>0.77450980392156898</v>
      </c>
      <c r="E36" s="52">
        <v>447</v>
      </c>
      <c r="F36" s="53">
        <v>0.98026315789473695</v>
      </c>
      <c r="G36" s="53"/>
      <c r="H36" s="52"/>
    </row>
    <row r="37" spans="1:16" ht="15.5" x14ac:dyDescent="0.35">
      <c r="A37" s="42" t="s">
        <v>658</v>
      </c>
      <c r="B37" s="42" t="s">
        <v>659</v>
      </c>
      <c r="C37" s="52">
        <v>37</v>
      </c>
      <c r="D37" s="53">
        <v>0.60655737704918</v>
      </c>
      <c r="E37" s="52">
        <v>272</v>
      </c>
      <c r="F37" s="53">
        <v>0.24438454627133899</v>
      </c>
      <c r="G37" s="53">
        <v>611.74947285560495</v>
      </c>
      <c r="H37" s="52" t="s">
        <v>375</v>
      </c>
    </row>
    <row r="38" spans="1:16" ht="15.5" x14ac:dyDescent="0.35">
      <c r="A38" s="48" t="s">
        <v>658</v>
      </c>
      <c r="B38" s="48" t="s">
        <v>657</v>
      </c>
      <c r="C38" s="54">
        <v>24</v>
      </c>
      <c r="D38" s="55">
        <v>0.39344262295082</v>
      </c>
      <c r="E38" s="54">
        <v>841</v>
      </c>
      <c r="F38" s="55">
        <v>0.75561545372866101</v>
      </c>
      <c r="G38" s="55"/>
      <c r="H38" s="54"/>
    </row>
    <row r="39" spans="1:16" ht="15.5" x14ac:dyDescent="0.35">
      <c r="A39" s="49" t="s">
        <v>712</v>
      </c>
      <c r="B39" s="49" t="s">
        <v>713</v>
      </c>
      <c r="C39" s="78">
        <v>2</v>
      </c>
      <c r="D39">
        <f>C39/55</f>
        <v>3.6363636363636362E-2</v>
      </c>
    </row>
    <row r="40" spans="1:16" ht="15.5" x14ac:dyDescent="0.35">
      <c r="A40" s="49" t="s">
        <v>712</v>
      </c>
      <c r="B40" s="49" t="s">
        <v>714</v>
      </c>
      <c r="C40" s="78">
        <v>53</v>
      </c>
      <c r="D40">
        <f>C40/55</f>
        <v>0.96363636363636362</v>
      </c>
    </row>
    <row r="41" spans="1:16" ht="15.5" x14ac:dyDescent="0.35">
      <c r="A41" s="49" t="s">
        <v>715</v>
      </c>
      <c r="B41" s="49" t="s">
        <v>713</v>
      </c>
      <c r="C41" s="78">
        <v>3</v>
      </c>
      <c r="D41">
        <f>C41/55</f>
        <v>5.4545454545454543E-2</v>
      </c>
    </row>
    <row r="42" spans="1:16" ht="15.5" x14ac:dyDescent="0.35">
      <c r="A42" s="49" t="s">
        <v>715</v>
      </c>
      <c r="B42" s="49" t="s">
        <v>714</v>
      </c>
      <c r="C42" s="78">
        <v>52</v>
      </c>
      <c r="D42">
        <f>C42/55</f>
        <v>0.94545454545454544</v>
      </c>
    </row>
    <row r="43" spans="1:16" ht="15.5" x14ac:dyDescent="0.35">
      <c r="A43" s="49"/>
      <c r="B43" s="49"/>
      <c r="C43" s="78"/>
    </row>
    <row r="44" spans="1:16" x14ac:dyDescent="0.3">
      <c r="C44" t="s">
        <v>372</v>
      </c>
      <c r="D44" t="s">
        <v>444</v>
      </c>
      <c r="E44" t="s">
        <v>373</v>
      </c>
      <c r="F44" t="s">
        <v>374</v>
      </c>
      <c r="G44" t="s">
        <v>445</v>
      </c>
      <c r="H44" t="s">
        <v>308</v>
      </c>
      <c r="I44" t="s">
        <v>449</v>
      </c>
      <c r="J44" s="11" t="s">
        <v>446</v>
      </c>
      <c r="K44" s="11" t="s">
        <v>456</v>
      </c>
      <c r="L44" t="s">
        <v>455</v>
      </c>
      <c r="M44" t="s">
        <v>457</v>
      </c>
      <c r="N44" t="s">
        <v>458</v>
      </c>
      <c r="O44" s="11" t="s">
        <v>446</v>
      </c>
      <c r="P44" s="11" t="s">
        <v>459</v>
      </c>
    </row>
    <row r="45" spans="1:16" x14ac:dyDescent="0.3">
      <c r="A45" t="s">
        <v>451</v>
      </c>
      <c r="B45" t="s">
        <v>454</v>
      </c>
      <c r="C45">
        <v>23</v>
      </c>
      <c r="D45">
        <v>0.22549019607843099</v>
      </c>
      <c r="E45">
        <v>7</v>
      </c>
      <c r="F45">
        <v>1.53508771929825E-2</v>
      </c>
      <c r="G45">
        <v>6.8077803203661302E-2</v>
      </c>
      <c r="H45">
        <v>5.1043012737677702E-2</v>
      </c>
      <c r="I45">
        <v>1.34386186405955E-2</v>
      </c>
      <c r="J45" s="11">
        <v>2.5588908252278709E-2</v>
      </c>
      <c r="K45">
        <f>G45+G46</f>
        <v>1.3337340323842073</v>
      </c>
      <c r="L45">
        <f>J45/K45</f>
        <v>1.9185915355654164E-2</v>
      </c>
      <c r="M45">
        <f>1.96*J45</f>
        <v>5.0154260174466267E-2</v>
      </c>
      <c r="N45">
        <f>L45*1.96</f>
        <v>3.7604394097082161E-2</v>
      </c>
      <c r="O45" s="11">
        <v>5.0154260174466267E-2</v>
      </c>
      <c r="P45">
        <f>O45*K45</f>
        <v>6.6892443663737547E-2</v>
      </c>
    </row>
    <row r="46" spans="1:16" x14ac:dyDescent="0.3">
      <c r="A46" t="s">
        <v>451</v>
      </c>
      <c r="B46" t="s">
        <v>453</v>
      </c>
      <c r="C46">
        <v>79</v>
      </c>
      <c r="D46">
        <v>0.77450980392156898</v>
      </c>
      <c r="E46">
        <v>447</v>
      </c>
      <c r="F46">
        <v>0.98026315789473695</v>
      </c>
      <c r="G46">
        <v>1.265656229180546</v>
      </c>
      <c r="H46">
        <v>0.94895698726232203</v>
      </c>
      <c r="I46">
        <v>0.93657067096475299</v>
      </c>
      <c r="J46" s="11">
        <v>8.4285977458896672E-3</v>
      </c>
      <c r="K46">
        <v>1.3337340323842073</v>
      </c>
      <c r="L46">
        <f t="shared" ref="L46:L48" si="1">J46/K46</f>
        <v>6.3195491314130686E-3</v>
      </c>
      <c r="M46">
        <f t="shared" ref="M46:M48" si="2">1.96*J46</f>
        <v>1.6520051581943748E-2</v>
      </c>
      <c r="N46">
        <f>L46*1.96</f>
        <v>1.2386316297569614E-2</v>
      </c>
      <c r="O46" s="11">
        <v>1.6520051581943748E-2</v>
      </c>
      <c r="P46">
        <f t="shared" ref="P46:P48" si="3">O46*K46</f>
        <v>2.2033355011580939E-2</v>
      </c>
    </row>
    <row r="47" spans="1:16" x14ac:dyDescent="0.3">
      <c r="A47" t="s">
        <v>452</v>
      </c>
      <c r="B47" t="s">
        <v>454</v>
      </c>
      <c r="C47">
        <v>37</v>
      </c>
      <c r="D47">
        <v>0.60655737704918</v>
      </c>
      <c r="E47">
        <v>272</v>
      </c>
      <c r="F47">
        <v>0.24438454627133899</v>
      </c>
      <c r="G47">
        <v>0.402904251960856</v>
      </c>
      <c r="H47">
        <v>0.17340948333112</v>
      </c>
      <c r="I47">
        <v>0.155495388069016</v>
      </c>
      <c r="J47" s="11">
        <v>2.1235760289617552E-2</v>
      </c>
      <c r="K47">
        <f>G47+G48</f>
        <v>2.323426863521203</v>
      </c>
      <c r="L47">
        <f t="shared" si="1"/>
        <v>9.1398445214816455E-3</v>
      </c>
      <c r="M47">
        <f t="shared" si="2"/>
        <v>4.1622090167650401E-2</v>
      </c>
      <c r="N47">
        <f>L47*1.96</f>
        <v>1.7914095262104024E-2</v>
      </c>
      <c r="O47" s="11">
        <v>4.1622090167650401E-2</v>
      </c>
      <c r="P47">
        <f t="shared" si="3"/>
        <v>9.6705882411420668E-2</v>
      </c>
    </row>
    <row r="48" spans="1:16" x14ac:dyDescent="0.3">
      <c r="A48" t="s">
        <v>452</v>
      </c>
      <c r="B48" t="s">
        <v>453</v>
      </c>
      <c r="C48">
        <v>24</v>
      </c>
      <c r="D48">
        <v>0.39344262295082</v>
      </c>
      <c r="E48">
        <v>841</v>
      </c>
      <c r="F48">
        <v>0.75561545372866101</v>
      </c>
      <c r="G48">
        <v>1.9205226115603469</v>
      </c>
      <c r="H48">
        <v>0.82659051666887995</v>
      </c>
      <c r="I48">
        <v>0.79897295313980299</v>
      </c>
      <c r="J48" s="11">
        <v>3.2738463779827059E-2</v>
      </c>
      <c r="K48">
        <f>G47+G48</f>
        <v>2.323426863521203</v>
      </c>
      <c r="L48">
        <f t="shared" si="1"/>
        <v>1.4090593637284205E-2</v>
      </c>
      <c r="M48">
        <f t="shared" si="2"/>
        <v>6.4167389008461029E-2</v>
      </c>
      <c r="N48">
        <f>L48*1.96</f>
        <v>2.761756352907704E-2</v>
      </c>
      <c r="O48" s="11">
        <v>6.4167389008461029E-2</v>
      </c>
      <c r="P48">
        <f t="shared" si="3"/>
        <v>0.14908823538427352</v>
      </c>
    </row>
  </sheetData>
  <sortState ref="A18:E34">
    <sortCondition ref="C18:C34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B2" sqref="B2:B7"/>
    </sheetView>
  </sheetViews>
  <sheetFormatPr defaultColWidth="10.921875" defaultRowHeight="13.5" x14ac:dyDescent="0.3"/>
  <sheetData>
    <row r="1" spans="1:10" x14ac:dyDescent="0.3">
      <c r="A1" t="s">
        <v>392</v>
      </c>
      <c r="B1" t="s">
        <v>393</v>
      </c>
      <c r="C1" t="s">
        <v>394</v>
      </c>
      <c r="D1" t="s">
        <v>395</v>
      </c>
      <c r="E1" t="s">
        <v>396</v>
      </c>
      <c r="F1" t="s">
        <v>397</v>
      </c>
      <c r="G1" t="s">
        <v>479</v>
      </c>
      <c r="H1" t="s">
        <v>201</v>
      </c>
      <c r="I1" t="s">
        <v>202</v>
      </c>
    </row>
    <row r="2" spans="1:10" x14ac:dyDescent="0.3">
      <c r="A2" t="s">
        <v>581</v>
      </c>
      <c r="B2" s="1">
        <v>38869</v>
      </c>
      <c r="C2" s="1">
        <v>38869</v>
      </c>
      <c r="D2" t="s">
        <v>477</v>
      </c>
      <c r="E2">
        <v>5</v>
      </c>
      <c r="G2" t="s">
        <v>156</v>
      </c>
      <c r="H2">
        <v>0</v>
      </c>
      <c r="I2">
        <v>0</v>
      </c>
    </row>
    <row r="3" spans="1:10" x14ac:dyDescent="0.3">
      <c r="A3" t="s">
        <v>158</v>
      </c>
      <c r="B3" s="1">
        <v>38871</v>
      </c>
      <c r="C3" s="1">
        <v>38871</v>
      </c>
      <c r="D3" t="s">
        <v>159</v>
      </c>
      <c r="E3">
        <v>12.5</v>
      </c>
      <c r="G3" t="s">
        <v>156</v>
      </c>
      <c r="H3">
        <v>0</v>
      </c>
      <c r="I3">
        <v>0</v>
      </c>
    </row>
    <row r="4" spans="1:10" x14ac:dyDescent="0.3">
      <c r="A4" t="s">
        <v>160</v>
      </c>
      <c r="B4" s="1">
        <v>38871</v>
      </c>
      <c r="C4" s="1">
        <v>38871</v>
      </c>
      <c r="D4" t="s">
        <v>693</v>
      </c>
      <c r="E4">
        <v>6.5</v>
      </c>
      <c r="G4" t="s">
        <v>156</v>
      </c>
      <c r="H4">
        <v>0</v>
      </c>
      <c r="I4">
        <v>0</v>
      </c>
    </row>
    <row r="5" spans="1:10" x14ac:dyDescent="0.3">
      <c r="A5" t="s">
        <v>161</v>
      </c>
      <c r="B5" s="1">
        <v>38871</v>
      </c>
      <c r="C5" s="1">
        <v>38871</v>
      </c>
      <c r="D5" t="s">
        <v>693</v>
      </c>
      <c r="E5">
        <v>13</v>
      </c>
      <c r="G5" t="s">
        <v>703</v>
      </c>
      <c r="H5">
        <v>0</v>
      </c>
      <c r="I5">
        <v>0</v>
      </c>
    </row>
    <row r="6" spans="1:10" x14ac:dyDescent="0.3">
      <c r="A6" t="s">
        <v>704</v>
      </c>
      <c r="B6" s="1">
        <v>38876</v>
      </c>
      <c r="C6" s="1">
        <v>38876</v>
      </c>
      <c r="D6" t="s">
        <v>705</v>
      </c>
      <c r="E6">
        <v>41</v>
      </c>
      <c r="G6" t="s">
        <v>337</v>
      </c>
      <c r="H6">
        <v>0</v>
      </c>
      <c r="I6">
        <v>0</v>
      </c>
    </row>
    <row r="7" spans="1:10" x14ac:dyDescent="0.3">
      <c r="A7" t="s">
        <v>338</v>
      </c>
      <c r="B7" s="1">
        <v>38983</v>
      </c>
      <c r="C7" s="1">
        <v>38994</v>
      </c>
      <c r="D7" t="s">
        <v>705</v>
      </c>
      <c r="E7" t="s">
        <v>408</v>
      </c>
      <c r="G7" t="s">
        <v>591</v>
      </c>
      <c r="H7">
        <v>0</v>
      </c>
      <c r="I7">
        <v>0</v>
      </c>
    </row>
    <row r="8" spans="1:10" x14ac:dyDescent="0.3">
      <c r="A8" t="s">
        <v>592</v>
      </c>
      <c r="H8" s="1"/>
    </row>
    <row r="9" spans="1:10" x14ac:dyDescent="0.3">
      <c r="A9" t="s">
        <v>593</v>
      </c>
      <c r="B9" s="1">
        <v>38869</v>
      </c>
      <c r="C9" s="1">
        <v>38869</v>
      </c>
      <c r="D9" t="s">
        <v>477</v>
      </c>
      <c r="E9">
        <v>44</v>
      </c>
      <c r="F9">
        <f>0.43*E9</f>
        <v>18.919999999999998</v>
      </c>
      <c r="G9" t="s">
        <v>156</v>
      </c>
      <c r="H9">
        <v>134</v>
      </c>
      <c r="I9">
        <v>4</v>
      </c>
      <c r="J9">
        <f>H9/F9</f>
        <v>7.0824524312896413</v>
      </c>
    </row>
    <row r="10" spans="1:10" x14ac:dyDescent="0.3">
      <c r="A10" t="s">
        <v>105</v>
      </c>
      <c r="B10" s="1">
        <v>38869</v>
      </c>
      <c r="C10" s="1">
        <v>38869</v>
      </c>
      <c r="D10" t="s">
        <v>478</v>
      </c>
      <c r="E10">
        <v>50.5</v>
      </c>
      <c r="F10">
        <f t="shared" ref="F10:F15" si="0">0.43*E10</f>
        <v>21.715</v>
      </c>
      <c r="G10" t="s">
        <v>106</v>
      </c>
      <c r="H10">
        <v>18</v>
      </c>
      <c r="I10">
        <v>3</v>
      </c>
      <c r="J10">
        <f t="shared" ref="J10:J18" si="1">H10/F10</f>
        <v>0.82892010131245686</v>
      </c>
    </row>
    <row r="11" spans="1:10" x14ac:dyDescent="0.3">
      <c r="A11" t="s">
        <v>107</v>
      </c>
      <c r="B11" s="1">
        <v>38869</v>
      </c>
      <c r="C11" s="1">
        <v>38869</v>
      </c>
      <c r="D11" t="s">
        <v>478</v>
      </c>
      <c r="E11">
        <v>42.5</v>
      </c>
      <c r="F11">
        <f t="shared" si="0"/>
        <v>18.274999999999999</v>
      </c>
      <c r="G11" t="s">
        <v>156</v>
      </c>
      <c r="H11">
        <v>167</v>
      </c>
      <c r="I11">
        <v>4</v>
      </c>
      <c r="J11">
        <f t="shared" si="1"/>
        <v>9.1381668946648436</v>
      </c>
    </row>
    <row r="12" spans="1:10" x14ac:dyDescent="0.3">
      <c r="A12" t="s">
        <v>639</v>
      </c>
      <c r="B12" s="1">
        <v>38869</v>
      </c>
      <c r="C12" s="1">
        <v>38869</v>
      </c>
      <c r="D12" t="s">
        <v>478</v>
      </c>
      <c r="E12">
        <f>57.54-6.13</f>
        <v>51.41</v>
      </c>
      <c r="F12">
        <f t="shared" si="0"/>
        <v>22.106299999999997</v>
      </c>
      <c r="G12" t="s">
        <v>156</v>
      </c>
      <c r="H12">
        <v>148</v>
      </c>
      <c r="I12">
        <v>4</v>
      </c>
      <c r="J12">
        <f t="shared" si="1"/>
        <v>6.6949240714185558</v>
      </c>
    </row>
    <row r="13" spans="1:10" x14ac:dyDescent="0.3">
      <c r="A13" t="s">
        <v>601</v>
      </c>
      <c r="B13" s="1">
        <v>38871</v>
      </c>
      <c r="C13" s="1">
        <v>38871</v>
      </c>
      <c r="D13" t="s">
        <v>602</v>
      </c>
      <c r="E13">
        <f>30.29-6.2</f>
        <v>24.09</v>
      </c>
      <c r="F13">
        <f t="shared" si="0"/>
        <v>10.358699999999999</v>
      </c>
      <c r="G13" t="s">
        <v>157</v>
      </c>
      <c r="H13">
        <v>11</v>
      </c>
      <c r="I13">
        <v>2</v>
      </c>
      <c r="J13">
        <f t="shared" si="1"/>
        <v>1.0619093129446746</v>
      </c>
    </row>
    <row r="14" spans="1:10" x14ac:dyDescent="0.3">
      <c r="A14" t="s">
        <v>603</v>
      </c>
      <c r="B14" s="1">
        <v>38871</v>
      </c>
      <c r="C14" s="1">
        <v>38871</v>
      </c>
      <c r="D14" t="s">
        <v>159</v>
      </c>
      <c r="E14">
        <f>68.02-6.26</f>
        <v>61.76</v>
      </c>
      <c r="F14">
        <f t="shared" si="0"/>
        <v>26.556799999999999</v>
      </c>
      <c r="G14" t="s">
        <v>604</v>
      </c>
      <c r="H14">
        <v>92</v>
      </c>
      <c r="I14">
        <v>2</v>
      </c>
      <c r="J14">
        <f t="shared" si="1"/>
        <v>3.4642728039522837</v>
      </c>
    </row>
    <row r="15" spans="1:10" x14ac:dyDescent="0.3">
      <c r="A15" t="s">
        <v>605</v>
      </c>
      <c r="B15" s="1">
        <v>38871</v>
      </c>
      <c r="C15" s="1">
        <v>38871</v>
      </c>
      <c r="D15" t="s">
        <v>159</v>
      </c>
      <c r="E15">
        <f>40.26-13.87</f>
        <v>26.39</v>
      </c>
      <c r="F15">
        <f t="shared" si="0"/>
        <v>11.3477</v>
      </c>
      <c r="G15" t="s">
        <v>606</v>
      </c>
      <c r="H15">
        <v>184</v>
      </c>
      <c r="I15">
        <v>1</v>
      </c>
      <c r="J15">
        <f t="shared" si="1"/>
        <v>16.214739550745968</v>
      </c>
    </row>
    <row r="16" spans="1:10" x14ac:dyDescent="0.3">
      <c r="A16" t="s">
        <v>607</v>
      </c>
      <c r="B16" s="1">
        <v>38871</v>
      </c>
      <c r="C16" s="1">
        <v>38871</v>
      </c>
      <c r="D16" t="s">
        <v>159</v>
      </c>
      <c r="E16">
        <f>81.97-6.64</f>
        <v>75.33</v>
      </c>
      <c r="F16">
        <f>0.3*E16</f>
        <v>22.599</v>
      </c>
      <c r="G16" t="s">
        <v>703</v>
      </c>
      <c r="H16">
        <v>309</v>
      </c>
      <c r="I16">
        <v>2</v>
      </c>
      <c r="J16">
        <f t="shared" si="1"/>
        <v>13.67317137926457</v>
      </c>
    </row>
    <row r="17" spans="1:12" x14ac:dyDescent="0.3">
      <c r="A17" t="s">
        <v>608</v>
      </c>
      <c r="B17" s="1">
        <v>38876</v>
      </c>
      <c r="C17" s="1">
        <v>38876</v>
      </c>
      <c r="D17" t="s">
        <v>705</v>
      </c>
      <c r="E17">
        <f>69.56-21.85</f>
        <v>47.71</v>
      </c>
      <c r="F17">
        <f>0.3*E17</f>
        <v>14.313000000000001</v>
      </c>
      <c r="G17" t="s">
        <v>337</v>
      </c>
      <c r="J17">
        <f t="shared" si="1"/>
        <v>0</v>
      </c>
    </row>
    <row r="18" spans="1:12" x14ac:dyDescent="0.3">
      <c r="A18" t="s">
        <v>609</v>
      </c>
      <c r="B18" s="1">
        <v>38983</v>
      </c>
      <c r="C18" s="1">
        <v>38994</v>
      </c>
      <c r="D18" t="s">
        <v>705</v>
      </c>
      <c r="E18">
        <f>AVERAGE(E9:E17)</f>
        <v>47.076666666666661</v>
      </c>
      <c r="F18">
        <f>0.3*(E18)</f>
        <v>14.122999999999998</v>
      </c>
      <c r="G18" t="s">
        <v>591</v>
      </c>
      <c r="J18">
        <f t="shared" si="1"/>
        <v>0</v>
      </c>
    </row>
    <row r="19" spans="1:12" x14ac:dyDescent="0.3">
      <c r="A19" t="s">
        <v>701</v>
      </c>
      <c r="B19" s="1">
        <v>39004</v>
      </c>
      <c r="C19" s="1">
        <v>39009</v>
      </c>
      <c r="D19" t="s">
        <v>699</v>
      </c>
      <c r="F19">
        <v>15.5</v>
      </c>
    </row>
    <row r="20" spans="1:12" x14ac:dyDescent="0.3">
      <c r="A20" t="s">
        <v>70</v>
      </c>
      <c r="B20" s="1">
        <v>39017</v>
      </c>
      <c r="C20" s="1">
        <v>39025</v>
      </c>
      <c r="D20" t="s">
        <v>700</v>
      </c>
      <c r="F20">
        <v>35</v>
      </c>
      <c r="H20">
        <v>23</v>
      </c>
      <c r="I20">
        <v>1</v>
      </c>
    </row>
    <row r="21" spans="1:12" x14ac:dyDescent="0.3">
      <c r="A21" s="9" t="s">
        <v>71</v>
      </c>
      <c r="B21" s="10">
        <v>39080</v>
      </c>
      <c r="C21" s="10">
        <v>39087</v>
      </c>
      <c r="D21" s="9" t="s">
        <v>69</v>
      </c>
      <c r="E21" s="9">
        <v>32</v>
      </c>
      <c r="F21" s="9">
        <v>13</v>
      </c>
      <c r="G21" s="9" t="s">
        <v>604</v>
      </c>
      <c r="L21">
        <f>F21/E21</f>
        <v>0.40625</v>
      </c>
    </row>
    <row r="22" spans="1:12" x14ac:dyDescent="0.3">
      <c r="A22" s="9" t="s">
        <v>72</v>
      </c>
      <c r="B22" s="10">
        <v>39080</v>
      </c>
      <c r="C22" s="10">
        <v>39087</v>
      </c>
      <c r="D22" s="9" t="s">
        <v>690</v>
      </c>
      <c r="E22" s="9">
        <v>55</v>
      </c>
      <c r="F22" s="9">
        <v>20</v>
      </c>
      <c r="G22" s="9" t="s">
        <v>156</v>
      </c>
      <c r="L22">
        <f>F22/E22</f>
        <v>0.36363636363636365</v>
      </c>
    </row>
    <row r="23" spans="1:12" x14ac:dyDescent="0.3">
      <c r="A23" s="9" t="s">
        <v>73</v>
      </c>
      <c r="B23" s="10">
        <v>39070</v>
      </c>
      <c r="C23" s="10">
        <v>39087</v>
      </c>
      <c r="D23" s="9" t="s">
        <v>691</v>
      </c>
      <c r="E23" s="9">
        <v>69</v>
      </c>
      <c r="F23" s="9">
        <v>30.5</v>
      </c>
      <c r="G23" s="9" t="s">
        <v>157</v>
      </c>
      <c r="L23">
        <f>F23/E23</f>
        <v>0.4420289855072464</v>
      </c>
    </row>
    <row r="24" spans="1:12" x14ac:dyDescent="0.3">
      <c r="A24" t="s">
        <v>74</v>
      </c>
      <c r="B24" s="1">
        <v>39087</v>
      </c>
      <c r="C24" s="1">
        <v>39088</v>
      </c>
      <c r="D24" t="s">
        <v>692</v>
      </c>
      <c r="E24">
        <v>37</v>
      </c>
      <c r="F24">
        <v>13</v>
      </c>
      <c r="G24" t="s">
        <v>156</v>
      </c>
      <c r="H24">
        <v>1</v>
      </c>
      <c r="I24">
        <v>1</v>
      </c>
      <c r="L24">
        <f>F24/E24</f>
        <v>0.35135135135135137</v>
      </c>
    </row>
    <row r="25" spans="1:12" x14ac:dyDescent="0.3">
      <c r="A25" t="s">
        <v>75</v>
      </c>
      <c r="B25" s="1">
        <v>39088</v>
      </c>
      <c r="C25" s="1">
        <v>39092</v>
      </c>
      <c r="D25" t="s">
        <v>694</v>
      </c>
      <c r="E25">
        <v>30</v>
      </c>
      <c r="F25">
        <v>18</v>
      </c>
      <c r="G25" t="s">
        <v>156</v>
      </c>
      <c r="H25">
        <v>11</v>
      </c>
      <c r="I25">
        <v>1</v>
      </c>
      <c r="L25">
        <f>F25/E25</f>
        <v>0.6</v>
      </c>
    </row>
    <row r="26" spans="1:12" x14ac:dyDescent="0.3">
      <c r="A26" t="s">
        <v>463</v>
      </c>
      <c r="B26" s="1">
        <v>39093</v>
      </c>
      <c r="C26" s="1">
        <v>39106</v>
      </c>
      <c r="D26" t="s">
        <v>464</v>
      </c>
      <c r="F26">
        <f>62.22-10.8</f>
        <v>51.42</v>
      </c>
      <c r="L26">
        <f>AVERAGE(L21:L25)</f>
        <v>0.43265334009899226</v>
      </c>
    </row>
    <row r="27" spans="1:12" x14ac:dyDescent="0.3">
      <c r="A27" t="s">
        <v>120</v>
      </c>
      <c r="B27" s="1">
        <v>39171</v>
      </c>
      <c r="C27" s="1">
        <v>39176</v>
      </c>
      <c r="D27" t="s">
        <v>68</v>
      </c>
      <c r="E27">
        <v>13</v>
      </c>
      <c r="F27">
        <v>5</v>
      </c>
    </row>
    <row r="28" spans="1:12" x14ac:dyDescent="0.3">
      <c r="A28" t="s">
        <v>121</v>
      </c>
      <c r="B28" s="1">
        <v>39171</v>
      </c>
      <c r="C28" s="1">
        <v>39176</v>
      </c>
      <c r="D28" t="s">
        <v>68</v>
      </c>
      <c r="E28">
        <v>27</v>
      </c>
      <c r="F28">
        <v>10</v>
      </c>
    </row>
    <row r="29" spans="1:12" x14ac:dyDescent="0.3">
      <c r="A29" t="s">
        <v>27</v>
      </c>
      <c r="B29" s="1">
        <v>39171</v>
      </c>
      <c r="C29" s="1">
        <v>39176</v>
      </c>
      <c r="D29" t="s">
        <v>68</v>
      </c>
      <c r="E29">
        <v>11</v>
      </c>
      <c r="F29">
        <v>3</v>
      </c>
    </row>
    <row r="30" spans="1:12" x14ac:dyDescent="0.3">
      <c r="A30" t="s">
        <v>610</v>
      </c>
      <c r="B30" s="1">
        <v>39171</v>
      </c>
      <c r="C30" s="1">
        <v>39176</v>
      </c>
      <c r="D30" t="s">
        <v>165</v>
      </c>
      <c r="E30">
        <v>25</v>
      </c>
      <c r="F30">
        <v>11</v>
      </c>
    </row>
    <row r="31" spans="1:12" x14ac:dyDescent="0.3">
      <c r="A31" s="11" t="s">
        <v>611</v>
      </c>
      <c r="B31" s="12">
        <v>39183</v>
      </c>
      <c r="C31" s="12">
        <v>39191</v>
      </c>
      <c r="D31" s="11" t="s">
        <v>165</v>
      </c>
      <c r="E31" s="11"/>
      <c r="F31" s="11">
        <f>48.81-7.67</f>
        <v>41.14</v>
      </c>
    </row>
    <row r="32" spans="1:12" x14ac:dyDescent="0.3">
      <c r="A32" s="11" t="s">
        <v>163</v>
      </c>
      <c r="B32" s="12">
        <v>39183</v>
      </c>
      <c r="C32" s="12">
        <v>39191</v>
      </c>
      <c r="D32" s="11" t="s">
        <v>165</v>
      </c>
      <c r="E32" s="11"/>
      <c r="F32" s="11">
        <f>46.74-10.38</f>
        <v>36.36</v>
      </c>
    </row>
    <row r="33" spans="1:6" x14ac:dyDescent="0.3">
      <c r="A33" s="11" t="s">
        <v>164</v>
      </c>
      <c r="B33" s="12">
        <v>39185</v>
      </c>
      <c r="C33" s="12">
        <v>39191</v>
      </c>
      <c r="D33" s="11" t="s">
        <v>12</v>
      </c>
      <c r="E33" s="11"/>
      <c r="F33" s="11">
        <f>44.35-10.53</f>
        <v>33.82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opLeftCell="A6" zoomScaleNormal="100" workbookViewId="0">
      <selection activeCell="A2" sqref="A2:A32"/>
    </sheetView>
  </sheetViews>
  <sheetFormatPr defaultColWidth="10.921875" defaultRowHeight="13.5" x14ac:dyDescent="0.3"/>
  <cols>
    <col min="2" max="4" width="10.921875" customWidth="1"/>
    <col min="6" max="19" width="10.921875" customWidth="1"/>
  </cols>
  <sheetData>
    <row r="1" spans="1:23" x14ac:dyDescent="0.3">
      <c r="A1" t="s">
        <v>339</v>
      </c>
      <c r="B1" t="s">
        <v>437</v>
      </c>
      <c r="C1" t="s">
        <v>393</v>
      </c>
      <c r="D1" t="s">
        <v>394</v>
      </c>
      <c r="E1" t="s">
        <v>395</v>
      </c>
      <c r="F1" t="s">
        <v>479</v>
      </c>
      <c r="G1" t="s">
        <v>340</v>
      </c>
      <c r="H1" t="s">
        <v>533</v>
      </c>
      <c r="I1" t="s">
        <v>202</v>
      </c>
      <c r="R1" t="s">
        <v>706</v>
      </c>
      <c r="S1" t="s">
        <v>707</v>
      </c>
      <c r="T1" t="s">
        <v>708</v>
      </c>
      <c r="U1" t="s">
        <v>709</v>
      </c>
      <c r="V1" t="s">
        <v>710</v>
      </c>
      <c r="W1" t="s">
        <v>711</v>
      </c>
    </row>
    <row r="2" spans="1:23" x14ac:dyDescent="0.3">
      <c r="A2" t="s">
        <v>74</v>
      </c>
      <c r="B2" t="s">
        <v>439</v>
      </c>
      <c r="C2" s="1">
        <v>39087</v>
      </c>
      <c r="D2" s="1">
        <v>39088</v>
      </c>
      <c r="E2" t="s">
        <v>692</v>
      </c>
      <c r="F2" t="s">
        <v>156</v>
      </c>
      <c r="G2">
        <v>13</v>
      </c>
      <c r="H2">
        <v>1</v>
      </c>
      <c r="I2" s="3">
        <v>1</v>
      </c>
      <c r="J2" t="s">
        <v>25</v>
      </c>
      <c r="K2">
        <v>1</v>
      </c>
      <c r="R2">
        <v>0</v>
      </c>
      <c r="S2">
        <v>1</v>
      </c>
      <c r="T2">
        <f>R2/(R2+S2)</f>
        <v>0</v>
      </c>
      <c r="U2">
        <f>S2/(R2+S2)</f>
        <v>1</v>
      </c>
      <c r="V2">
        <v>0.77500000000000002</v>
      </c>
      <c r="W2">
        <v>0.22500000000000001</v>
      </c>
    </row>
    <row r="3" spans="1:23" x14ac:dyDescent="0.3">
      <c r="A3" t="s">
        <v>632</v>
      </c>
      <c r="B3" t="s">
        <v>439</v>
      </c>
      <c r="C3" s="1">
        <v>39171</v>
      </c>
      <c r="D3" s="1">
        <v>39176</v>
      </c>
      <c r="E3" t="s">
        <v>68</v>
      </c>
      <c r="F3" t="s">
        <v>156</v>
      </c>
      <c r="G3">
        <v>5</v>
      </c>
      <c r="H3">
        <v>1</v>
      </c>
      <c r="I3" s="3">
        <v>1</v>
      </c>
      <c r="J3" t="s">
        <v>407</v>
      </c>
      <c r="K3">
        <v>1</v>
      </c>
      <c r="R3">
        <v>0</v>
      </c>
      <c r="S3">
        <v>1</v>
      </c>
      <c r="T3">
        <f>R3/(R3+S3)</f>
        <v>0</v>
      </c>
      <c r="U3">
        <f>S3/(R3+S3)</f>
        <v>1</v>
      </c>
      <c r="V3">
        <v>0.77500000000000002</v>
      </c>
      <c r="W3">
        <v>0.22500000000000001</v>
      </c>
    </row>
    <row r="4" spans="1:23" x14ac:dyDescent="0.3">
      <c r="A4" t="s">
        <v>121</v>
      </c>
      <c r="B4" t="s">
        <v>439</v>
      </c>
      <c r="C4" s="1">
        <v>39171</v>
      </c>
      <c r="D4" s="1">
        <v>39176</v>
      </c>
      <c r="E4" t="s">
        <v>68</v>
      </c>
      <c r="F4" t="s">
        <v>156</v>
      </c>
      <c r="G4">
        <v>10</v>
      </c>
      <c r="H4">
        <v>1</v>
      </c>
      <c r="I4" s="3">
        <v>1</v>
      </c>
      <c r="J4" t="s">
        <v>407</v>
      </c>
      <c r="K4">
        <v>1</v>
      </c>
      <c r="R4">
        <v>0</v>
      </c>
      <c r="S4">
        <v>1</v>
      </c>
      <c r="T4">
        <f>R4/(R4+S4)</f>
        <v>0</v>
      </c>
      <c r="U4">
        <f>S4/(R4+S4)</f>
        <v>1</v>
      </c>
      <c r="V4">
        <v>0.77500000000000002</v>
      </c>
      <c r="W4">
        <v>0.22500000000000001</v>
      </c>
    </row>
    <row r="5" spans="1:23" x14ac:dyDescent="0.3">
      <c r="A5" t="s">
        <v>27</v>
      </c>
      <c r="B5" t="s">
        <v>439</v>
      </c>
      <c r="C5" s="1">
        <v>39171</v>
      </c>
      <c r="D5" s="1">
        <v>39176</v>
      </c>
      <c r="E5" t="s">
        <v>68</v>
      </c>
      <c r="F5" t="s">
        <v>156</v>
      </c>
      <c r="G5">
        <v>3</v>
      </c>
      <c r="H5">
        <v>0</v>
      </c>
      <c r="I5" s="3">
        <v>0</v>
      </c>
      <c r="R5">
        <v>0</v>
      </c>
      <c r="S5">
        <v>0</v>
      </c>
      <c r="V5">
        <v>0.77500000000000002</v>
      </c>
      <c r="W5">
        <v>0.22500000000000001</v>
      </c>
    </row>
    <row r="6" spans="1:23" x14ac:dyDescent="0.3">
      <c r="A6" t="s">
        <v>610</v>
      </c>
      <c r="B6" t="s">
        <v>439</v>
      </c>
      <c r="C6" s="1">
        <v>39171</v>
      </c>
      <c r="D6" s="1">
        <v>39176</v>
      </c>
      <c r="E6" t="s">
        <v>165</v>
      </c>
      <c r="F6" t="s">
        <v>156</v>
      </c>
      <c r="G6">
        <v>11</v>
      </c>
      <c r="H6">
        <v>1</v>
      </c>
      <c r="I6" s="3">
        <v>1</v>
      </c>
      <c r="J6" t="s">
        <v>344</v>
      </c>
      <c r="K6">
        <v>1</v>
      </c>
      <c r="R6">
        <v>0</v>
      </c>
      <c r="S6">
        <v>0</v>
      </c>
      <c r="V6">
        <v>0.77500000000000002</v>
      </c>
      <c r="W6">
        <v>0.22500000000000001</v>
      </c>
    </row>
    <row r="7" spans="1:23" x14ac:dyDescent="0.3">
      <c r="A7" t="s">
        <v>611</v>
      </c>
      <c r="B7" t="s">
        <v>439</v>
      </c>
      <c r="C7" s="1">
        <v>39183</v>
      </c>
      <c r="D7" s="1">
        <v>39191</v>
      </c>
      <c r="E7" t="s">
        <v>165</v>
      </c>
      <c r="F7" t="s">
        <v>156</v>
      </c>
      <c r="G7">
        <v>41.14</v>
      </c>
      <c r="H7">
        <v>0</v>
      </c>
      <c r="I7" s="4">
        <v>0</v>
      </c>
      <c r="R7">
        <v>0</v>
      </c>
      <c r="S7">
        <v>0</v>
      </c>
      <c r="V7">
        <v>0.77500000000000002</v>
      </c>
      <c r="W7">
        <v>0.22500000000000001</v>
      </c>
    </row>
    <row r="8" spans="1:23" x14ac:dyDescent="0.3">
      <c r="A8" t="s">
        <v>163</v>
      </c>
      <c r="B8" t="s">
        <v>439</v>
      </c>
      <c r="C8" s="1">
        <v>39183</v>
      </c>
      <c r="D8" s="1">
        <v>39191</v>
      </c>
      <c r="E8" t="s">
        <v>165</v>
      </c>
      <c r="F8" t="s">
        <v>156</v>
      </c>
      <c r="G8">
        <v>36.36</v>
      </c>
      <c r="H8">
        <v>0</v>
      </c>
      <c r="I8" s="4">
        <v>0</v>
      </c>
      <c r="R8">
        <v>0</v>
      </c>
      <c r="S8">
        <v>0</v>
      </c>
      <c r="V8">
        <v>0.77500000000000002</v>
      </c>
      <c r="W8">
        <v>0.22500000000000001</v>
      </c>
    </row>
    <row r="9" spans="1:23" x14ac:dyDescent="0.3">
      <c r="A9" t="s">
        <v>208</v>
      </c>
      <c r="B9" t="s">
        <v>439</v>
      </c>
      <c r="C9" s="1">
        <v>38744</v>
      </c>
      <c r="D9" s="1">
        <v>38744</v>
      </c>
      <c r="E9" t="s">
        <v>398</v>
      </c>
      <c r="H9">
        <f t="shared" ref="H9:H19" si="0">SUM(K9+M9+O9)</f>
        <v>1</v>
      </c>
      <c r="I9" s="3">
        <v>1</v>
      </c>
      <c r="J9" t="s">
        <v>399</v>
      </c>
      <c r="K9">
        <v>1</v>
      </c>
      <c r="R9">
        <v>0</v>
      </c>
      <c r="S9">
        <v>1</v>
      </c>
      <c r="T9">
        <f t="shared" ref="T9:T28" si="1">R9/(R9+S9)</f>
        <v>0</v>
      </c>
      <c r="U9">
        <f t="shared" ref="U9:U28" si="2">S9/(R9+S9)</f>
        <v>1</v>
      </c>
    </row>
    <row r="10" spans="1:23" x14ac:dyDescent="0.3">
      <c r="A10" t="s">
        <v>400</v>
      </c>
      <c r="B10" t="s">
        <v>439</v>
      </c>
      <c r="C10" s="1">
        <v>38744</v>
      </c>
      <c r="D10" s="1">
        <v>38744</v>
      </c>
      <c r="E10" t="s">
        <v>398</v>
      </c>
      <c r="H10">
        <f t="shared" si="0"/>
        <v>48</v>
      </c>
      <c r="I10" s="3">
        <v>2</v>
      </c>
      <c r="J10" t="s">
        <v>53</v>
      </c>
      <c r="K10">
        <v>34</v>
      </c>
      <c r="L10" t="s">
        <v>401</v>
      </c>
      <c r="M10">
        <v>14</v>
      </c>
      <c r="R10">
        <v>34</v>
      </c>
      <c r="S10">
        <v>14</v>
      </c>
      <c r="T10">
        <f t="shared" si="1"/>
        <v>0.70833333333333337</v>
      </c>
      <c r="U10">
        <f t="shared" si="2"/>
        <v>0.29166666666666669</v>
      </c>
    </row>
    <row r="11" spans="1:23" x14ac:dyDescent="0.3">
      <c r="A11" t="s">
        <v>402</v>
      </c>
      <c r="B11" t="s">
        <v>439</v>
      </c>
      <c r="C11" s="1">
        <v>38744</v>
      </c>
      <c r="D11" s="1">
        <v>38744</v>
      </c>
      <c r="E11" t="s">
        <v>398</v>
      </c>
      <c r="H11">
        <f t="shared" si="0"/>
        <v>281</v>
      </c>
      <c r="I11" s="3">
        <v>2</v>
      </c>
      <c r="J11" t="s">
        <v>53</v>
      </c>
      <c r="K11">
        <v>111</v>
      </c>
      <c r="L11" t="s">
        <v>401</v>
      </c>
      <c r="M11">
        <v>170</v>
      </c>
      <c r="R11">
        <v>111</v>
      </c>
      <c r="S11">
        <v>170</v>
      </c>
      <c r="T11">
        <f t="shared" si="1"/>
        <v>0.39501779359430605</v>
      </c>
      <c r="U11">
        <f t="shared" si="2"/>
        <v>0.604982206405694</v>
      </c>
    </row>
    <row r="12" spans="1:23" x14ac:dyDescent="0.3">
      <c r="A12" t="s">
        <v>403</v>
      </c>
      <c r="B12" t="s">
        <v>439</v>
      </c>
      <c r="C12" s="1">
        <v>38744</v>
      </c>
      <c r="D12" s="1">
        <v>38744</v>
      </c>
      <c r="E12" t="s">
        <v>398</v>
      </c>
      <c r="H12">
        <f t="shared" si="0"/>
        <v>2</v>
      </c>
      <c r="I12" s="3">
        <v>2</v>
      </c>
      <c r="J12" t="s">
        <v>53</v>
      </c>
      <c r="K12">
        <v>1</v>
      </c>
      <c r="L12" t="s">
        <v>401</v>
      </c>
      <c r="M12">
        <v>1</v>
      </c>
      <c r="R12">
        <v>1</v>
      </c>
      <c r="S12">
        <v>1</v>
      </c>
      <c r="T12">
        <f t="shared" si="1"/>
        <v>0.5</v>
      </c>
      <c r="U12">
        <f t="shared" si="2"/>
        <v>0.5</v>
      </c>
    </row>
    <row r="13" spans="1:23" x14ac:dyDescent="0.3">
      <c r="A13" t="s">
        <v>404</v>
      </c>
      <c r="B13" t="s">
        <v>439</v>
      </c>
      <c r="C13" s="5">
        <v>38765</v>
      </c>
      <c r="D13" s="1">
        <v>38765</v>
      </c>
      <c r="E13" t="s">
        <v>680</v>
      </c>
      <c r="H13">
        <f t="shared" si="0"/>
        <v>40</v>
      </c>
      <c r="I13" s="3">
        <v>3</v>
      </c>
      <c r="J13" t="s">
        <v>494</v>
      </c>
      <c r="K13">
        <v>27</v>
      </c>
      <c r="L13" t="s">
        <v>677</v>
      </c>
      <c r="M13">
        <v>10</v>
      </c>
      <c r="N13" t="s">
        <v>495</v>
      </c>
      <c r="O13">
        <v>3</v>
      </c>
      <c r="R13">
        <v>27</v>
      </c>
      <c r="S13">
        <v>13</v>
      </c>
      <c r="T13">
        <f t="shared" si="1"/>
        <v>0.67500000000000004</v>
      </c>
      <c r="U13">
        <f t="shared" si="2"/>
        <v>0.32500000000000001</v>
      </c>
    </row>
    <row r="14" spans="1:23" x14ac:dyDescent="0.3">
      <c r="A14" t="s">
        <v>671</v>
      </c>
      <c r="B14" t="s">
        <v>439</v>
      </c>
      <c r="C14" s="5">
        <v>38765</v>
      </c>
      <c r="D14" s="1">
        <v>38765</v>
      </c>
      <c r="E14" t="s">
        <v>680</v>
      </c>
      <c r="H14">
        <f t="shared" si="0"/>
        <v>13</v>
      </c>
      <c r="I14" s="3">
        <v>3</v>
      </c>
      <c r="J14" t="s">
        <v>53</v>
      </c>
      <c r="K14">
        <v>11</v>
      </c>
      <c r="L14" t="s">
        <v>676</v>
      </c>
      <c r="M14">
        <v>1</v>
      </c>
      <c r="N14" t="s">
        <v>405</v>
      </c>
      <c r="O14">
        <v>1</v>
      </c>
      <c r="R14">
        <v>11</v>
      </c>
      <c r="S14">
        <v>2</v>
      </c>
      <c r="T14">
        <f t="shared" si="1"/>
        <v>0.84615384615384615</v>
      </c>
      <c r="U14">
        <f t="shared" si="2"/>
        <v>0.15384615384615385</v>
      </c>
    </row>
    <row r="15" spans="1:23" x14ac:dyDescent="0.3">
      <c r="A15" t="s">
        <v>673</v>
      </c>
      <c r="B15" t="s">
        <v>439</v>
      </c>
      <c r="C15" s="5">
        <v>38765</v>
      </c>
      <c r="D15" s="1">
        <v>38765</v>
      </c>
      <c r="E15" t="s">
        <v>680</v>
      </c>
      <c r="H15">
        <f t="shared" si="0"/>
        <v>31</v>
      </c>
      <c r="I15" s="3">
        <v>2</v>
      </c>
      <c r="J15" t="s">
        <v>53</v>
      </c>
      <c r="K15">
        <v>30</v>
      </c>
      <c r="L15" t="s">
        <v>672</v>
      </c>
      <c r="M15">
        <v>1</v>
      </c>
      <c r="R15">
        <v>30</v>
      </c>
      <c r="S15">
        <v>1</v>
      </c>
      <c r="T15">
        <f t="shared" si="1"/>
        <v>0.967741935483871</v>
      </c>
      <c r="U15">
        <f t="shared" si="2"/>
        <v>3.2258064516129031E-2</v>
      </c>
    </row>
    <row r="16" spans="1:23" x14ac:dyDescent="0.3">
      <c r="A16" t="s">
        <v>674</v>
      </c>
      <c r="B16" t="s">
        <v>439</v>
      </c>
      <c r="C16" s="5">
        <v>38765</v>
      </c>
      <c r="D16" s="1">
        <v>38765</v>
      </c>
      <c r="E16" t="s">
        <v>680</v>
      </c>
      <c r="H16">
        <f t="shared" si="0"/>
        <v>42</v>
      </c>
      <c r="I16" s="3">
        <v>3</v>
      </c>
      <c r="J16" t="s">
        <v>53</v>
      </c>
      <c r="K16">
        <v>14</v>
      </c>
      <c r="L16" t="s">
        <v>672</v>
      </c>
      <c r="M16">
        <v>19</v>
      </c>
      <c r="N16" t="s">
        <v>495</v>
      </c>
      <c r="O16">
        <v>9</v>
      </c>
      <c r="R16">
        <v>14</v>
      </c>
      <c r="S16">
        <f>19+9</f>
        <v>28</v>
      </c>
      <c r="T16">
        <f t="shared" si="1"/>
        <v>0.33333333333333331</v>
      </c>
      <c r="U16">
        <f t="shared" si="2"/>
        <v>0.66666666666666663</v>
      </c>
    </row>
    <row r="17" spans="1:23" x14ac:dyDescent="0.3">
      <c r="A17" t="s">
        <v>675</v>
      </c>
      <c r="B17" t="s">
        <v>439</v>
      </c>
      <c r="C17" s="5">
        <v>38765</v>
      </c>
      <c r="D17" s="1">
        <v>38765</v>
      </c>
      <c r="E17" t="s">
        <v>680</v>
      </c>
      <c r="H17">
        <f t="shared" si="0"/>
        <v>36</v>
      </c>
      <c r="I17" s="3">
        <v>2</v>
      </c>
      <c r="J17" t="s">
        <v>53</v>
      </c>
      <c r="K17">
        <v>22</v>
      </c>
      <c r="L17" t="s">
        <v>672</v>
      </c>
      <c r="M17">
        <v>14</v>
      </c>
      <c r="R17">
        <v>22</v>
      </c>
      <c r="S17">
        <v>14</v>
      </c>
      <c r="T17">
        <f t="shared" si="1"/>
        <v>0.61111111111111116</v>
      </c>
      <c r="U17">
        <f t="shared" si="2"/>
        <v>0.3888888888888889</v>
      </c>
    </row>
    <row r="18" spans="1:23" x14ac:dyDescent="0.3">
      <c r="A18" t="s">
        <v>22</v>
      </c>
      <c r="B18" t="s">
        <v>439</v>
      </c>
      <c r="C18" s="1">
        <v>38742</v>
      </c>
      <c r="D18" s="1">
        <v>38742</v>
      </c>
      <c r="E18" t="s">
        <v>193</v>
      </c>
      <c r="G18" t="s">
        <v>194</v>
      </c>
      <c r="H18">
        <f t="shared" si="0"/>
        <v>66</v>
      </c>
      <c r="I18" s="3">
        <v>2</v>
      </c>
      <c r="J18" t="s">
        <v>195</v>
      </c>
      <c r="K18">
        <v>64</v>
      </c>
      <c r="L18" t="s">
        <v>196</v>
      </c>
      <c r="M18">
        <v>2</v>
      </c>
      <c r="R18">
        <v>64</v>
      </c>
      <c r="S18">
        <v>2</v>
      </c>
      <c r="T18">
        <f t="shared" si="1"/>
        <v>0.96969696969696972</v>
      </c>
      <c r="U18">
        <f t="shared" si="2"/>
        <v>3.0303030303030304E-2</v>
      </c>
    </row>
    <row r="19" spans="1:23" x14ac:dyDescent="0.3">
      <c r="A19" t="s">
        <v>54</v>
      </c>
      <c r="B19" t="s">
        <v>439</v>
      </c>
      <c r="C19" s="1">
        <v>38742</v>
      </c>
      <c r="D19" s="1">
        <v>38742</v>
      </c>
      <c r="E19" t="s">
        <v>193</v>
      </c>
      <c r="H19">
        <f t="shared" si="0"/>
        <v>5</v>
      </c>
      <c r="I19" s="3">
        <v>2</v>
      </c>
      <c r="J19" t="s">
        <v>53</v>
      </c>
      <c r="K19">
        <v>3</v>
      </c>
      <c r="L19" t="s">
        <v>196</v>
      </c>
      <c r="M19">
        <v>2</v>
      </c>
      <c r="R19">
        <v>3</v>
      </c>
      <c r="S19">
        <v>2</v>
      </c>
      <c r="T19">
        <f t="shared" si="1"/>
        <v>0.6</v>
      </c>
      <c r="U19">
        <f t="shared" si="2"/>
        <v>0.4</v>
      </c>
    </row>
    <row r="20" spans="1:23" x14ac:dyDescent="0.3">
      <c r="A20" t="s">
        <v>75</v>
      </c>
      <c r="B20" t="s">
        <v>439</v>
      </c>
      <c r="C20" s="1">
        <v>39088</v>
      </c>
      <c r="D20" s="1">
        <v>39092</v>
      </c>
      <c r="E20" t="s">
        <v>341</v>
      </c>
      <c r="F20" t="s">
        <v>156</v>
      </c>
      <c r="G20">
        <v>18</v>
      </c>
      <c r="H20">
        <v>11</v>
      </c>
      <c r="I20" s="3">
        <v>2</v>
      </c>
      <c r="J20" t="s">
        <v>343</v>
      </c>
      <c r="K20">
        <v>11</v>
      </c>
      <c r="L20" t="s">
        <v>345</v>
      </c>
      <c r="M20">
        <v>1</v>
      </c>
      <c r="R20">
        <v>11</v>
      </c>
      <c r="S20">
        <v>1</v>
      </c>
      <c r="T20">
        <f t="shared" si="1"/>
        <v>0.91666666666666663</v>
      </c>
      <c r="U20">
        <f t="shared" si="2"/>
        <v>8.3333333333333329E-2</v>
      </c>
    </row>
    <row r="21" spans="1:23" x14ac:dyDescent="0.3">
      <c r="A21" t="s">
        <v>716</v>
      </c>
      <c r="B21" t="s">
        <v>438</v>
      </c>
      <c r="C21" s="1">
        <v>38869</v>
      </c>
      <c r="D21" s="1">
        <v>38869</v>
      </c>
      <c r="E21" t="s">
        <v>477</v>
      </c>
      <c r="F21" t="s">
        <v>156</v>
      </c>
      <c r="G21">
        <v>18.920000000000002</v>
      </c>
      <c r="H21">
        <f>SUM(K21,M21,O21,Q21)</f>
        <v>171</v>
      </c>
      <c r="I21" s="3">
        <v>4</v>
      </c>
      <c r="J21" t="s">
        <v>343</v>
      </c>
      <c r="K21">
        <v>36</v>
      </c>
      <c r="L21" t="s">
        <v>344</v>
      </c>
      <c r="M21">
        <v>5</v>
      </c>
      <c r="N21" t="s">
        <v>345</v>
      </c>
      <c r="O21">
        <v>1</v>
      </c>
      <c r="P21" t="s">
        <v>346</v>
      </c>
      <c r="Q21">
        <v>129</v>
      </c>
      <c r="R21">
        <f>SUM(K21,Q21)</f>
        <v>165</v>
      </c>
      <c r="S21">
        <f>O21</f>
        <v>1</v>
      </c>
      <c r="T21">
        <f t="shared" si="1"/>
        <v>0.99397590361445787</v>
      </c>
      <c r="U21">
        <f t="shared" si="2"/>
        <v>6.024096385542169E-3</v>
      </c>
      <c r="V21">
        <v>0.77500000000000002</v>
      </c>
      <c r="W21">
        <v>0.22500000000000001</v>
      </c>
    </row>
    <row r="22" spans="1:23" x14ac:dyDescent="0.3">
      <c r="A22" t="s">
        <v>105</v>
      </c>
      <c r="B22" t="s">
        <v>438</v>
      </c>
      <c r="C22" s="1">
        <v>38869</v>
      </c>
      <c r="D22" s="1">
        <v>38869</v>
      </c>
      <c r="E22" t="s">
        <v>477</v>
      </c>
      <c r="F22" t="s">
        <v>106</v>
      </c>
      <c r="G22">
        <v>21.715</v>
      </c>
      <c r="H22">
        <v>18</v>
      </c>
      <c r="I22" s="79">
        <v>3</v>
      </c>
      <c r="J22" t="s">
        <v>347</v>
      </c>
      <c r="K22">
        <v>16</v>
      </c>
      <c r="L22" t="s">
        <v>348</v>
      </c>
      <c r="M22">
        <v>1</v>
      </c>
      <c r="N22" t="s">
        <v>242</v>
      </c>
      <c r="O22">
        <v>1</v>
      </c>
      <c r="R22">
        <v>16</v>
      </c>
      <c r="S22">
        <f>SUM(M22,O22)</f>
        <v>2</v>
      </c>
      <c r="T22">
        <f t="shared" si="1"/>
        <v>0.88888888888888884</v>
      </c>
      <c r="U22">
        <f t="shared" si="2"/>
        <v>0.1111111111111111</v>
      </c>
      <c r="V22">
        <v>0.77500000000000002</v>
      </c>
      <c r="W22">
        <v>0.22500000000000001</v>
      </c>
    </row>
    <row r="23" spans="1:23" x14ac:dyDescent="0.3">
      <c r="A23" t="s">
        <v>107</v>
      </c>
      <c r="B23" t="s">
        <v>438</v>
      </c>
      <c r="C23" s="1">
        <v>38869</v>
      </c>
      <c r="D23" s="1">
        <v>38869</v>
      </c>
      <c r="E23" t="s">
        <v>477</v>
      </c>
      <c r="F23" t="s">
        <v>156</v>
      </c>
      <c r="G23">
        <v>18.274999999999999</v>
      </c>
      <c r="H23">
        <f>SUM(K23,M23,O23)</f>
        <v>124</v>
      </c>
      <c r="I23" s="79">
        <v>4</v>
      </c>
      <c r="J23" t="s">
        <v>347</v>
      </c>
      <c r="K23">
        <v>7</v>
      </c>
      <c r="L23" t="s">
        <v>243</v>
      </c>
      <c r="M23">
        <v>1</v>
      </c>
      <c r="N23" t="s">
        <v>244</v>
      </c>
      <c r="O23">
        <v>116</v>
      </c>
      <c r="R23">
        <f>SUM(O23,K23)</f>
        <v>123</v>
      </c>
      <c r="S23">
        <v>0</v>
      </c>
      <c r="T23">
        <f t="shared" si="1"/>
        <v>1</v>
      </c>
      <c r="U23">
        <f t="shared" si="2"/>
        <v>0</v>
      </c>
      <c r="V23">
        <v>0.77500000000000002</v>
      </c>
      <c r="W23">
        <v>0.22500000000000001</v>
      </c>
    </row>
    <row r="24" spans="1:23" x14ac:dyDescent="0.3">
      <c r="A24" t="s">
        <v>639</v>
      </c>
      <c r="B24" t="s">
        <v>438</v>
      </c>
      <c r="C24" s="1">
        <v>38869</v>
      </c>
      <c r="D24" s="1">
        <v>38869</v>
      </c>
      <c r="E24" t="s">
        <v>477</v>
      </c>
      <c r="F24" t="s">
        <v>156</v>
      </c>
      <c r="G24">
        <v>22.106300000000001</v>
      </c>
      <c r="H24">
        <v>145</v>
      </c>
      <c r="I24" s="79">
        <v>3</v>
      </c>
      <c r="J24" t="s">
        <v>347</v>
      </c>
      <c r="K24">
        <v>143</v>
      </c>
      <c r="L24" t="s">
        <v>348</v>
      </c>
      <c r="M24">
        <v>1</v>
      </c>
      <c r="N24" t="s">
        <v>243</v>
      </c>
      <c r="O24">
        <v>1</v>
      </c>
      <c r="R24">
        <v>143</v>
      </c>
      <c r="S24">
        <v>1</v>
      </c>
      <c r="T24">
        <f t="shared" si="1"/>
        <v>0.99305555555555558</v>
      </c>
      <c r="U24">
        <f t="shared" si="2"/>
        <v>6.9444444444444441E-3</v>
      </c>
      <c r="V24">
        <v>0.77500000000000002</v>
      </c>
      <c r="W24">
        <v>0.22500000000000001</v>
      </c>
    </row>
    <row r="25" spans="1:23" x14ac:dyDescent="0.3">
      <c r="A25" t="s">
        <v>601</v>
      </c>
      <c r="B25" t="s">
        <v>440</v>
      </c>
      <c r="C25" s="1">
        <v>38871</v>
      </c>
      <c r="D25" s="1">
        <v>38871</v>
      </c>
      <c r="E25" t="s">
        <v>342</v>
      </c>
      <c r="F25" t="s">
        <v>156</v>
      </c>
      <c r="G25">
        <v>10.358700000000001</v>
      </c>
      <c r="H25">
        <v>11</v>
      </c>
      <c r="I25" s="79">
        <v>2</v>
      </c>
      <c r="J25" t="s">
        <v>347</v>
      </c>
      <c r="K25">
        <v>9</v>
      </c>
      <c r="L25" t="s">
        <v>244</v>
      </c>
      <c r="M25">
        <v>2</v>
      </c>
      <c r="R25">
        <f>K25+M25</f>
        <v>11</v>
      </c>
      <c r="S25">
        <v>0</v>
      </c>
      <c r="T25">
        <f t="shared" si="1"/>
        <v>1</v>
      </c>
      <c r="U25">
        <f t="shared" si="2"/>
        <v>0</v>
      </c>
      <c r="V25">
        <v>0.39300000000000002</v>
      </c>
      <c r="W25">
        <v>0.60699999999999998</v>
      </c>
    </row>
    <row r="26" spans="1:23" x14ac:dyDescent="0.3">
      <c r="A26" t="s">
        <v>603</v>
      </c>
      <c r="B26" t="s">
        <v>440</v>
      </c>
      <c r="C26" s="1">
        <v>38871</v>
      </c>
      <c r="D26" s="1">
        <v>38871</v>
      </c>
      <c r="E26" t="s">
        <v>342</v>
      </c>
      <c r="F26" t="s">
        <v>604</v>
      </c>
      <c r="G26">
        <v>26.556799999999999</v>
      </c>
      <c r="H26">
        <v>92</v>
      </c>
      <c r="I26" s="79">
        <v>2</v>
      </c>
      <c r="J26" t="s">
        <v>347</v>
      </c>
      <c r="K26">
        <v>66</v>
      </c>
      <c r="L26" t="s">
        <v>348</v>
      </c>
      <c r="M26">
        <v>26</v>
      </c>
      <c r="R26">
        <v>66</v>
      </c>
      <c r="S26">
        <v>26</v>
      </c>
      <c r="T26">
        <f t="shared" si="1"/>
        <v>0.71739130434782605</v>
      </c>
      <c r="U26">
        <f t="shared" si="2"/>
        <v>0.28260869565217389</v>
      </c>
      <c r="V26">
        <v>0.39300000000000002</v>
      </c>
      <c r="W26">
        <v>0.60699999999999998</v>
      </c>
    </row>
    <row r="27" spans="1:23" x14ac:dyDescent="0.3">
      <c r="A27" t="s">
        <v>605</v>
      </c>
      <c r="B27" t="s">
        <v>440</v>
      </c>
      <c r="C27" s="1">
        <v>38871</v>
      </c>
      <c r="D27" s="1">
        <v>38871</v>
      </c>
      <c r="E27" t="s">
        <v>342</v>
      </c>
      <c r="F27" t="s">
        <v>606</v>
      </c>
      <c r="G27">
        <v>11.3477</v>
      </c>
      <c r="H27">
        <v>184</v>
      </c>
      <c r="I27" s="79">
        <v>1</v>
      </c>
      <c r="J27" t="s">
        <v>347</v>
      </c>
      <c r="K27">
        <v>184</v>
      </c>
      <c r="R27">
        <v>184</v>
      </c>
      <c r="S27">
        <v>0</v>
      </c>
      <c r="T27">
        <f t="shared" si="1"/>
        <v>1</v>
      </c>
      <c r="U27">
        <f t="shared" si="2"/>
        <v>0</v>
      </c>
      <c r="V27">
        <v>0.39300000000000002</v>
      </c>
      <c r="W27">
        <v>0.60699999999999998</v>
      </c>
    </row>
    <row r="28" spans="1:23" x14ac:dyDescent="0.3">
      <c r="A28" t="s">
        <v>607</v>
      </c>
      <c r="B28" t="s">
        <v>440</v>
      </c>
      <c r="C28" s="1">
        <v>38871</v>
      </c>
      <c r="D28" s="1">
        <v>38871</v>
      </c>
      <c r="E28" t="s">
        <v>342</v>
      </c>
      <c r="F28" t="s">
        <v>703</v>
      </c>
      <c r="G28">
        <v>22.599</v>
      </c>
      <c r="H28">
        <v>309</v>
      </c>
      <c r="I28" s="79">
        <v>2</v>
      </c>
      <c r="J28" t="s">
        <v>347</v>
      </c>
      <c r="K28">
        <v>307</v>
      </c>
      <c r="L28" t="s">
        <v>348</v>
      </c>
      <c r="M28">
        <v>2</v>
      </c>
      <c r="R28">
        <v>307</v>
      </c>
      <c r="S28">
        <v>2</v>
      </c>
      <c r="T28">
        <f t="shared" si="1"/>
        <v>0.99352750809061485</v>
      </c>
      <c r="U28">
        <f t="shared" si="2"/>
        <v>6.4724919093851136E-3</v>
      </c>
      <c r="V28">
        <v>0.39300000000000002</v>
      </c>
      <c r="W28">
        <v>0.60699999999999998</v>
      </c>
    </row>
    <row r="29" spans="1:23" x14ac:dyDescent="0.3">
      <c r="A29" t="s">
        <v>701</v>
      </c>
      <c r="B29" t="s">
        <v>440</v>
      </c>
      <c r="C29" s="1">
        <v>39004</v>
      </c>
      <c r="D29" s="1">
        <v>39009</v>
      </c>
      <c r="E29" t="s">
        <v>342</v>
      </c>
      <c r="G29">
        <v>15.5</v>
      </c>
      <c r="H29">
        <v>0</v>
      </c>
      <c r="I29" s="79">
        <v>0</v>
      </c>
      <c r="R29">
        <v>0</v>
      </c>
      <c r="S29">
        <v>0</v>
      </c>
      <c r="V29">
        <v>0.39300000000000002</v>
      </c>
      <c r="W29">
        <v>0.60699999999999998</v>
      </c>
    </row>
    <row r="30" spans="1:23" x14ac:dyDescent="0.3">
      <c r="A30" t="s">
        <v>70</v>
      </c>
      <c r="B30" t="s">
        <v>440</v>
      </c>
      <c r="C30" s="1">
        <v>39017</v>
      </c>
      <c r="D30" s="1">
        <v>39025</v>
      </c>
      <c r="E30" t="s">
        <v>700</v>
      </c>
      <c r="G30">
        <v>35</v>
      </c>
      <c r="H30">
        <v>23</v>
      </c>
      <c r="I30" s="79">
        <v>1</v>
      </c>
      <c r="J30" t="s">
        <v>347</v>
      </c>
      <c r="K30">
        <v>23</v>
      </c>
      <c r="R30">
        <v>23</v>
      </c>
      <c r="S30">
        <v>0</v>
      </c>
      <c r="T30">
        <f>R30/(R30+S30)</f>
        <v>1</v>
      </c>
      <c r="U30">
        <f>S30/(R30+S30)</f>
        <v>0</v>
      </c>
      <c r="V30">
        <v>0.39300000000000002</v>
      </c>
      <c r="W30">
        <v>0.60699999999999998</v>
      </c>
    </row>
    <row r="31" spans="1:23" x14ac:dyDescent="0.3">
      <c r="A31" t="s">
        <v>608</v>
      </c>
      <c r="B31" t="s">
        <v>440</v>
      </c>
      <c r="C31" s="1">
        <v>38876</v>
      </c>
      <c r="D31" s="1">
        <v>38876</v>
      </c>
      <c r="E31" t="s">
        <v>705</v>
      </c>
      <c r="F31" t="s">
        <v>703</v>
      </c>
      <c r="G31">
        <v>14.313000000000001</v>
      </c>
      <c r="H31">
        <v>0</v>
      </c>
      <c r="I31" s="79">
        <v>0</v>
      </c>
      <c r="R31">
        <v>0</v>
      </c>
      <c r="S31">
        <v>0</v>
      </c>
    </row>
    <row r="32" spans="1:23" x14ac:dyDescent="0.3">
      <c r="A32" t="s">
        <v>609</v>
      </c>
      <c r="B32" t="s">
        <v>440</v>
      </c>
      <c r="C32" s="1">
        <v>38983</v>
      </c>
      <c r="D32" s="1">
        <v>38994</v>
      </c>
      <c r="E32" t="s">
        <v>705</v>
      </c>
      <c r="F32" t="s">
        <v>591</v>
      </c>
      <c r="G32">
        <v>14.122999999999999</v>
      </c>
      <c r="H32">
        <v>0</v>
      </c>
      <c r="I32" s="79">
        <v>0</v>
      </c>
      <c r="R32">
        <v>0</v>
      </c>
      <c r="S32">
        <v>0</v>
      </c>
    </row>
    <row r="33" spans="1:19" x14ac:dyDescent="0.3">
      <c r="A33" t="s">
        <v>670</v>
      </c>
      <c r="H33">
        <f>SUM(H13:H32)</f>
        <v>1321</v>
      </c>
      <c r="R33">
        <v>0</v>
      </c>
      <c r="S33">
        <v>0</v>
      </c>
    </row>
    <row r="34" spans="1:19" x14ac:dyDescent="0.3">
      <c r="H34">
        <f>SUM(H22:H33)</f>
        <v>2227</v>
      </c>
      <c r="I34">
        <v>8</v>
      </c>
    </row>
    <row r="35" spans="1:19" x14ac:dyDescent="0.3">
      <c r="I35">
        <f>COUNT(I2:I34)-7</f>
        <v>25</v>
      </c>
    </row>
    <row r="36" spans="1:19" x14ac:dyDescent="0.3">
      <c r="K36">
        <f>COUNT(K7:K8+M3,M5,M14:M16,M23:M33)</f>
        <v>8</v>
      </c>
    </row>
    <row r="39" spans="1:19" x14ac:dyDescent="0.3">
      <c r="H39" t="s">
        <v>297</v>
      </c>
      <c r="I39" t="s">
        <v>612</v>
      </c>
      <c r="J39" t="s">
        <v>191</v>
      </c>
      <c r="K39" t="s">
        <v>192</v>
      </c>
      <c r="L39" t="s">
        <v>597</v>
      </c>
    </row>
    <row r="40" spans="1:19" x14ac:dyDescent="0.3">
      <c r="G40" t="s">
        <v>382</v>
      </c>
      <c r="H40">
        <v>462</v>
      </c>
      <c r="I40">
        <v>1113</v>
      </c>
      <c r="J40">
        <v>12</v>
      </c>
      <c r="K40">
        <v>71</v>
      </c>
      <c r="L40">
        <f>SUM(H40:K40)</f>
        <v>1658</v>
      </c>
    </row>
    <row r="41" spans="1:19" x14ac:dyDescent="0.3">
      <c r="G41" t="s">
        <v>47</v>
      </c>
      <c r="H41">
        <v>11</v>
      </c>
      <c r="I41">
        <v>13</v>
      </c>
      <c r="J41">
        <v>3</v>
      </c>
      <c r="K41">
        <v>2</v>
      </c>
      <c r="L41">
        <f>SUM(H41:K41)</f>
        <v>29</v>
      </c>
    </row>
    <row r="42" spans="1:19" x14ac:dyDescent="0.3">
      <c r="G42" t="s">
        <v>48</v>
      </c>
      <c r="H42">
        <f>H40/H41</f>
        <v>42</v>
      </c>
      <c r="I42" s="8">
        <f>I40/I41</f>
        <v>85.615384615384613</v>
      </c>
      <c r="J42" s="8">
        <f t="shared" ref="J42:K42" si="3">J40/J41</f>
        <v>4</v>
      </c>
      <c r="K42" s="8">
        <f t="shared" si="3"/>
        <v>35.5</v>
      </c>
    </row>
    <row r="43" spans="1:19" x14ac:dyDescent="0.3">
      <c r="G43" t="s">
        <v>49</v>
      </c>
      <c r="H43">
        <f>STDEV(H2:H5,H14,H16:H21)</f>
        <v>51.018356767664784</v>
      </c>
      <c r="I43">
        <f>STDEV(H6:H9,H12:H13,H25:H33)</f>
        <v>340.44938089586969</v>
      </c>
      <c r="J43">
        <f>STDEV(H19:H21)</f>
        <v>94.155899089400293</v>
      </c>
      <c r="K43">
        <f>STDEV(H23:H24)</f>
        <v>14.849242404917497</v>
      </c>
    </row>
    <row r="44" spans="1:19" x14ac:dyDescent="0.3">
      <c r="G44" t="s">
        <v>50</v>
      </c>
      <c r="H44">
        <f>H43/(SQRT(H41))</f>
        <v>15.382613347166656</v>
      </c>
      <c r="I44">
        <f>I43/SQRT(I41)</f>
        <v>94.423669193848355</v>
      </c>
      <c r="J44">
        <f>J43/SQRT(3)</f>
        <v>54.360933685056501</v>
      </c>
      <c r="K44">
        <f>K43/SQRT(2)</f>
        <v>10.499999999999998</v>
      </c>
    </row>
    <row r="45" spans="1:19" x14ac:dyDescent="0.3">
      <c r="G45" t="s">
        <v>206</v>
      </c>
      <c r="H45">
        <v>6</v>
      </c>
      <c r="I45">
        <v>272</v>
      </c>
      <c r="J45">
        <v>1</v>
      </c>
      <c r="K45">
        <v>4</v>
      </c>
    </row>
    <row r="46" spans="1:19" x14ac:dyDescent="0.3">
      <c r="G46" t="s">
        <v>51</v>
      </c>
      <c r="H46">
        <v>447</v>
      </c>
      <c r="I46">
        <v>841</v>
      </c>
      <c r="J46">
        <v>11</v>
      </c>
      <c r="K46">
        <v>67</v>
      </c>
    </row>
    <row r="47" spans="1:19" x14ac:dyDescent="0.3">
      <c r="G47" t="s">
        <v>582</v>
      </c>
      <c r="H47">
        <f>6/11</f>
        <v>0.54545454545454541</v>
      </c>
      <c r="I47">
        <f>272/13</f>
        <v>20.923076923076923</v>
      </c>
      <c r="J47">
        <f>J45/J41</f>
        <v>0.33333333333333331</v>
      </c>
      <c r="K47">
        <f>K45/K41</f>
        <v>2</v>
      </c>
    </row>
    <row r="48" spans="1:19" x14ac:dyDescent="0.3">
      <c r="G48" t="s">
        <v>583</v>
      </c>
      <c r="H48">
        <f>447/11</f>
        <v>40.636363636363633</v>
      </c>
      <c r="I48">
        <f>841/13</f>
        <v>64.692307692307693</v>
      </c>
      <c r="J48">
        <f>J46/J41</f>
        <v>3.6666666666666665</v>
      </c>
      <c r="K48">
        <f>K46/K41</f>
        <v>33.5</v>
      </c>
    </row>
    <row r="49" spans="7:11" x14ac:dyDescent="0.3">
      <c r="G49" t="s">
        <v>584</v>
      </c>
      <c r="H49" t="e">
        <f>STDEV(M3,M5,O2:O3,K6:K8)</f>
        <v>#DIV/0!</v>
      </c>
      <c r="I49">
        <f>STDEV(M14,M16,K25,M23:M33,O29:O32)</f>
        <v>9.7385463861033035</v>
      </c>
      <c r="J49">
        <v>0</v>
      </c>
      <c r="K49">
        <f>STDEV(M23:M24)</f>
        <v>0</v>
      </c>
    </row>
    <row r="50" spans="7:11" x14ac:dyDescent="0.3">
      <c r="G50" t="s">
        <v>585</v>
      </c>
      <c r="H50">
        <f>STDEV(K2:K5,O4,Q2)</f>
        <v>0</v>
      </c>
      <c r="I50">
        <f>STDEV(K13:K18,M13,K26:K33)</f>
        <v>93.478825993328073</v>
      </c>
      <c r="J50">
        <v>0</v>
      </c>
      <c r="K50">
        <f>STDEV(K23:K24)</f>
        <v>96.166522241370458</v>
      </c>
    </row>
    <row r="51" spans="7:11" x14ac:dyDescent="0.3">
      <c r="G51" t="s">
        <v>586</v>
      </c>
      <c r="H51" t="e">
        <f>H49/(SQRT(H45))</f>
        <v>#DIV/0!</v>
      </c>
      <c r="I51">
        <f>I49/(SQRT(I45))</f>
        <v>0.59048610867472162</v>
      </c>
      <c r="J51">
        <v>0</v>
      </c>
      <c r="K51">
        <v>0</v>
      </c>
    </row>
    <row r="52" spans="7:11" x14ac:dyDescent="0.3">
      <c r="G52" t="s">
        <v>587</v>
      </c>
      <c r="H52">
        <f>H50/(SQRT(H46))</f>
        <v>0</v>
      </c>
      <c r="I52">
        <f>I50/(SQRT(I46))</f>
        <v>3.223407792873382</v>
      </c>
      <c r="J52">
        <v>0</v>
      </c>
      <c r="K52">
        <f>K50/SQRT(2)</f>
        <v>67.999999999999986</v>
      </c>
    </row>
    <row r="53" spans="7:11" x14ac:dyDescent="0.3">
      <c r="G53" t="s">
        <v>52</v>
      </c>
      <c r="H53">
        <v>6</v>
      </c>
      <c r="I53">
        <v>5</v>
      </c>
    </row>
    <row r="54" spans="7:11" x14ac:dyDescent="0.3">
      <c r="G54" t="s">
        <v>204</v>
      </c>
      <c r="H54">
        <v>4</v>
      </c>
      <c r="I54">
        <v>4</v>
      </c>
    </row>
    <row r="55" spans="7:11" x14ac:dyDescent="0.3">
      <c r="G55" t="s">
        <v>205</v>
      </c>
      <c r="H55">
        <v>2</v>
      </c>
      <c r="I55">
        <v>1</v>
      </c>
    </row>
    <row r="56" spans="7:11" x14ac:dyDescent="0.3">
      <c r="G56" t="s">
        <v>387</v>
      </c>
      <c r="H56">
        <v>2</v>
      </c>
      <c r="I56">
        <v>0</v>
      </c>
    </row>
    <row r="57" spans="7:11" x14ac:dyDescent="0.3">
      <c r="G57" t="s">
        <v>435</v>
      </c>
      <c r="H57">
        <f>SUM(H6:H12)</f>
        <v>333</v>
      </c>
      <c r="I57">
        <f>SUM(H25:H33)</f>
        <v>1940</v>
      </c>
    </row>
    <row r="58" spans="7:11" x14ac:dyDescent="0.3">
      <c r="G58" t="s">
        <v>436</v>
      </c>
      <c r="H58">
        <f>SUM(H2:H5)</f>
        <v>3</v>
      </c>
      <c r="I58">
        <f>SUM(H13:H20)</f>
        <v>244</v>
      </c>
    </row>
    <row r="59" spans="7:11" x14ac:dyDescent="0.3">
      <c r="G59" t="s">
        <v>654</v>
      </c>
      <c r="H59">
        <f>H57/4</f>
        <v>83.25</v>
      </c>
      <c r="I59">
        <f>I57/9</f>
        <v>215.55555555555554</v>
      </c>
    </row>
    <row r="60" spans="7:11" x14ac:dyDescent="0.3">
      <c r="G60" t="s">
        <v>655</v>
      </c>
      <c r="H60">
        <f>H58/7</f>
        <v>0.42857142857142855</v>
      </c>
      <c r="I60">
        <f>I58/4</f>
        <v>61</v>
      </c>
    </row>
    <row r="61" spans="7:11" x14ac:dyDescent="0.3">
      <c r="G61" t="s">
        <v>431</v>
      </c>
      <c r="H61">
        <f>STDEV(H6:H12)</f>
        <v>104.4267799989657</v>
      </c>
      <c r="I61">
        <f>STDEV(H25:H33)</f>
        <v>427.97695940059413</v>
      </c>
    </row>
    <row r="62" spans="7:11" x14ac:dyDescent="0.3">
      <c r="G62" t="s">
        <v>432</v>
      </c>
      <c r="H62">
        <f>STDEV(H2:H5)</f>
        <v>0.5</v>
      </c>
      <c r="I62">
        <f>STDEV(H13:H18)</f>
        <v>17.216271373325874</v>
      </c>
    </row>
    <row r="63" spans="7:11" x14ac:dyDescent="0.3">
      <c r="G63" t="s">
        <v>433</v>
      </c>
      <c r="H63">
        <f>H61/SQRT(7)</f>
        <v>39.469612870359576</v>
      </c>
      <c r="I63">
        <f>I61/SQRT(9)</f>
        <v>142.65898646686472</v>
      </c>
    </row>
    <row r="64" spans="7:11" x14ac:dyDescent="0.3">
      <c r="G64" t="s">
        <v>434</v>
      </c>
      <c r="H64">
        <f>H62/SQRT(4)</f>
        <v>0.25</v>
      </c>
      <c r="I64">
        <f>I62/SQRT(4)</f>
        <v>8.608135686662937</v>
      </c>
    </row>
    <row r="66" spans="7:12" x14ac:dyDescent="0.3">
      <c r="G66" t="s">
        <v>406</v>
      </c>
      <c r="H66" t="s">
        <v>388</v>
      </c>
      <c r="I66" t="s">
        <v>588</v>
      </c>
      <c r="J66" t="s">
        <v>29</v>
      </c>
      <c r="K66" t="s">
        <v>28</v>
      </c>
    </row>
    <row r="67" spans="7:12" x14ac:dyDescent="0.3">
      <c r="G67" t="s">
        <v>53</v>
      </c>
      <c r="H67">
        <f>SUM(K2:K5)</f>
        <v>3</v>
      </c>
      <c r="I67">
        <f>SUM(K13:K18,K26:K33)</f>
        <v>748</v>
      </c>
      <c r="J67">
        <v>4</v>
      </c>
      <c r="K67">
        <v>13</v>
      </c>
      <c r="L67">
        <f>17/26</f>
        <v>0.65384615384615385</v>
      </c>
    </row>
    <row r="68" spans="7:12" x14ac:dyDescent="0.3">
      <c r="G68" t="s">
        <v>613</v>
      </c>
      <c r="H68">
        <f>SUM(Q2,O4)</f>
        <v>0</v>
      </c>
      <c r="I68">
        <v>2</v>
      </c>
      <c r="J68">
        <v>2</v>
      </c>
      <c r="K68">
        <v>0</v>
      </c>
      <c r="L68">
        <f>2/26</f>
        <v>7.6923076923076927E-2</v>
      </c>
    </row>
    <row r="69" spans="7:12" x14ac:dyDescent="0.3">
      <c r="G69" t="s">
        <v>672</v>
      </c>
      <c r="H69">
        <f>SUM(M3,M5,K7:K8)</f>
        <v>0</v>
      </c>
      <c r="I69">
        <f>SUM(M14,M16,M26:M33)</f>
        <v>48</v>
      </c>
      <c r="J69">
        <v>4</v>
      </c>
      <c r="K69">
        <v>10</v>
      </c>
      <c r="L69">
        <f>14/26</f>
        <v>0.53846153846153844</v>
      </c>
    </row>
    <row r="70" spans="7:12" x14ac:dyDescent="0.3">
      <c r="G70" t="s">
        <v>614</v>
      </c>
      <c r="H70">
        <f>SUM(O2:O3)</f>
        <v>0</v>
      </c>
      <c r="I70">
        <v>0</v>
      </c>
    </row>
    <row r="71" spans="7:12" x14ac:dyDescent="0.3">
      <c r="G71" t="s">
        <v>405</v>
      </c>
      <c r="H71">
        <v>0</v>
      </c>
      <c r="I71">
        <f>SUM(O29:O32)</f>
        <v>0</v>
      </c>
    </row>
    <row r="72" spans="7:12" x14ac:dyDescent="0.3">
      <c r="G72" t="s">
        <v>615</v>
      </c>
      <c r="H72">
        <v>1</v>
      </c>
      <c r="I72">
        <v>0</v>
      </c>
    </row>
    <row r="73" spans="7:12" x14ac:dyDescent="0.3">
      <c r="G73" t="s">
        <v>399</v>
      </c>
      <c r="H73">
        <v>0</v>
      </c>
      <c r="I73">
        <v>1</v>
      </c>
    </row>
    <row r="74" spans="7:12" x14ac:dyDescent="0.3">
      <c r="G74" t="s">
        <v>653</v>
      </c>
      <c r="H74">
        <v>6</v>
      </c>
      <c r="I74">
        <v>0</v>
      </c>
    </row>
    <row r="75" spans="7:12" x14ac:dyDescent="0.3">
      <c r="G75" t="s">
        <v>264</v>
      </c>
      <c r="H75">
        <f>H67/11</f>
        <v>0.27272727272727271</v>
      </c>
      <c r="I75">
        <f>I67/13</f>
        <v>57.53846153846154</v>
      </c>
    </row>
    <row r="76" spans="7:12" x14ac:dyDescent="0.3">
      <c r="G76" t="s">
        <v>265</v>
      </c>
      <c r="H76">
        <f t="shared" ref="H76:H82" si="4">H68/11</f>
        <v>0</v>
      </c>
      <c r="I76">
        <f t="shared" ref="I76:I82" si="5">I68/13</f>
        <v>0.15384615384615385</v>
      </c>
    </row>
    <row r="77" spans="7:12" x14ac:dyDescent="0.3">
      <c r="G77" t="s">
        <v>266</v>
      </c>
      <c r="H77">
        <f t="shared" si="4"/>
        <v>0</v>
      </c>
      <c r="I77">
        <f t="shared" si="5"/>
        <v>3.6923076923076925</v>
      </c>
    </row>
    <row r="78" spans="7:12" x14ac:dyDescent="0.3">
      <c r="G78" t="s">
        <v>267</v>
      </c>
      <c r="H78">
        <f t="shared" si="4"/>
        <v>0</v>
      </c>
      <c r="I78">
        <f t="shared" si="5"/>
        <v>0</v>
      </c>
      <c r="J78" s="6"/>
    </row>
    <row r="79" spans="7:12" x14ac:dyDescent="0.3">
      <c r="G79" t="s">
        <v>76</v>
      </c>
      <c r="H79">
        <f t="shared" si="4"/>
        <v>0</v>
      </c>
      <c r="I79">
        <f t="shared" si="5"/>
        <v>0</v>
      </c>
    </row>
    <row r="80" spans="7:12" x14ac:dyDescent="0.3">
      <c r="G80" t="s">
        <v>77</v>
      </c>
      <c r="H80">
        <f t="shared" si="4"/>
        <v>9.0909090909090912E-2</v>
      </c>
      <c r="I80">
        <f t="shared" si="5"/>
        <v>0</v>
      </c>
    </row>
    <row r="81" spans="7:9" x14ac:dyDescent="0.3">
      <c r="G81" t="s">
        <v>122</v>
      </c>
      <c r="H81">
        <f t="shared" si="4"/>
        <v>0</v>
      </c>
      <c r="I81">
        <f t="shared" si="5"/>
        <v>7.6923076923076927E-2</v>
      </c>
    </row>
    <row r="82" spans="7:9" x14ac:dyDescent="0.3">
      <c r="G82" t="s">
        <v>653</v>
      </c>
      <c r="H82">
        <f t="shared" si="4"/>
        <v>0.54545454545454541</v>
      </c>
      <c r="I82">
        <f t="shared" si="5"/>
        <v>0</v>
      </c>
    </row>
  </sheetData>
  <sortState ref="A2:W33">
    <sortCondition ref="B2:B33"/>
    <sortCondition ref="E2:E33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B10" workbookViewId="0">
      <selection activeCell="B30" sqref="B30"/>
    </sheetView>
  </sheetViews>
  <sheetFormatPr defaultColWidth="10.921875" defaultRowHeight="13.5" x14ac:dyDescent="0.3"/>
  <sheetData>
    <row r="1" spans="1:19" x14ac:dyDescent="0.3">
      <c r="A1" t="s">
        <v>339</v>
      </c>
      <c r="B1" t="s">
        <v>393</v>
      </c>
      <c r="C1" t="s">
        <v>394</v>
      </c>
      <c r="D1" t="s">
        <v>395</v>
      </c>
      <c r="E1" t="s">
        <v>479</v>
      </c>
      <c r="F1" t="s">
        <v>207</v>
      </c>
      <c r="G1" t="s">
        <v>201</v>
      </c>
      <c r="H1" t="s">
        <v>66</v>
      </c>
      <c r="I1" t="s">
        <v>79</v>
      </c>
      <c r="J1" t="s">
        <v>274</v>
      </c>
      <c r="K1" t="s">
        <v>202</v>
      </c>
    </row>
    <row r="2" spans="1:19" x14ac:dyDescent="0.3">
      <c r="A2" t="s">
        <v>593</v>
      </c>
      <c r="B2" s="1">
        <v>38869</v>
      </c>
      <c r="C2" s="1">
        <v>38869</v>
      </c>
      <c r="D2" t="s">
        <v>477</v>
      </c>
      <c r="E2" t="s">
        <v>156</v>
      </c>
      <c r="F2">
        <v>18.920000000000002</v>
      </c>
      <c r="G2">
        <f>SUM(M2,O2,Q2,S2)</f>
        <v>171</v>
      </c>
      <c r="H2">
        <f>G2/F2</f>
        <v>9.0380549682875255</v>
      </c>
      <c r="I2">
        <f>SUM(M2,S2)/F2</f>
        <v>8.720930232558139</v>
      </c>
      <c r="J2">
        <f>1/F2</f>
        <v>5.2854122621564477E-2</v>
      </c>
      <c r="K2" s="3">
        <v>4</v>
      </c>
      <c r="L2" t="s">
        <v>343</v>
      </c>
      <c r="M2">
        <v>36</v>
      </c>
      <c r="N2" t="s">
        <v>344</v>
      </c>
      <c r="O2">
        <v>5</v>
      </c>
      <c r="P2" t="s">
        <v>345</v>
      </c>
      <c r="Q2">
        <v>1</v>
      </c>
      <c r="R2" t="s">
        <v>346</v>
      </c>
      <c r="S2">
        <v>129</v>
      </c>
    </row>
    <row r="3" spans="1:19" x14ac:dyDescent="0.3">
      <c r="A3" t="s">
        <v>105</v>
      </c>
      <c r="B3" s="1">
        <v>38869</v>
      </c>
      <c r="C3" s="1">
        <v>38869</v>
      </c>
      <c r="D3" t="s">
        <v>477</v>
      </c>
      <c r="E3" t="s">
        <v>156</v>
      </c>
      <c r="F3">
        <v>21.715</v>
      </c>
      <c r="G3">
        <v>18</v>
      </c>
      <c r="H3">
        <f t="shared" ref="H3:H22" si="0">G3/F3</f>
        <v>0.82892010131245686</v>
      </c>
      <c r="I3">
        <f>M3/F3</f>
        <v>0.73681786783329495</v>
      </c>
      <c r="J3">
        <f>2/F3</f>
        <v>9.2102233479161869E-2</v>
      </c>
      <c r="K3" s="3">
        <v>3</v>
      </c>
      <c r="L3" t="s">
        <v>343</v>
      </c>
      <c r="M3">
        <v>16</v>
      </c>
      <c r="N3" t="s">
        <v>348</v>
      </c>
      <c r="O3">
        <v>1</v>
      </c>
      <c r="P3" t="s">
        <v>345</v>
      </c>
      <c r="Q3">
        <v>1</v>
      </c>
    </row>
    <row r="4" spans="1:19" x14ac:dyDescent="0.3">
      <c r="A4" t="s">
        <v>107</v>
      </c>
      <c r="B4" s="1">
        <v>38869</v>
      </c>
      <c r="C4" s="1">
        <v>38869</v>
      </c>
      <c r="D4" t="s">
        <v>477</v>
      </c>
      <c r="E4" t="s">
        <v>156</v>
      </c>
      <c r="F4">
        <v>18.274999999999999</v>
      </c>
      <c r="G4">
        <f>SUM(M4,O4,Q4)</f>
        <v>124</v>
      </c>
      <c r="H4">
        <f t="shared" si="0"/>
        <v>6.7852257181942548</v>
      </c>
      <c r="I4">
        <f>(M4+Q4)/F4</f>
        <v>6.7305061559507529</v>
      </c>
      <c r="J4">
        <v>0</v>
      </c>
      <c r="K4" s="3">
        <v>4</v>
      </c>
      <c r="L4" t="s">
        <v>343</v>
      </c>
      <c r="M4">
        <v>7</v>
      </c>
      <c r="N4" t="s">
        <v>344</v>
      </c>
      <c r="O4">
        <v>1</v>
      </c>
      <c r="P4" t="s">
        <v>346</v>
      </c>
      <c r="Q4">
        <v>116</v>
      </c>
    </row>
    <row r="5" spans="1:19" x14ac:dyDescent="0.3">
      <c r="A5" t="s">
        <v>639</v>
      </c>
      <c r="B5" s="1">
        <v>38869</v>
      </c>
      <c r="C5" s="1">
        <v>38869</v>
      </c>
      <c r="D5" t="s">
        <v>477</v>
      </c>
      <c r="E5" t="s">
        <v>156</v>
      </c>
      <c r="F5">
        <v>22.106300000000001</v>
      </c>
      <c r="G5">
        <v>145</v>
      </c>
      <c r="H5">
        <f t="shared" si="0"/>
        <v>6.5592161510519622</v>
      </c>
      <c r="I5">
        <f>M5/F5</f>
        <v>6.4687442041409007</v>
      </c>
      <c r="J5">
        <f>1/F5</f>
        <v>4.5235973455530772E-2</v>
      </c>
      <c r="K5" s="3">
        <v>3</v>
      </c>
      <c r="L5" t="s">
        <v>343</v>
      </c>
      <c r="M5">
        <v>143</v>
      </c>
      <c r="N5" t="s">
        <v>348</v>
      </c>
      <c r="O5">
        <v>1</v>
      </c>
      <c r="P5" t="s">
        <v>344</v>
      </c>
      <c r="Q5">
        <v>1</v>
      </c>
    </row>
    <row r="6" spans="1:19" x14ac:dyDescent="0.3">
      <c r="A6" t="s">
        <v>74</v>
      </c>
      <c r="B6" s="1">
        <v>39087</v>
      </c>
      <c r="C6" s="1">
        <v>39088</v>
      </c>
      <c r="D6" t="s">
        <v>692</v>
      </c>
      <c r="E6" t="s">
        <v>156</v>
      </c>
      <c r="F6">
        <v>13</v>
      </c>
      <c r="G6">
        <v>1</v>
      </c>
      <c r="H6">
        <f t="shared" si="0"/>
        <v>7.6923076923076927E-2</v>
      </c>
      <c r="I6">
        <v>0</v>
      </c>
      <c r="J6">
        <f>1/F6</f>
        <v>7.6923076923076927E-2</v>
      </c>
      <c r="K6" s="3">
        <v>1</v>
      </c>
      <c r="L6" t="s">
        <v>25</v>
      </c>
      <c r="M6">
        <v>1</v>
      </c>
    </row>
    <row r="7" spans="1:19" x14ac:dyDescent="0.3">
      <c r="A7" t="s">
        <v>632</v>
      </c>
      <c r="B7" s="1">
        <v>39171</v>
      </c>
      <c r="C7" s="1">
        <v>39176</v>
      </c>
      <c r="D7" t="s">
        <v>477</v>
      </c>
      <c r="E7" t="s">
        <v>156</v>
      </c>
      <c r="F7">
        <v>5</v>
      </c>
      <c r="G7">
        <v>1</v>
      </c>
      <c r="H7">
        <f t="shared" si="0"/>
        <v>0.2</v>
      </c>
      <c r="I7">
        <v>0</v>
      </c>
      <c r="J7">
        <f t="shared" ref="J7:J8" si="1">1/F7</f>
        <v>0.2</v>
      </c>
      <c r="K7" s="3">
        <v>1</v>
      </c>
      <c r="L7" t="s">
        <v>348</v>
      </c>
      <c r="M7">
        <v>1</v>
      </c>
    </row>
    <row r="8" spans="1:19" x14ac:dyDescent="0.3">
      <c r="A8" t="s">
        <v>594</v>
      </c>
      <c r="B8" s="1">
        <v>39171</v>
      </c>
      <c r="C8" s="1">
        <v>39176</v>
      </c>
      <c r="D8" t="s">
        <v>477</v>
      </c>
      <c r="E8" t="s">
        <v>156</v>
      </c>
      <c r="F8">
        <v>10</v>
      </c>
      <c r="G8">
        <v>1</v>
      </c>
      <c r="H8">
        <f t="shared" si="0"/>
        <v>0.1</v>
      </c>
      <c r="I8">
        <v>0</v>
      </c>
      <c r="J8">
        <f t="shared" si="1"/>
        <v>0.1</v>
      </c>
      <c r="K8" s="3">
        <v>1</v>
      </c>
      <c r="L8" t="s">
        <v>348</v>
      </c>
      <c r="M8">
        <v>1</v>
      </c>
    </row>
    <row r="9" spans="1:19" x14ac:dyDescent="0.3">
      <c r="A9" t="s">
        <v>27</v>
      </c>
      <c r="B9" s="1">
        <v>39171</v>
      </c>
      <c r="C9" s="1">
        <v>39176</v>
      </c>
      <c r="D9" t="s">
        <v>477</v>
      </c>
      <c r="E9" t="s">
        <v>156</v>
      </c>
      <c r="F9">
        <v>3</v>
      </c>
      <c r="H9">
        <f t="shared" si="0"/>
        <v>0</v>
      </c>
      <c r="I9">
        <v>0</v>
      </c>
      <c r="J9">
        <v>0</v>
      </c>
      <c r="K9" s="3">
        <v>0</v>
      </c>
    </row>
    <row r="10" spans="1:19" x14ac:dyDescent="0.3">
      <c r="A10" t="s">
        <v>635</v>
      </c>
      <c r="B10" s="1">
        <v>39171</v>
      </c>
      <c r="C10" s="1">
        <v>39176</v>
      </c>
      <c r="D10" t="s">
        <v>477</v>
      </c>
      <c r="E10" t="s">
        <v>156</v>
      </c>
      <c r="F10">
        <v>11</v>
      </c>
      <c r="G10">
        <v>1</v>
      </c>
      <c r="H10">
        <f t="shared" si="0"/>
        <v>9.0909090909090912E-2</v>
      </c>
      <c r="I10">
        <v>0</v>
      </c>
      <c r="J10">
        <v>0</v>
      </c>
      <c r="K10" s="3">
        <v>1</v>
      </c>
      <c r="L10" t="s">
        <v>344</v>
      </c>
      <c r="M10">
        <v>1</v>
      </c>
    </row>
    <row r="11" spans="1:19" x14ac:dyDescent="0.3">
      <c r="A11" t="s">
        <v>611</v>
      </c>
      <c r="B11" s="1">
        <v>39183</v>
      </c>
      <c r="C11" s="1">
        <v>39191</v>
      </c>
      <c r="D11" t="s">
        <v>477</v>
      </c>
      <c r="E11" t="s">
        <v>156</v>
      </c>
      <c r="F11">
        <v>41.14</v>
      </c>
      <c r="H11">
        <f t="shared" si="0"/>
        <v>0</v>
      </c>
      <c r="I11">
        <v>0</v>
      </c>
      <c r="J11">
        <v>0</v>
      </c>
      <c r="K11" s="4">
        <v>0</v>
      </c>
    </row>
    <row r="12" spans="1:19" x14ac:dyDescent="0.3">
      <c r="A12" t="s">
        <v>163</v>
      </c>
      <c r="B12" s="1">
        <v>39183</v>
      </c>
      <c r="C12" s="1">
        <v>39191</v>
      </c>
      <c r="D12" t="s">
        <v>477</v>
      </c>
      <c r="E12" t="s">
        <v>156</v>
      </c>
      <c r="F12">
        <v>36.36</v>
      </c>
      <c r="H12">
        <f t="shared" si="0"/>
        <v>0</v>
      </c>
      <c r="I12">
        <v>0</v>
      </c>
      <c r="J12">
        <v>0</v>
      </c>
      <c r="K12" s="4">
        <v>0</v>
      </c>
    </row>
    <row r="13" spans="1:19" x14ac:dyDescent="0.3">
      <c r="A13" t="s">
        <v>601</v>
      </c>
      <c r="B13" s="1">
        <v>38871</v>
      </c>
      <c r="C13" s="1">
        <v>38871</v>
      </c>
      <c r="D13" t="s">
        <v>342</v>
      </c>
      <c r="E13" t="s">
        <v>156</v>
      </c>
      <c r="F13">
        <v>10.358700000000001</v>
      </c>
      <c r="G13">
        <v>11</v>
      </c>
      <c r="H13">
        <f t="shared" si="0"/>
        <v>1.0619093129446744</v>
      </c>
      <c r="I13">
        <f>11/F13</f>
        <v>1.0619093129446744</v>
      </c>
      <c r="J13">
        <v>0</v>
      </c>
      <c r="K13" s="3">
        <v>2</v>
      </c>
      <c r="L13" t="s">
        <v>343</v>
      </c>
      <c r="M13">
        <v>9</v>
      </c>
      <c r="N13" t="s">
        <v>346</v>
      </c>
      <c r="O13">
        <v>2</v>
      </c>
    </row>
    <row r="14" spans="1:19" x14ac:dyDescent="0.3">
      <c r="A14" t="s">
        <v>603</v>
      </c>
      <c r="B14" s="1">
        <v>38871</v>
      </c>
      <c r="C14" s="1">
        <v>38871</v>
      </c>
      <c r="D14" t="s">
        <v>342</v>
      </c>
      <c r="E14" t="s">
        <v>604</v>
      </c>
      <c r="F14">
        <v>26.556799999999999</v>
      </c>
      <c r="G14">
        <v>92</v>
      </c>
      <c r="H14">
        <f t="shared" si="0"/>
        <v>3.4642728039522837</v>
      </c>
      <c r="I14">
        <f>66/F14</f>
        <v>2.4852391854440294</v>
      </c>
      <c r="J14">
        <f>26/F14</f>
        <v>0.97903361850825399</v>
      </c>
      <c r="K14" s="3">
        <v>2</v>
      </c>
      <c r="L14" t="s">
        <v>343</v>
      </c>
      <c r="M14">
        <v>66</v>
      </c>
      <c r="N14" t="s">
        <v>348</v>
      </c>
      <c r="O14">
        <v>26</v>
      </c>
    </row>
    <row r="15" spans="1:19" x14ac:dyDescent="0.3">
      <c r="A15" t="s">
        <v>605</v>
      </c>
      <c r="B15" s="1">
        <v>38871</v>
      </c>
      <c r="C15" s="1">
        <v>38871</v>
      </c>
      <c r="D15" t="s">
        <v>342</v>
      </c>
      <c r="E15" t="s">
        <v>156</v>
      </c>
      <c r="F15">
        <v>11.3477</v>
      </c>
      <c r="G15">
        <v>184</v>
      </c>
      <c r="H15">
        <f t="shared" si="0"/>
        <v>16.214739550745968</v>
      </c>
      <c r="I15">
        <f>184/F15</f>
        <v>16.214739550745968</v>
      </c>
      <c r="J15">
        <v>0</v>
      </c>
      <c r="K15" s="3">
        <v>1</v>
      </c>
      <c r="L15" t="s">
        <v>343</v>
      </c>
      <c r="M15">
        <v>184</v>
      </c>
    </row>
    <row r="16" spans="1:19" x14ac:dyDescent="0.3">
      <c r="A16" t="s">
        <v>607</v>
      </c>
      <c r="B16" s="1">
        <v>38871</v>
      </c>
      <c r="C16" s="1">
        <v>38871</v>
      </c>
      <c r="D16" t="s">
        <v>342</v>
      </c>
      <c r="E16" t="s">
        <v>703</v>
      </c>
      <c r="F16">
        <v>22.599</v>
      </c>
      <c r="G16">
        <v>309</v>
      </c>
      <c r="H16">
        <f t="shared" si="0"/>
        <v>13.67317137926457</v>
      </c>
      <c r="I16">
        <f>307/F16</f>
        <v>13.584671888136644</v>
      </c>
      <c r="J16">
        <f>2/F16</f>
        <v>8.8499491127926017E-2</v>
      </c>
      <c r="K16" s="3">
        <v>2</v>
      </c>
      <c r="L16" t="s">
        <v>343</v>
      </c>
      <c r="M16">
        <v>307</v>
      </c>
      <c r="N16" t="s">
        <v>348</v>
      </c>
      <c r="O16">
        <v>2</v>
      </c>
    </row>
    <row r="17" spans="1:15" x14ac:dyDescent="0.3">
      <c r="A17" t="s">
        <v>701</v>
      </c>
      <c r="B17" s="1">
        <v>39004</v>
      </c>
      <c r="C17" s="1">
        <v>39009</v>
      </c>
      <c r="D17" t="s">
        <v>342</v>
      </c>
      <c r="F17">
        <v>15.5</v>
      </c>
      <c r="H17">
        <f t="shared" si="0"/>
        <v>0</v>
      </c>
      <c r="I17">
        <v>0</v>
      </c>
      <c r="J17">
        <v>0</v>
      </c>
      <c r="K17" s="3">
        <v>0</v>
      </c>
    </row>
    <row r="18" spans="1:15" x14ac:dyDescent="0.3">
      <c r="A18" t="s">
        <v>638</v>
      </c>
      <c r="B18" s="1">
        <v>39017</v>
      </c>
      <c r="C18" s="1">
        <v>39025</v>
      </c>
      <c r="D18" t="s">
        <v>700</v>
      </c>
      <c r="F18">
        <v>35</v>
      </c>
      <c r="G18">
        <v>23</v>
      </c>
      <c r="H18">
        <f t="shared" si="0"/>
        <v>0.65714285714285714</v>
      </c>
      <c r="I18">
        <f>23/F18</f>
        <v>0.65714285714285714</v>
      </c>
      <c r="J18">
        <v>0</v>
      </c>
      <c r="K18" s="3">
        <v>1</v>
      </c>
      <c r="L18" t="s">
        <v>343</v>
      </c>
      <c r="M18">
        <v>23</v>
      </c>
    </row>
    <row r="19" spans="1:15" x14ac:dyDescent="0.3">
      <c r="A19" t="s">
        <v>608</v>
      </c>
      <c r="B19" s="1">
        <v>38876</v>
      </c>
      <c r="C19" s="1">
        <v>38876</v>
      </c>
      <c r="D19" t="s">
        <v>705</v>
      </c>
      <c r="E19" t="s">
        <v>703</v>
      </c>
      <c r="F19">
        <v>14.313000000000001</v>
      </c>
      <c r="H19">
        <f t="shared" si="0"/>
        <v>0</v>
      </c>
      <c r="I19">
        <v>0</v>
      </c>
      <c r="J19">
        <v>0</v>
      </c>
      <c r="K19" s="3">
        <v>0</v>
      </c>
    </row>
    <row r="20" spans="1:15" x14ac:dyDescent="0.3">
      <c r="A20" t="s">
        <v>609</v>
      </c>
      <c r="B20" s="1">
        <v>38983</v>
      </c>
      <c r="C20" s="1">
        <v>38994</v>
      </c>
      <c r="D20" t="s">
        <v>705</v>
      </c>
      <c r="E20" t="s">
        <v>591</v>
      </c>
      <c r="F20">
        <v>14.122999999999999</v>
      </c>
      <c r="H20">
        <f t="shared" si="0"/>
        <v>0</v>
      </c>
      <c r="I20">
        <v>0</v>
      </c>
      <c r="J20">
        <v>0</v>
      </c>
      <c r="K20" s="3">
        <v>0</v>
      </c>
    </row>
    <row r="21" spans="1:15" x14ac:dyDescent="0.3">
      <c r="A21" t="s">
        <v>636</v>
      </c>
      <c r="B21" s="1">
        <v>39088</v>
      </c>
      <c r="C21" s="1">
        <v>39092</v>
      </c>
      <c r="D21" t="s">
        <v>705</v>
      </c>
      <c r="E21" t="s">
        <v>156</v>
      </c>
      <c r="F21">
        <v>18</v>
      </c>
      <c r="G21">
        <v>11</v>
      </c>
      <c r="H21">
        <f t="shared" si="0"/>
        <v>0.61111111111111116</v>
      </c>
      <c r="I21">
        <f>11/F21</f>
        <v>0.61111111111111116</v>
      </c>
      <c r="J21">
        <f>1/F21</f>
        <v>5.5555555555555552E-2</v>
      </c>
      <c r="K21" s="3">
        <v>2</v>
      </c>
      <c r="L21" t="s">
        <v>343</v>
      </c>
      <c r="M21">
        <v>11</v>
      </c>
      <c r="N21" t="s">
        <v>345</v>
      </c>
      <c r="O21">
        <v>1</v>
      </c>
    </row>
    <row r="22" spans="1:15" x14ac:dyDescent="0.3">
      <c r="E22" t="s">
        <v>186</v>
      </c>
      <c r="F22">
        <f>SUM(F2:F21)</f>
        <v>368.31450000000001</v>
      </c>
      <c r="G22">
        <f>SUM(G2:G21)</f>
        <v>1092</v>
      </c>
      <c r="H22">
        <f t="shared" si="0"/>
        <v>2.9648574791380735</v>
      </c>
    </row>
    <row r="23" spans="1:15" x14ac:dyDescent="0.3">
      <c r="E23" t="s">
        <v>187</v>
      </c>
      <c r="F23">
        <f>F22/20</f>
        <v>18.415725000000002</v>
      </c>
      <c r="G23">
        <f>G22/F22</f>
        <v>2.9648574791380735</v>
      </c>
    </row>
    <row r="24" spans="1:15" x14ac:dyDescent="0.3">
      <c r="E24" t="s">
        <v>188</v>
      </c>
      <c r="F24">
        <f>STDEV(F2:F21)</f>
        <v>10.1399805107191</v>
      </c>
    </row>
    <row r="25" spans="1:15" x14ac:dyDescent="0.3">
      <c r="E25" t="s">
        <v>189</v>
      </c>
      <c r="F25">
        <f>F24/SQRT(20)</f>
        <v>2.2673685712490941</v>
      </c>
    </row>
    <row r="29" spans="1:15" x14ac:dyDescent="0.3">
      <c r="F29" t="s">
        <v>297</v>
      </c>
      <c r="G29" t="s">
        <v>484</v>
      </c>
    </row>
    <row r="30" spans="1:15" x14ac:dyDescent="0.3">
      <c r="E30" t="s">
        <v>441</v>
      </c>
      <c r="F30">
        <f>SUM(G2:G12)</f>
        <v>462</v>
      </c>
      <c r="G30">
        <f>SUM(G13:G18)</f>
        <v>619</v>
      </c>
    </row>
    <row r="31" spans="1:15" x14ac:dyDescent="0.3">
      <c r="E31" t="s">
        <v>257</v>
      </c>
      <c r="F31">
        <f>SUM(G2:G12)/SUM(F2:F12)</f>
        <v>2.304052089530876</v>
      </c>
      <c r="G31">
        <f>SUM(G13:G18)/SUM(F13:F18)</f>
        <v>5.1004348965328576</v>
      </c>
    </row>
    <row r="32" spans="1:15" x14ac:dyDescent="0.3">
      <c r="E32" t="s">
        <v>65</v>
      </c>
      <c r="F32">
        <f>STDEV(H2:H12)</f>
        <v>3.471699632707447</v>
      </c>
      <c r="G32">
        <f>STDEV(H13:H18)</f>
        <v>7.1893736928352263</v>
      </c>
    </row>
    <row r="33" spans="5:7" x14ac:dyDescent="0.3">
      <c r="E33" t="s">
        <v>67</v>
      </c>
      <c r="F33">
        <f>F32/SQRT(11)</f>
        <v>1.0467568242277505</v>
      </c>
      <c r="G33">
        <f>G32/SQRT(6)</f>
        <v>2.935049519605851</v>
      </c>
    </row>
    <row r="34" spans="5:7" x14ac:dyDescent="0.3">
      <c r="E34" t="s">
        <v>23</v>
      </c>
      <c r="F34">
        <f>SUM(O3,O5,Q2:Q3,M6:M8)/SUM(F2:F12)</f>
        <v>3.4909880144407213E-2</v>
      </c>
      <c r="G34">
        <f>SUM(O14:O16)/SUM(F13:F18)</f>
        <v>0.23071434103864299</v>
      </c>
    </row>
    <row r="35" spans="5:7" x14ac:dyDescent="0.3">
      <c r="E35" t="s">
        <v>552</v>
      </c>
      <c r="F35">
        <f>SUM(M2:M5,Q4,S2)/SUM(F2:F12)</f>
        <v>2.2292452035071464</v>
      </c>
      <c r="G35">
        <f>SUM(M13:M18,O13)/SUM(F13:F18)</f>
        <v>4.8697205554942151</v>
      </c>
    </row>
    <row r="36" spans="5:7" x14ac:dyDescent="0.3">
      <c r="E36" t="s">
        <v>384</v>
      </c>
      <c r="F36">
        <f>STDEV(J2:J12)</f>
        <v>6.3246866681915079E-2</v>
      </c>
      <c r="G36">
        <f>STDEV(J13:J18)</f>
        <v>0.39405612867653389</v>
      </c>
    </row>
    <row r="37" spans="5:7" x14ac:dyDescent="0.3">
      <c r="E37" t="s">
        <v>197</v>
      </c>
      <c r="F37">
        <f>F36/SQRT(11)</f>
        <v>1.9069647813594773E-2</v>
      </c>
      <c r="G37">
        <f>G36/SQRT(6)</f>
        <v>0.160872740879003</v>
      </c>
    </row>
    <row r="38" spans="5:7" x14ac:dyDescent="0.3">
      <c r="E38" t="s">
        <v>78</v>
      </c>
      <c r="F38">
        <f>STDEV(I2:I12)</f>
        <v>3.4216173793863969</v>
      </c>
      <c r="G38">
        <f>STDEV(I13:I18)</f>
        <v>7.245527682428559</v>
      </c>
    </row>
    <row r="39" spans="5:7" x14ac:dyDescent="0.3">
      <c r="E39" t="s">
        <v>383</v>
      </c>
      <c r="F39">
        <f>F38/SQRT(11)</f>
        <v>1.0316564566894364</v>
      </c>
      <c r="G39">
        <f>G38/SQRT(6)</f>
        <v>2.9579742898600547</v>
      </c>
    </row>
    <row r="40" spans="5:7" x14ac:dyDescent="0.3">
      <c r="E40" t="s">
        <v>24</v>
      </c>
      <c r="F40">
        <f>AVERAGE(H2:H5)</f>
        <v>5.8028542347115497</v>
      </c>
      <c r="G40">
        <f>AVERAGE(H13:H18)</f>
        <v>5.8452059840083921</v>
      </c>
    </row>
    <row r="41" spans="5:7" x14ac:dyDescent="0.3">
      <c r="E41" t="s">
        <v>184</v>
      </c>
      <c r="F41">
        <f>AVERAGE(H6:H12)</f>
        <v>6.683316683316684E-2</v>
      </c>
      <c r="G41" t="s">
        <v>185</v>
      </c>
    </row>
    <row r="42" spans="5:7" x14ac:dyDescent="0.3">
      <c r="E42" t="s">
        <v>103</v>
      </c>
      <c r="F42">
        <f>SUM(M2:M5)/SUM(F2:F12)</f>
        <v>1.0073993984528939</v>
      </c>
      <c r="G42">
        <f>SUM(M13:M18)/SUM(F13:F18)</f>
        <v>4.8532409597057402</v>
      </c>
    </row>
    <row r="43" spans="5:7" x14ac:dyDescent="0.3">
      <c r="E43" t="s">
        <v>104</v>
      </c>
      <c r="F43">
        <f>SUM(Q4,S2)/SUM(F2:F12)</f>
        <v>1.2218458050542524</v>
      </c>
      <c r="G43">
        <f>O13/SUM(F13:F18)</f>
        <v>1.6479595788474501E-2</v>
      </c>
    </row>
    <row r="44" spans="5:7" x14ac:dyDescent="0.3">
      <c r="E44" t="s">
        <v>294</v>
      </c>
      <c r="F44">
        <f>SUM(M7:M8,O5)/SUM(F2:F12)</f>
        <v>1.4961377204745949E-2</v>
      </c>
      <c r="G44">
        <f>SUM(O14:O16)/SUM(F13:F18)</f>
        <v>0.23071434103864299</v>
      </c>
    </row>
    <row r="45" spans="5:7" x14ac:dyDescent="0.3">
      <c r="E45" t="s">
        <v>295</v>
      </c>
      <c r="F45">
        <f>2/SUM(F2:F12)</f>
        <v>9.9742514698306327E-3</v>
      </c>
      <c r="G45">
        <v>0</v>
      </c>
    </row>
    <row r="46" spans="5:7" x14ac:dyDescent="0.3">
      <c r="E46" t="s">
        <v>296</v>
      </c>
      <c r="F46">
        <f>1/SUM(F2:F12)</f>
        <v>4.9871257349153163E-3</v>
      </c>
      <c r="G46">
        <v>0</v>
      </c>
    </row>
    <row r="47" spans="5:7" x14ac:dyDescent="0.3">
      <c r="E47" t="s">
        <v>102</v>
      </c>
      <c r="F47">
        <f>2/SUM(F2:F12)</f>
        <v>9.9742514698306327E-3</v>
      </c>
      <c r="G47">
        <v>0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B5" workbookViewId="0">
      <pane ySplit="1040" activePane="bottomLeft"/>
      <selection sqref="A1:XFD1048576"/>
      <selection pane="bottomLeft" activeCell="M15" sqref="M15"/>
    </sheetView>
  </sheetViews>
  <sheetFormatPr defaultColWidth="10.921875" defaultRowHeight="13.5" x14ac:dyDescent="0.3"/>
  <sheetData>
    <row r="1" spans="1:13" x14ac:dyDescent="0.3">
      <c r="A1" t="s">
        <v>681</v>
      </c>
      <c r="B1" t="s">
        <v>682</v>
      </c>
      <c r="C1" t="s">
        <v>250</v>
      </c>
      <c r="D1" t="s">
        <v>642</v>
      </c>
      <c r="E1" t="s">
        <v>251</v>
      </c>
      <c r="F1" t="s">
        <v>255</v>
      </c>
      <c r="G1" t="s">
        <v>256</v>
      </c>
      <c r="H1" t="s">
        <v>162</v>
      </c>
    </row>
    <row r="2" spans="1:13" x14ac:dyDescent="0.3">
      <c r="A2" t="s">
        <v>683</v>
      </c>
      <c r="B2" t="s">
        <v>491</v>
      </c>
      <c r="C2">
        <v>1</v>
      </c>
      <c r="D2">
        <v>1.9047619047619E-3</v>
      </c>
      <c r="E2">
        <v>0.01</v>
      </c>
      <c r="F2">
        <f>D2*454</f>
        <v>0.86476190476190262</v>
      </c>
      <c r="G2">
        <f t="shared" ref="G2:G28" si="0">(E2/F2)^2</f>
        <v>1.3372324322226387E-4</v>
      </c>
      <c r="H2">
        <f t="shared" ref="H2:H28" si="1">G2/F2</f>
        <v>1.5463590901253018E-4</v>
      </c>
    </row>
    <row r="3" spans="1:13" x14ac:dyDescent="0.3">
      <c r="A3" t="s">
        <v>683</v>
      </c>
      <c r="B3" t="s">
        <v>154</v>
      </c>
      <c r="C3">
        <v>2</v>
      </c>
      <c r="D3">
        <v>3.8095238095238095E-3</v>
      </c>
      <c r="E3">
        <v>0.01</v>
      </c>
      <c r="F3">
        <f t="shared" ref="F3:F28" si="2">D3*454</f>
        <v>1.7295238095238095</v>
      </c>
      <c r="G3">
        <f t="shared" si="0"/>
        <v>3.3430810805565805E-5</v>
      </c>
      <c r="H3">
        <f t="shared" si="1"/>
        <v>1.9329488626566133E-5</v>
      </c>
    </row>
    <row r="4" spans="1:13" x14ac:dyDescent="0.3">
      <c r="A4" t="s">
        <v>683</v>
      </c>
      <c r="B4" t="s">
        <v>485</v>
      </c>
      <c r="C4">
        <v>2</v>
      </c>
      <c r="D4">
        <v>3.8095238095238095E-3</v>
      </c>
      <c r="E4">
        <v>0.01</v>
      </c>
      <c r="F4">
        <f t="shared" si="2"/>
        <v>1.7295238095238095</v>
      </c>
      <c r="G4">
        <f t="shared" si="0"/>
        <v>3.3430810805565805E-5</v>
      </c>
      <c r="H4">
        <f t="shared" si="1"/>
        <v>1.9329488626566133E-5</v>
      </c>
    </row>
    <row r="5" spans="1:13" x14ac:dyDescent="0.3">
      <c r="A5" t="s">
        <v>683</v>
      </c>
      <c r="B5" t="s">
        <v>488</v>
      </c>
      <c r="C5">
        <v>2</v>
      </c>
      <c r="D5">
        <v>3.8095238095238095E-3</v>
      </c>
      <c r="E5">
        <v>0.01</v>
      </c>
      <c r="F5">
        <f t="shared" si="2"/>
        <v>1.7295238095238095</v>
      </c>
      <c r="G5">
        <f t="shared" si="0"/>
        <v>3.3430810805565805E-5</v>
      </c>
      <c r="H5">
        <f t="shared" si="1"/>
        <v>1.9329488626566133E-5</v>
      </c>
    </row>
    <row r="6" spans="1:13" x14ac:dyDescent="0.3">
      <c r="A6" t="s">
        <v>683</v>
      </c>
      <c r="B6" t="s">
        <v>492</v>
      </c>
      <c r="C6">
        <v>2</v>
      </c>
      <c r="D6">
        <v>3.8095238095238095E-3</v>
      </c>
      <c r="E6">
        <v>0.01</v>
      </c>
      <c r="F6">
        <f t="shared" si="2"/>
        <v>1.7295238095238095</v>
      </c>
      <c r="G6">
        <f t="shared" si="0"/>
        <v>3.3430810805565805E-5</v>
      </c>
      <c r="H6">
        <f t="shared" si="1"/>
        <v>1.9329488626566133E-5</v>
      </c>
    </row>
    <row r="7" spans="1:13" x14ac:dyDescent="0.3">
      <c r="A7" t="s">
        <v>683</v>
      </c>
      <c r="B7" t="s">
        <v>687</v>
      </c>
      <c r="C7">
        <v>2</v>
      </c>
      <c r="D7">
        <v>3.8095238095238095E-3</v>
      </c>
      <c r="E7">
        <v>0.01</v>
      </c>
      <c r="F7">
        <f t="shared" si="2"/>
        <v>1.7295238095238095</v>
      </c>
      <c r="G7">
        <f t="shared" si="0"/>
        <v>3.3430810805565805E-5</v>
      </c>
      <c r="H7">
        <f t="shared" si="1"/>
        <v>1.9329488626566133E-5</v>
      </c>
      <c r="K7" t="s">
        <v>13</v>
      </c>
      <c r="L7" t="s">
        <v>14</v>
      </c>
      <c r="M7" t="s">
        <v>717</v>
      </c>
    </row>
    <row r="8" spans="1:13" x14ac:dyDescent="0.3">
      <c r="A8" t="s">
        <v>683</v>
      </c>
      <c r="B8" t="s">
        <v>519</v>
      </c>
      <c r="C8">
        <v>3</v>
      </c>
      <c r="D8">
        <v>5.7142857142857143E-3</v>
      </c>
      <c r="E8">
        <v>0.01</v>
      </c>
      <c r="F8">
        <f t="shared" si="2"/>
        <v>2.5942857142857143</v>
      </c>
      <c r="G8">
        <f t="shared" si="0"/>
        <v>1.4858138135807022E-5</v>
      </c>
      <c r="H8">
        <f t="shared" si="1"/>
        <v>5.727255889352927E-6</v>
      </c>
      <c r="J8" t="s">
        <v>15</v>
      </c>
      <c r="K8">
        <f>202+839</f>
        <v>1041</v>
      </c>
      <c r="L8">
        <v>27</v>
      </c>
      <c r="M8" t="s">
        <v>714</v>
      </c>
    </row>
    <row r="9" spans="1:13" x14ac:dyDescent="0.3">
      <c r="A9" t="s">
        <v>683</v>
      </c>
      <c r="B9" t="s">
        <v>490</v>
      </c>
      <c r="C9">
        <v>3</v>
      </c>
      <c r="D9">
        <v>5.7142857142857143E-3</v>
      </c>
      <c r="E9">
        <v>0.01</v>
      </c>
      <c r="F9">
        <f t="shared" si="2"/>
        <v>2.5942857142857143</v>
      </c>
      <c r="G9">
        <f t="shared" si="0"/>
        <v>1.4858138135807022E-5</v>
      </c>
      <c r="H9">
        <f t="shared" si="1"/>
        <v>5.727255889352927E-6</v>
      </c>
      <c r="J9" t="s">
        <v>16</v>
      </c>
      <c r="K9">
        <f>245+2</f>
        <v>247</v>
      </c>
      <c r="L9">
        <v>3</v>
      </c>
      <c r="M9" t="s">
        <v>714</v>
      </c>
    </row>
    <row r="10" spans="1:13" x14ac:dyDescent="0.3">
      <c r="A10" t="s">
        <v>683</v>
      </c>
      <c r="B10" t="s">
        <v>518</v>
      </c>
      <c r="C10">
        <v>4</v>
      </c>
      <c r="D10">
        <v>7.619047619047619E-3</v>
      </c>
      <c r="E10">
        <v>0.01</v>
      </c>
      <c r="F10">
        <f t="shared" si="2"/>
        <v>3.4590476190476189</v>
      </c>
      <c r="G10">
        <f t="shared" si="0"/>
        <v>8.3577027013914512E-6</v>
      </c>
      <c r="H10">
        <f t="shared" si="1"/>
        <v>2.4161860783207667E-6</v>
      </c>
      <c r="J10" t="s">
        <v>17</v>
      </c>
      <c r="K10">
        <v>1</v>
      </c>
      <c r="L10">
        <v>5</v>
      </c>
      <c r="M10" t="s">
        <v>713</v>
      </c>
    </row>
    <row r="11" spans="1:13" x14ac:dyDescent="0.3">
      <c r="A11" t="s">
        <v>683</v>
      </c>
      <c r="B11" t="s">
        <v>489</v>
      </c>
      <c r="C11">
        <v>4</v>
      </c>
      <c r="D11">
        <v>7.619047619047619E-3</v>
      </c>
      <c r="E11">
        <v>0.01</v>
      </c>
      <c r="F11">
        <f t="shared" si="2"/>
        <v>3.4590476190476189</v>
      </c>
      <c r="G11">
        <f t="shared" si="0"/>
        <v>8.3577027013914512E-6</v>
      </c>
      <c r="H11">
        <f t="shared" si="1"/>
        <v>2.4161860783207667E-6</v>
      </c>
      <c r="J11" t="s">
        <v>18</v>
      </c>
      <c r="K11">
        <f>2+258</f>
        <v>260</v>
      </c>
      <c r="L11">
        <v>0</v>
      </c>
      <c r="M11" t="s">
        <v>713</v>
      </c>
    </row>
    <row r="12" spans="1:13" x14ac:dyDescent="0.3">
      <c r="A12" t="s">
        <v>683</v>
      </c>
      <c r="B12" t="s">
        <v>110</v>
      </c>
      <c r="C12">
        <v>5</v>
      </c>
      <c r="D12">
        <v>9.5238095238095247E-3</v>
      </c>
      <c r="E12">
        <v>0.01</v>
      </c>
      <c r="F12">
        <f t="shared" si="2"/>
        <v>4.3238095238095244</v>
      </c>
      <c r="G12">
        <f t="shared" si="0"/>
        <v>5.3489297288905255E-6</v>
      </c>
      <c r="H12">
        <f t="shared" si="1"/>
        <v>1.2370872721002315E-6</v>
      </c>
      <c r="J12" t="s">
        <v>19</v>
      </c>
      <c r="K12">
        <v>2</v>
      </c>
      <c r="L12">
        <v>11</v>
      </c>
      <c r="M12" t="s">
        <v>713</v>
      </c>
    </row>
    <row r="13" spans="1:13" x14ac:dyDescent="0.3">
      <c r="A13" t="s">
        <v>683</v>
      </c>
      <c r="B13" t="s">
        <v>686</v>
      </c>
      <c r="C13">
        <v>5</v>
      </c>
      <c r="D13">
        <v>9.5238095238095247E-3</v>
      </c>
      <c r="E13">
        <v>0.01</v>
      </c>
      <c r="F13">
        <f t="shared" si="2"/>
        <v>4.3238095238095244</v>
      </c>
      <c r="G13">
        <f t="shared" si="0"/>
        <v>5.3489297288905255E-6</v>
      </c>
      <c r="H13">
        <f t="shared" si="1"/>
        <v>1.2370872721002315E-6</v>
      </c>
      <c r="J13" t="s">
        <v>240</v>
      </c>
      <c r="K13">
        <v>13</v>
      </c>
      <c r="L13">
        <v>32</v>
      </c>
      <c r="M13" t="s">
        <v>713</v>
      </c>
    </row>
    <row r="14" spans="1:13" x14ac:dyDescent="0.3">
      <c r="A14" t="s">
        <v>683</v>
      </c>
      <c r="B14" t="s">
        <v>336</v>
      </c>
      <c r="C14">
        <v>6</v>
      </c>
      <c r="D14">
        <v>1.1428571428571429E-2</v>
      </c>
      <c r="E14">
        <v>0.01</v>
      </c>
      <c r="F14">
        <f t="shared" si="2"/>
        <v>5.1885714285714286</v>
      </c>
      <c r="G14">
        <f t="shared" si="0"/>
        <v>3.7145345339517554E-6</v>
      </c>
      <c r="H14">
        <f t="shared" si="1"/>
        <v>7.1590698616911588E-7</v>
      </c>
      <c r="J14" t="s">
        <v>241</v>
      </c>
      <c r="K14">
        <v>1</v>
      </c>
      <c r="L14">
        <v>0</v>
      </c>
      <c r="M14" t="s">
        <v>713</v>
      </c>
    </row>
    <row r="15" spans="1:13" x14ac:dyDescent="0.3">
      <c r="A15" t="s">
        <v>683</v>
      </c>
      <c r="B15" t="s">
        <v>109</v>
      </c>
      <c r="C15">
        <v>6</v>
      </c>
      <c r="D15">
        <v>1.1428571428571429E-2</v>
      </c>
      <c r="E15">
        <v>0.01</v>
      </c>
      <c r="F15">
        <f t="shared" si="2"/>
        <v>5.1885714285714286</v>
      </c>
      <c r="G15">
        <f t="shared" si="0"/>
        <v>3.7145345339517554E-6</v>
      </c>
      <c r="H15">
        <f t="shared" si="1"/>
        <v>7.1590698616911588E-7</v>
      </c>
    </row>
    <row r="16" spans="1:13" x14ac:dyDescent="0.3">
      <c r="A16" t="s">
        <v>683</v>
      </c>
      <c r="B16" t="s">
        <v>155</v>
      </c>
      <c r="C16">
        <v>7</v>
      </c>
      <c r="D16">
        <v>1.3333333333333334E-2</v>
      </c>
      <c r="E16">
        <v>0.01</v>
      </c>
      <c r="F16">
        <f t="shared" si="2"/>
        <v>6.0533333333333337</v>
      </c>
      <c r="G16">
        <f t="shared" si="0"/>
        <v>2.7290457800461875E-6</v>
      </c>
      <c r="H16">
        <f t="shared" si="1"/>
        <v>4.5083355397238778E-7</v>
      </c>
    </row>
    <row r="17" spans="1:11" x14ac:dyDescent="0.3">
      <c r="A17" t="s">
        <v>683</v>
      </c>
      <c r="B17" t="s">
        <v>516</v>
      </c>
      <c r="C17">
        <v>9</v>
      </c>
      <c r="D17">
        <v>1.7142857142857144E-2</v>
      </c>
      <c r="E17">
        <v>0.01</v>
      </c>
      <c r="F17">
        <f t="shared" si="2"/>
        <v>7.7828571428571429</v>
      </c>
      <c r="G17">
        <f t="shared" si="0"/>
        <v>1.6509042373118913E-6</v>
      </c>
      <c r="H17">
        <f t="shared" si="1"/>
        <v>2.1212058849455285E-7</v>
      </c>
      <c r="K17" t="s">
        <v>652</v>
      </c>
    </row>
    <row r="18" spans="1:11" x14ac:dyDescent="0.3">
      <c r="A18" t="s">
        <v>683</v>
      </c>
      <c r="B18" t="s">
        <v>486</v>
      </c>
      <c r="C18">
        <v>10</v>
      </c>
      <c r="D18">
        <v>1.9047619047619049E-2</v>
      </c>
      <c r="E18">
        <v>0.01</v>
      </c>
      <c r="F18">
        <f t="shared" si="2"/>
        <v>8.6476190476190489</v>
      </c>
      <c r="G18">
        <f t="shared" si="0"/>
        <v>1.3372324322226314E-6</v>
      </c>
      <c r="H18">
        <f t="shared" si="1"/>
        <v>1.5463590901252894E-7</v>
      </c>
      <c r="J18" t="s">
        <v>648</v>
      </c>
    </row>
    <row r="19" spans="1:11" x14ac:dyDescent="0.3">
      <c r="A19" t="s">
        <v>683</v>
      </c>
      <c r="B19" t="s">
        <v>493</v>
      </c>
      <c r="C19">
        <v>10</v>
      </c>
      <c r="D19">
        <v>1.9047619047619049E-2</v>
      </c>
      <c r="E19">
        <v>0.01</v>
      </c>
      <c r="F19">
        <f t="shared" si="2"/>
        <v>8.6476190476190489</v>
      </c>
      <c r="G19">
        <f t="shared" si="0"/>
        <v>1.3372324322226314E-6</v>
      </c>
      <c r="H19">
        <f t="shared" si="1"/>
        <v>1.5463590901252894E-7</v>
      </c>
      <c r="J19" t="s">
        <v>649</v>
      </c>
    </row>
    <row r="20" spans="1:11" x14ac:dyDescent="0.3">
      <c r="A20" t="s">
        <v>517</v>
      </c>
      <c r="B20" t="s">
        <v>200</v>
      </c>
      <c r="C20">
        <v>11</v>
      </c>
      <c r="D20">
        <v>2.0952380952380951E-2</v>
      </c>
      <c r="E20">
        <v>0.01</v>
      </c>
      <c r="F20">
        <f t="shared" si="2"/>
        <v>9.5123809523809513</v>
      </c>
      <c r="G20">
        <f t="shared" si="0"/>
        <v>1.1051507704319273E-6</v>
      </c>
      <c r="H20">
        <f t="shared" si="1"/>
        <v>1.1618024719198275E-7</v>
      </c>
      <c r="J20" t="s">
        <v>650</v>
      </c>
    </row>
    <row r="21" spans="1:11" x14ac:dyDescent="0.3">
      <c r="A21" t="s">
        <v>683</v>
      </c>
      <c r="B21" t="s">
        <v>487</v>
      </c>
      <c r="C21">
        <v>11</v>
      </c>
      <c r="D21">
        <v>2.0952380952380951E-2</v>
      </c>
      <c r="E21">
        <v>0.01</v>
      </c>
      <c r="F21">
        <f t="shared" si="2"/>
        <v>9.5123809523809513</v>
      </c>
      <c r="G21">
        <f t="shared" si="0"/>
        <v>1.1051507704319273E-6</v>
      </c>
      <c r="H21">
        <f t="shared" si="1"/>
        <v>1.1618024719198275E-7</v>
      </c>
      <c r="J21" t="s">
        <v>651</v>
      </c>
    </row>
    <row r="22" spans="1:11" x14ac:dyDescent="0.3">
      <c r="A22" t="s">
        <v>683</v>
      </c>
      <c r="B22" t="s">
        <v>153</v>
      </c>
      <c r="C22">
        <v>15</v>
      </c>
      <c r="D22">
        <v>2.8571428571428571E-2</v>
      </c>
      <c r="E22">
        <v>0.01</v>
      </c>
      <c r="F22">
        <f t="shared" si="2"/>
        <v>12.971428571428572</v>
      </c>
      <c r="G22">
        <f t="shared" si="0"/>
        <v>5.9432552543228085E-7</v>
      </c>
      <c r="H22">
        <f t="shared" si="1"/>
        <v>4.5818047114823415E-8</v>
      </c>
    </row>
    <row r="23" spans="1:11" x14ac:dyDescent="0.3">
      <c r="A23" t="s">
        <v>683</v>
      </c>
      <c r="B23" t="s">
        <v>521</v>
      </c>
      <c r="C23">
        <v>27</v>
      </c>
      <c r="D23">
        <v>5.1428571428571428E-2</v>
      </c>
      <c r="E23">
        <v>0.01</v>
      </c>
      <c r="F23">
        <f t="shared" si="2"/>
        <v>23.348571428571429</v>
      </c>
      <c r="G23">
        <f t="shared" si="0"/>
        <v>1.8343380414576569E-7</v>
      </c>
      <c r="H23">
        <f t="shared" si="1"/>
        <v>7.8563180923908464E-9</v>
      </c>
    </row>
    <row r="24" spans="1:11" x14ac:dyDescent="0.3">
      <c r="A24" t="s">
        <v>683</v>
      </c>
      <c r="B24" t="s">
        <v>515</v>
      </c>
      <c r="C24">
        <v>34</v>
      </c>
      <c r="D24">
        <v>6.4761904761904757E-2</v>
      </c>
      <c r="E24">
        <v>0.01</v>
      </c>
      <c r="F24">
        <f t="shared" si="2"/>
        <v>29.40190476190476</v>
      </c>
      <c r="G24">
        <f t="shared" si="0"/>
        <v>1.1567754604002009E-7</v>
      </c>
      <c r="H24">
        <f t="shared" si="1"/>
        <v>3.93435551120825E-9</v>
      </c>
    </row>
    <row r="25" spans="1:11" x14ac:dyDescent="0.3">
      <c r="A25" t="s">
        <v>683</v>
      </c>
      <c r="B25" t="s">
        <v>524</v>
      </c>
      <c r="C25">
        <f>52+16</f>
        <v>68</v>
      </c>
      <c r="D25">
        <v>0.12952380952380951</v>
      </c>
      <c r="E25">
        <v>0.01</v>
      </c>
      <c r="F25">
        <f t="shared" si="2"/>
        <v>58.80380952380952</v>
      </c>
      <c r="G25">
        <f t="shared" si="0"/>
        <v>2.8919386510005022E-8</v>
      </c>
      <c r="H25">
        <f t="shared" si="1"/>
        <v>4.9179443890103125E-10</v>
      </c>
    </row>
    <row r="26" spans="1:11" x14ac:dyDescent="0.3">
      <c r="A26" t="s">
        <v>683</v>
      </c>
      <c r="B26" t="s">
        <v>108</v>
      </c>
      <c r="C26">
        <f>46+26</f>
        <v>72</v>
      </c>
      <c r="D26">
        <v>0.13714285714285715</v>
      </c>
      <c r="E26">
        <v>0.01</v>
      </c>
      <c r="F26">
        <f t="shared" si="2"/>
        <v>62.262857142857143</v>
      </c>
      <c r="G26">
        <f t="shared" si="0"/>
        <v>2.5795378707998301E-8</v>
      </c>
      <c r="H26">
        <f t="shared" si="1"/>
        <v>4.1429802440342354E-10</v>
      </c>
    </row>
    <row r="27" spans="1:11" x14ac:dyDescent="0.3">
      <c r="A27" t="s">
        <v>683</v>
      </c>
      <c r="B27" t="s">
        <v>514</v>
      </c>
      <c r="C27">
        <f>50+47</f>
        <v>97</v>
      </c>
      <c r="D27">
        <v>0.18476190476190499</v>
      </c>
      <c r="E27">
        <v>0.01</v>
      </c>
      <c r="F27">
        <f t="shared" si="2"/>
        <v>83.881904761904863</v>
      </c>
      <c r="G27">
        <f t="shared" si="0"/>
        <v>1.4212269446515345E-8</v>
      </c>
      <c r="H27">
        <f t="shared" si="1"/>
        <v>1.6943188744767127E-10</v>
      </c>
    </row>
    <row r="28" spans="1:11" x14ac:dyDescent="0.3">
      <c r="A28" t="s">
        <v>522</v>
      </c>
      <c r="B28" t="s">
        <v>523</v>
      </c>
      <c r="C28">
        <f>70+37</f>
        <v>107</v>
      </c>
      <c r="D28">
        <v>0.2038095238095238</v>
      </c>
      <c r="E28">
        <v>0.01</v>
      </c>
      <c r="F28">
        <f t="shared" si="2"/>
        <v>92.529523809523809</v>
      </c>
      <c r="G28">
        <f t="shared" si="0"/>
        <v>1.1679905950062292E-8</v>
      </c>
      <c r="H28">
        <f t="shared" si="1"/>
        <v>1.2622896421801439E-10</v>
      </c>
    </row>
    <row r="29" spans="1:11" x14ac:dyDescent="0.3">
      <c r="A29" t="s">
        <v>683</v>
      </c>
      <c r="B29" t="s">
        <v>702</v>
      </c>
      <c r="C29">
        <v>0</v>
      </c>
      <c r="E29">
        <v>202</v>
      </c>
      <c r="F29">
        <v>0.01</v>
      </c>
      <c r="G29">
        <f t="shared" ref="G29:G33" si="3">(E29/F29)^2</f>
        <v>408040000</v>
      </c>
      <c r="H29">
        <f t="shared" ref="H29:H53" si="4">G29/F29</f>
        <v>40804000000</v>
      </c>
    </row>
    <row r="30" spans="1:11" x14ac:dyDescent="0.3">
      <c r="A30" t="s">
        <v>683</v>
      </c>
      <c r="B30" t="s">
        <v>252</v>
      </c>
      <c r="C30">
        <v>0</v>
      </c>
      <c r="E30">
        <f>129+116</f>
        <v>245</v>
      </c>
      <c r="F30">
        <v>0.01</v>
      </c>
      <c r="G30">
        <f t="shared" si="3"/>
        <v>600250000</v>
      </c>
      <c r="H30">
        <f t="shared" si="4"/>
        <v>60025000000</v>
      </c>
    </row>
    <row r="31" spans="1:11" x14ac:dyDescent="0.3">
      <c r="A31" t="s">
        <v>683</v>
      </c>
      <c r="B31" t="s">
        <v>688</v>
      </c>
      <c r="C31">
        <v>0</v>
      </c>
      <c r="E31">
        <v>1</v>
      </c>
      <c r="F31">
        <v>0.01</v>
      </c>
      <c r="G31">
        <f t="shared" si="3"/>
        <v>10000</v>
      </c>
      <c r="H31">
        <f t="shared" si="4"/>
        <v>1000000</v>
      </c>
    </row>
    <row r="32" spans="1:11" x14ac:dyDescent="0.3">
      <c r="A32" t="s">
        <v>683</v>
      </c>
      <c r="B32" t="s">
        <v>126</v>
      </c>
      <c r="C32">
        <v>0</v>
      </c>
      <c r="E32">
        <v>4</v>
      </c>
      <c r="F32">
        <v>0.01</v>
      </c>
      <c r="G32">
        <f t="shared" si="3"/>
        <v>160000</v>
      </c>
      <c r="H32">
        <f t="shared" si="4"/>
        <v>16000000</v>
      </c>
    </row>
    <row r="33" spans="1:9" x14ac:dyDescent="0.3">
      <c r="A33" t="s">
        <v>683</v>
      </c>
      <c r="B33" t="s">
        <v>253</v>
      </c>
      <c r="C33">
        <v>0</v>
      </c>
      <c r="E33">
        <v>2</v>
      </c>
      <c r="F33">
        <v>0.01</v>
      </c>
      <c r="G33">
        <f t="shared" si="3"/>
        <v>40000</v>
      </c>
      <c r="H33">
        <f t="shared" si="4"/>
        <v>4000000</v>
      </c>
      <c r="I33">
        <f>SUM(H2:H28)</f>
        <v>2.7273962152615626E-4</v>
      </c>
    </row>
    <row r="34" spans="1:9" x14ac:dyDescent="0.3">
      <c r="A34" t="s">
        <v>616</v>
      </c>
      <c r="B34" t="s">
        <v>520</v>
      </c>
      <c r="C34">
        <v>1</v>
      </c>
      <c r="D34">
        <v>3.663003663003663E-3</v>
      </c>
      <c r="F34">
        <f t="shared" ref="F34:F51" si="5">D34*1112</f>
        <v>4.073260073260073</v>
      </c>
      <c r="G34">
        <v>0</v>
      </c>
      <c r="H34">
        <f t="shared" ref="H34:H51" si="6">G34/F34</f>
        <v>0</v>
      </c>
    </row>
    <row r="35" spans="1:9" x14ac:dyDescent="0.3">
      <c r="A35" t="s">
        <v>616</v>
      </c>
      <c r="B35" t="s">
        <v>618</v>
      </c>
      <c r="C35">
        <v>1</v>
      </c>
      <c r="D35">
        <v>3.663003663003663E-3</v>
      </c>
      <c r="F35">
        <f t="shared" si="5"/>
        <v>4.073260073260073</v>
      </c>
      <c r="G35">
        <f>(E35/F35)^2</f>
        <v>0</v>
      </c>
      <c r="H35">
        <f t="shared" si="6"/>
        <v>0</v>
      </c>
    </row>
    <row r="36" spans="1:9" x14ac:dyDescent="0.3">
      <c r="A36" t="s">
        <v>616</v>
      </c>
      <c r="B36" t="s">
        <v>249</v>
      </c>
      <c r="C36">
        <v>1</v>
      </c>
      <c r="D36">
        <v>3.663003663003663E-3</v>
      </c>
      <c r="F36">
        <f t="shared" si="5"/>
        <v>4.073260073260073</v>
      </c>
      <c r="G36">
        <f>(E36/F36)^2</f>
        <v>0</v>
      </c>
      <c r="H36">
        <f t="shared" si="6"/>
        <v>0</v>
      </c>
    </row>
    <row r="37" spans="1:9" x14ac:dyDescent="0.3">
      <c r="A37" t="s">
        <v>616</v>
      </c>
      <c r="B37" t="s">
        <v>513</v>
      </c>
      <c r="C37">
        <v>2</v>
      </c>
      <c r="D37">
        <v>7.326007326007326E-3</v>
      </c>
      <c r="F37">
        <f t="shared" si="5"/>
        <v>8.146520146520146</v>
      </c>
      <c r="G37">
        <f>(E37/F37)^2</f>
        <v>0</v>
      </c>
      <c r="H37">
        <f t="shared" si="6"/>
        <v>0</v>
      </c>
    </row>
    <row r="38" spans="1:9" x14ac:dyDescent="0.3">
      <c r="A38" t="s">
        <v>616</v>
      </c>
      <c r="B38" t="s">
        <v>490</v>
      </c>
      <c r="C38">
        <v>2</v>
      </c>
      <c r="D38">
        <v>7.326007326007326E-3</v>
      </c>
      <c r="F38">
        <f t="shared" si="5"/>
        <v>8.146520146520146</v>
      </c>
      <c r="G38">
        <f>(E38/F38)^2</f>
        <v>0</v>
      </c>
      <c r="H38">
        <f t="shared" si="6"/>
        <v>0</v>
      </c>
    </row>
    <row r="39" spans="1:9" x14ac:dyDescent="0.3">
      <c r="A39" t="s">
        <v>616</v>
      </c>
      <c r="B39" t="s">
        <v>617</v>
      </c>
      <c r="C39">
        <v>3</v>
      </c>
      <c r="D39">
        <v>1.098901098901099E-2</v>
      </c>
      <c r="E39">
        <v>2</v>
      </c>
      <c r="F39">
        <f t="shared" si="5"/>
        <v>12.219780219780221</v>
      </c>
      <c r="G39">
        <f>(E39/F39)^2</f>
        <v>2.6787562755550949E-2</v>
      </c>
      <c r="H39">
        <f t="shared" si="6"/>
        <v>2.1921476715423887E-3</v>
      </c>
    </row>
    <row r="40" spans="1:9" x14ac:dyDescent="0.3">
      <c r="A40" t="s">
        <v>616</v>
      </c>
      <c r="B40" t="s">
        <v>688</v>
      </c>
      <c r="C40">
        <v>5</v>
      </c>
      <c r="D40">
        <v>1.8315018315018316E-2</v>
      </c>
      <c r="F40">
        <f t="shared" si="5"/>
        <v>20.366300366300369</v>
      </c>
      <c r="G40">
        <v>0</v>
      </c>
      <c r="H40">
        <f t="shared" si="6"/>
        <v>0</v>
      </c>
    </row>
    <row r="41" spans="1:9" x14ac:dyDescent="0.3">
      <c r="A41" t="s">
        <v>616</v>
      </c>
      <c r="B41" t="s">
        <v>523</v>
      </c>
      <c r="C41">
        <v>6</v>
      </c>
      <c r="D41">
        <v>2.197802197802198E-2</v>
      </c>
      <c r="F41">
        <f t="shared" si="5"/>
        <v>24.439560439560442</v>
      </c>
      <c r="G41">
        <f t="shared" ref="G41:G49" si="7">(E41/F41)^2</f>
        <v>0</v>
      </c>
      <c r="H41">
        <f t="shared" si="6"/>
        <v>0</v>
      </c>
    </row>
    <row r="42" spans="1:9" x14ac:dyDescent="0.3">
      <c r="A42" t="s">
        <v>616</v>
      </c>
      <c r="B42" t="s">
        <v>619</v>
      </c>
      <c r="C42">
        <v>6</v>
      </c>
      <c r="D42">
        <v>2.197802197802198E-2</v>
      </c>
      <c r="F42">
        <f t="shared" si="5"/>
        <v>24.439560439560442</v>
      </c>
      <c r="G42">
        <f t="shared" si="7"/>
        <v>0</v>
      </c>
      <c r="H42">
        <f t="shared" si="6"/>
        <v>0</v>
      </c>
    </row>
    <row r="43" spans="1:9" x14ac:dyDescent="0.3">
      <c r="A43" t="s">
        <v>616</v>
      </c>
      <c r="B43" t="s">
        <v>153</v>
      </c>
      <c r="C43">
        <v>6</v>
      </c>
      <c r="D43">
        <v>2.197802197802198E-2</v>
      </c>
      <c r="F43">
        <f t="shared" si="5"/>
        <v>24.439560439560442</v>
      </c>
      <c r="G43">
        <f t="shared" si="7"/>
        <v>0</v>
      </c>
      <c r="H43">
        <f t="shared" si="6"/>
        <v>0</v>
      </c>
    </row>
    <row r="44" spans="1:9" x14ac:dyDescent="0.3">
      <c r="A44" t="s">
        <v>616</v>
      </c>
      <c r="B44" t="s">
        <v>248</v>
      </c>
      <c r="C44">
        <v>8</v>
      </c>
      <c r="D44">
        <v>2.9304029304029304E-2</v>
      </c>
      <c r="F44">
        <f t="shared" si="5"/>
        <v>32.586080586080584</v>
      </c>
      <c r="G44">
        <f t="shared" si="7"/>
        <v>0</v>
      </c>
      <c r="H44">
        <f t="shared" si="6"/>
        <v>0</v>
      </c>
    </row>
    <row r="45" spans="1:9" x14ac:dyDescent="0.3">
      <c r="A45" t="s">
        <v>616</v>
      </c>
      <c r="B45" t="s">
        <v>524</v>
      </c>
      <c r="C45">
        <v>9</v>
      </c>
      <c r="D45">
        <v>3.2967032967032968E-2</v>
      </c>
      <c r="F45">
        <f t="shared" si="5"/>
        <v>36.659340659340657</v>
      </c>
      <c r="G45">
        <f t="shared" si="7"/>
        <v>0</v>
      </c>
      <c r="H45">
        <f t="shared" si="6"/>
        <v>0</v>
      </c>
    </row>
    <row r="46" spans="1:9" x14ac:dyDescent="0.3">
      <c r="A46" t="s">
        <v>616</v>
      </c>
      <c r="B46" t="s">
        <v>689</v>
      </c>
      <c r="C46">
        <v>26</v>
      </c>
      <c r="D46">
        <v>9.5238095238095233E-2</v>
      </c>
      <c r="F46">
        <f t="shared" si="5"/>
        <v>105.9047619047619</v>
      </c>
      <c r="G46">
        <f t="shared" si="7"/>
        <v>0</v>
      </c>
      <c r="H46">
        <f t="shared" si="6"/>
        <v>0</v>
      </c>
    </row>
    <row r="47" spans="1:9" x14ac:dyDescent="0.3">
      <c r="A47" t="s">
        <v>616</v>
      </c>
      <c r="B47" t="s">
        <v>489</v>
      </c>
      <c r="C47">
        <f>9+17</f>
        <v>26</v>
      </c>
      <c r="D47">
        <v>9.5238095238095233E-2</v>
      </c>
      <c r="F47">
        <f t="shared" si="5"/>
        <v>105.9047619047619</v>
      </c>
      <c r="G47">
        <f t="shared" si="7"/>
        <v>0</v>
      </c>
      <c r="H47">
        <f t="shared" si="6"/>
        <v>0</v>
      </c>
    </row>
    <row r="48" spans="1:9" x14ac:dyDescent="0.3">
      <c r="A48" t="s">
        <v>616</v>
      </c>
      <c r="B48" t="s">
        <v>702</v>
      </c>
      <c r="C48">
        <f>9+18</f>
        <v>27</v>
      </c>
      <c r="D48">
        <v>9.8901098901098897E-2</v>
      </c>
      <c r="E48">
        <v>839</v>
      </c>
      <c r="F48">
        <f t="shared" si="5"/>
        <v>109.97802197802197</v>
      </c>
      <c r="G48">
        <f t="shared" si="7"/>
        <v>58.198543093982046</v>
      </c>
      <c r="H48">
        <f t="shared" si="6"/>
        <v>0.5291833954388856</v>
      </c>
    </row>
    <row r="49" spans="1:9" x14ac:dyDescent="0.3">
      <c r="A49" t="s">
        <v>616</v>
      </c>
      <c r="B49" t="s">
        <v>485</v>
      </c>
      <c r="C49">
        <f>12+20</f>
        <v>32</v>
      </c>
      <c r="D49">
        <v>0.11721611721611722</v>
      </c>
      <c r="E49">
        <v>13</v>
      </c>
      <c r="F49">
        <f t="shared" si="5"/>
        <v>130.34432234432234</v>
      </c>
      <c r="G49">
        <f t="shared" si="7"/>
        <v>9.9472370486311055E-3</v>
      </c>
      <c r="H49">
        <f t="shared" si="6"/>
        <v>7.631507740209903E-5</v>
      </c>
    </row>
    <row r="50" spans="1:9" x14ac:dyDescent="0.3">
      <c r="A50" t="s">
        <v>616</v>
      </c>
      <c r="B50" t="s">
        <v>684</v>
      </c>
      <c r="C50">
        <f>28+17</f>
        <v>45</v>
      </c>
      <c r="D50">
        <v>0.16483516483516483</v>
      </c>
      <c r="F50">
        <f t="shared" si="5"/>
        <v>183.2967032967033</v>
      </c>
      <c r="H50">
        <f t="shared" si="6"/>
        <v>0</v>
      </c>
    </row>
    <row r="51" spans="1:9" x14ac:dyDescent="0.3">
      <c r="A51" t="s">
        <v>616</v>
      </c>
      <c r="B51" t="s">
        <v>108</v>
      </c>
      <c r="C51">
        <f>42+20</f>
        <v>62</v>
      </c>
      <c r="D51">
        <v>0.2271062271062271</v>
      </c>
      <c r="F51">
        <f t="shared" si="5"/>
        <v>252.54212454212453</v>
      </c>
      <c r="G51">
        <f>(E51/F51)^2</f>
        <v>0</v>
      </c>
      <c r="H51">
        <f t="shared" si="6"/>
        <v>0</v>
      </c>
    </row>
    <row r="52" spans="1:9" x14ac:dyDescent="0.3">
      <c r="A52" t="s">
        <v>616</v>
      </c>
      <c r="B52" t="s">
        <v>126</v>
      </c>
      <c r="C52">
        <v>0</v>
      </c>
      <c r="D52">
        <v>1.8315018315018316E-2</v>
      </c>
      <c r="E52">
        <v>258</v>
      </c>
      <c r="F52">
        <f t="shared" ref="F52:F53" si="8">D52*1112</f>
        <v>20.366300366300369</v>
      </c>
      <c r="G52">
        <f t="shared" ref="G52" si="9">(E52/F52)^2</f>
        <v>160.47785945344441</v>
      </c>
      <c r="H52">
        <f t="shared" si="4"/>
        <v>7.8795783508615678</v>
      </c>
    </row>
    <row r="53" spans="1:9" x14ac:dyDescent="0.3">
      <c r="A53" t="s">
        <v>616</v>
      </c>
      <c r="B53" t="s">
        <v>254</v>
      </c>
      <c r="C53">
        <v>0</v>
      </c>
      <c r="D53">
        <v>0</v>
      </c>
      <c r="E53">
        <v>1</v>
      </c>
      <c r="F53">
        <f t="shared" si="8"/>
        <v>0</v>
      </c>
      <c r="G53">
        <v>0</v>
      </c>
      <c r="H53" t="e">
        <f t="shared" si="4"/>
        <v>#DIV/0!</v>
      </c>
      <c r="I53">
        <f>SUM(H34:H52)</f>
        <v>8.4110302090493985</v>
      </c>
    </row>
    <row r="54" spans="1:9" x14ac:dyDescent="0.3">
      <c r="F54">
        <f>D54*1112</f>
        <v>0</v>
      </c>
    </row>
    <row r="55" spans="1:9" x14ac:dyDescent="0.3">
      <c r="A55" t="s">
        <v>169</v>
      </c>
      <c r="B55" t="s">
        <v>258</v>
      </c>
      <c r="C55">
        <v>1</v>
      </c>
      <c r="D55">
        <f t="shared" ref="D55:D76" si="10">C55/248</f>
        <v>4.0322580645161289E-3</v>
      </c>
    </row>
    <row r="56" spans="1:9" x14ac:dyDescent="0.3">
      <c r="A56" t="s">
        <v>169</v>
      </c>
      <c r="B56" t="s">
        <v>262</v>
      </c>
      <c r="C56">
        <v>1</v>
      </c>
      <c r="D56">
        <f t="shared" si="10"/>
        <v>4.0322580645161289E-3</v>
      </c>
    </row>
    <row r="57" spans="1:9" x14ac:dyDescent="0.3">
      <c r="A57" t="s">
        <v>169</v>
      </c>
      <c r="B57" t="s">
        <v>124</v>
      </c>
      <c r="C57">
        <v>1</v>
      </c>
      <c r="D57">
        <f t="shared" si="10"/>
        <v>4.0322580645161289E-3</v>
      </c>
    </row>
    <row r="58" spans="1:9" x14ac:dyDescent="0.3">
      <c r="A58" t="s">
        <v>169</v>
      </c>
      <c r="B58" t="s">
        <v>277</v>
      </c>
      <c r="C58">
        <v>1</v>
      </c>
      <c r="D58">
        <f t="shared" si="10"/>
        <v>4.0322580645161289E-3</v>
      </c>
    </row>
    <row r="59" spans="1:9" x14ac:dyDescent="0.3">
      <c r="A59" t="s">
        <v>169</v>
      </c>
      <c r="B59" t="s">
        <v>282</v>
      </c>
      <c r="C59">
        <v>1</v>
      </c>
      <c r="D59">
        <f t="shared" si="10"/>
        <v>4.0322580645161289E-3</v>
      </c>
    </row>
    <row r="60" spans="1:9" x14ac:dyDescent="0.3">
      <c r="A60" t="s">
        <v>169</v>
      </c>
      <c r="B60" t="s">
        <v>291</v>
      </c>
      <c r="C60">
        <v>1</v>
      </c>
      <c r="D60">
        <f t="shared" si="10"/>
        <v>4.0322580645161289E-3</v>
      </c>
    </row>
    <row r="61" spans="1:9" x14ac:dyDescent="0.3">
      <c r="A61" t="s">
        <v>643</v>
      </c>
      <c r="B61" t="s">
        <v>166</v>
      </c>
      <c r="C61">
        <v>2</v>
      </c>
      <c r="D61">
        <f t="shared" si="10"/>
        <v>8.0645161290322578E-3</v>
      </c>
      <c r="E61">
        <v>67</v>
      </c>
    </row>
    <row r="62" spans="1:9" x14ac:dyDescent="0.3">
      <c r="A62" t="s">
        <v>169</v>
      </c>
      <c r="B62" t="s">
        <v>278</v>
      </c>
      <c r="C62">
        <v>2</v>
      </c>
      <c r="D62">
        <f t="shared" si="10"/>
        <v>8.0645161290322578E-3</v>
      </c>
    </row>
    <row r="63" spans="1:9" x14ac:dyDescent="0.3">
      <c r="A63" t="s">
        <v>169</v>
      </c>
      <c r="B63" t="s">
        <v>283</v>
      </c>
      <c r="C63">
        <v>3</v>
      </c>
      <c r="D63">
        <f t="shared" si="10"/>
        <v>1.2096774193548387E-2</v>
      </c>
    </row>
    <row r="64" spans="1:9" x14ac:dyDescent="0.3">
      <c r="A64" t="s">
        <v>169</v>
      </c>
      <c r="B64" t="s">
        <v>172</v>
      </c>
      <c r="C64">
        <v>4</v>
      </c>
      <c r="D64">
        <f t="shared" si="10"/>
        <v>1.6129032258064516E-2</v>
      </c>
    </row>
    <row r="65" spans="1:4" x14ac:dyDescent="0.3">
      <c r="A65" t="s">
        <v>169</v>
      </c>
      <c r="B65" t="s">
        <v>442</v>
      </c>
      <c r="C65">
        <v>4</v>
      </c>
      <c r="D65">
        <f t="shared" si="10"/>
        <v>1.6129032258064516E-2</v>
      </c>
    </row>
    <row r="66" spans="1:4" x14ac:dyDescent="0.3">
      <c r="A66" t="s">
        <v>169</v>
      </c>
      <c r="B66" t="s">
        <v>284</v>
      </c>
      <c r="C66">
        <v>4</v>
      </c>
      <c r="D66">
        <f t="shared" si="10"/>
        <v>1.6129032258064516E-2</v>
      </c>
    </row>
    <row r="67" spans="1:4" x14ac:dyDescent="0.3">
      <c r="A67" t="s">
        <v>169</v>
      </c>
      <c r="B67" t="s">
        <v>260</v>
      </c>
      <c r="C67">
        <v>5</v>
      </c>
      <c r="D67">
        <f t="shared" si="10"/>
        <v>2.0161290322580645E-2</v>
      </c>
    </row>
    <row r="68" spans="1:4" x14ac:dyDescent="0.3">
      <c r="A68" t="s">
        <v>169</v>
      </c>
      <c r="B68" t="s">
        <v>275</v>
      </c>
      <c r="C68">
        <v>5</v>
      </c>
      <c r="D68">
        <f t="shared" si="10"/>
        <v>2.0161290322580645E-2</v>
      </c>
    </row>
    <row r="69" spans="1:4" x14ac:dyDescent="0.3">
      <c r="A69" t="s">
        <v>169</v>
      </c>
      <c r="B69" t="s">
        <v>281</v>
      </c>
      <c r="C69">
        <v>7</v>
      </c>
      <c r="D69">
        <f t="shared" si="10"/>
        <v>2.8225806451612902E-2</v>
      </c>
    </row>
    <row r="70" spans="1:4" x14ac:dyDescent="0.3">
      <c r="A70" t="s">
        <v>169</v>
      </c>
      <c r="B70" t="s">
        <v>261</v>
      </c>
      <c r="C70">
        <v>14</v>
      </c>
      <c r="D70">
        <f t="shared" si="10"/>
        <v>5.6451612903225805E-2</v>
      </c>
    </row>
    <row r="71" spans="1:4" x14ac:dyDescent="0.3">
      <c r="A71" t="s">
        <v>169</v>
      </c>
      <c r="B71" t="s">
        <v>263</v>
      </c>
      <c r="C71">
        <v>16</v>
      </c>
      <c r="D71">
        <f t="shared" si="10"/>
        <v>6.4516129032258063E-2</v>
      </c>
    </row>
    <row r="72" spans="1:4" x14ac:dyDescent="0.3">
      <c r="A72" t="s">
        <v>169</v>
      </c>
      <c r="B72" t="s">
        <v>276</v>
      </c>
      <c r="C72">
        <v>21</v>
      </c>
      <c r="D72">
        <f t="shared" si="10"/>
        <v>8.4677419354838704E-2</v>
      </c>
    </row>
    <row r="73" spans="1:4" x14ac:dyDescent="0.3">
      <c r="A73" t="s">
        <v>169</v>
      </c>
      <c r="B73" t="s">
        <v>259</v>
      </c>
      <c r="C73">
        <v>28</v>
      </c>
      <c r="D73">
        <f t="shared" si="10"/>
        <v>0.11290322580645161</v>
      </c>
    </row>
    <row r="74" spans="1:4" x14ac:dyDescent="0.3">
      <c r="A74" t="s">
        <v>167</v>
      </c>
      <c r="B74" t="s">
        <v>168</v>
      </c>
      <c r="C74">
        <v>34</v>
      </c>
      <c r="D74">
        <f t="shared" si="10"/>
        <v>0.13709677419354838</v>
      </c>
    </row>
    <row r="75" spans="1:4" x14ac:dyDescent="0.3">
      <c r="A75" t="s">
        <v>169</v>
      </c>
      <c r="B75" t="s">
        <v>171</v>
      </c>
      <c r="C75">
        <v>38</v>
      </c>
      <c r="D75">
        <f t="shared" si="10"/>
        <v>0.15322580645161291</v>
      </c>
    </row>
    <row r="76" spans="1:4" x14ac:dyDescent="0.3">
      <c r="A76" t="s">
        <v>169</v>
      </c>
      <c r="B76" t="s">
        <v>125</v>
      </c>
      <c r="C76">
        <v>55</v>
      </c>
      <c r="D76">
        <f t="shared" si="10"/>
        <v>0.22177419354838709</v>
      </c>
    </row>
    <row r="77" spans="1:4" x14ac:dyDescent="0.3">
      <c r="A77" t="s">
        <v>558</v>
      </c>
      <c r="B77" t="s">
        <v>559</v>
      </c>
      <c r="C77">
        <v>1</v>
      </c>
      <c r="D77">
        <f t="shared" ref="D77:D84" si="11">C77/368</f>
        <v>2.717391304347826E-3</v>
      </c>
    </row>
    <row r="78" spans="1:4" x14ac:dyDescent="0.3">
      <c r="A78" t="s">
        <v>292</v>
      </c>
      <c r="B78" t="s">
        <v>644</v>
      </c>
      <c r="C78">
        <v>1</v>
      </c>
      <c r="D78">
        <f t="shared" si="11"/>
        <v>2.717391304347826E-3</v>
      </c>
    </row>
    <row r="79" spans="1:4" x14ac:dyDescent="0.3">
      <c r="A79" t="s">
        <v>560</v>
      </c>
      <c r="B79" t="s">
        <v>561</v>
      </c>
      <c r="C79">
        <v>1</v>
      </c>
      <c r="D79">
        <f t="shared" si="11"/>
        <v>2.717391304347826E-3</v>
      </c>
    </row>
    <row r="80" spans="1:4" x14ac:dyDescent="0.3">
      <c r="A80" t="s">
        <v>560</v>
      </c>
      <c r="B80" t="s">
        <v>562</v>
      </c>
      <c r="C80">
        <v>1</v>
      </c>
      <c r="D80">
        <f t="shared" si="11"/>
        <v>2.717391304347826E-3</v>
      </c>
    </row>
    <row r="81" spans="1:5" x14ac:dyDescent="0.3">
      <c r="A81" t="s">
        <v>292</v>
      </c>
      <c r="B81" t="s">
        <v>564</v>
      </c>
      <c r="C81">
        <v>1</v>
      </c>
      <c r="D81">
        <f t="shared" si="11"/>
        <v>2.717391304347826E-3</v>
      </c>
    </row>
    <row r="82" spans="1:5" x14ac:dyDescent="0.3">
      <c r="A82" t="s">
        <v>575</v>
      </c>
      <c r="B82" t="s">
        <v>576</v>
      </c>
      <c r="C82">
        <v>1</v>
      </c>
      <c r="D82">
        <f t="shared" si="11"/>
        <v>2.717391304347826E-3</v>
      </c>
    </row>
    <row r="83" spans="1:5" x14ac:dyDescent="0.3">
      <c r="A83" t="s">
        <v>685</v>
      </c>
      <c r="B83" t="s">
        <v>548</v>
      </c>
      <c r="C83">
        <v>1</v>
      </c>
      <c r="D83">
        <f t="shared" si="11"/>
        <v>2.717391304347826E-3</v>
      </c>
    </row>
    <row r="84" spans="1:5" x14ac:dyDescent="0.3">
      <c r="A84" t="s">
        <v>292</v>
      </c>
      <c r="B84" t="s">
        <v>646</v>
      </c>
      <c r="C84">
        <v>1</v>
      </c>
      <c r="D84">
        <f t="shared" si="11"/>
        <v>2.717391304347826E-3</v>
      </c>
    </row>
    <row r="85" spans="1:5" x14ac:dyDescent="0.3">
      <c r="A85" t="s">
        <v>292</v>
      </c>
      <c r="B85" t="s">
        <v>551</v>
      </c>
      <c r="C85">
        <v>0</v>
      </c>
      <c r="D85">
        <v>0</v>
      </c>
      <c r="E85">
        <v>1</v>
      </c>
    </row>
    <row r="86" spans="1:5" x14ac:dyDescent="0.3">
      <c r="A86" t="s">
        <v>292</v>
      </c>
      <c r="B86" t="s">
        <v>565</v>
      </c>
      <c r="C86">
        <v>2</v>
      </c>
      <c r="D86">
        <f t="shared" ref="D86:D93" si="12">C86/368</f>
        <v>5.434782608695652E-3</v>
      </c>
    </row>
    <row r="87" spans="1:5" x14ac:dyDescent="0.3">
      <c r="A87" t="s">
        <v>292</v>
      </c>
      <c r="B87" t="s">
        <v>102</v>
      </c>
      <c r="C87">
        <v>2</v>
      </c>
      <c r="D87">
        <f t="shared" si="12"/>
        <v>5.434782608695652E-3</v>
      </c>
    </row>
    <row r="88" spans="1:5" x14ac:dyDescent="0.3">
      <c r="A88" t="s">
        <v>572</v>
      </c>
      <c r="B88" t="s">
        <v>573</v>
      </c>
      <c r="C88">
        <v>3</v>
      </c>
      <c r="D88">
        <f t="shared" si="12"/>
        <v>8.152173913043478E-3</v>
      </c>
    </row>
    <row r="89" spans="1:5" x14ac:dyDescent="0.3">
      <c r="A89" t="s">
        <v>292</v>
      </c>
      <c r="B89" t="s">
        <v>293</v>
      </c>
      <c r="C89">
        <v>4</v>
      </c>
      <c r="D89">
        <f t="shared" si="12"/>
        <v>1.0869565217391304E-2</v>
      </c>
    </row>
    <row r="90" spans="1:5" x14ac:dyDescent="0.3">
      <c r="A90" t="s">
        <v>292</v>
      </c>
      <c r="B90" t="s">
        <v>170</v>
      </c>
      <c r="C90">
        <v>4</v>
      </c>
      <c r="D90">
        <f t="shared" si="12"/>
        <v>1.0869565217391304E-2</v>
      </c>
    </row>
    <row r="91" spans="1:5" x14ac:dyDescent="0.3">
      <c r="A91" t="s">
        <v>292</v>
      </c>
      <c r="B91" t="s">
        <v>647</v>
      </c>
      <c r="C91">
        <v>4</v>
      </c>
      <c r="D91">
        <f t="shared" si="12"/>
        <v>1.0869565217391304E-2</v>
      </c>
    </row>
    <row r="92" spans="1:5" x14ac:dyDescent="0.3">
      <c r="A92" t="s">
        <v>566</v>
      </c>
      <c r="B92" t="s">
        <v>567</v>
      </c>
      <c r="C92">
        <v>6</v>
      </c>
      <c r="D92">
        <f t="shared" si="12"/>
        <v>1.6304347826086956E-2</v>
      </c>
    </row>
    <row r="93" spans="1:5" x14ac:dyDescent="0.3">
      <c r="A93" t="s">
        <v>554</v>
      </c>
      <c r="B93" t="s">
        <v>555</v>
      </c>
      <c r="C93">
        <v>8</v>
      </c>
      <c r="D93">
        <f t="shared" si="12"/>
        <v>2.1739130434782608E-2</v>
      </c>
    </row>
    <row r="94" spans="1:5" x14ac:dyDescent="0.3">
      <c r="A94" t="s">
        <v>292</v>
      </c>
      <c r="B94" t="s">
        <v>550</v>
      </c>
      <c r="C94">
        <v>0</v>
      </c>
      <c r="D94">
        <v>0</v>
      </c>
      <c r="E94">
        <v>11</v>
      </c>
    </row>
    <row r="95" spans="1:5" x14ac:dyDescent="0.3">
      <c r="A95" t="s">
        <v>556</v>
      </c>
      <c r="B95" t="s">
        <v>557</v>
      </c>
      <c r="C95">
        <v>14</v>
      </c>
      <c r="D95">
        <f t="shared" ref="D95:D102" si="13">C95/368</f>
        <v>3.8043478260869568E-2</v>
      </c>
    </row>
    <row r="96" spans="1:5" x14ac:dyDescent="0.3">
      <c r="A96" t="s">
        <v>570</v>
      </c>
      <c r="B96" t="s">
        <v>549</v>
      </c>
      <c r="C96">
        <v>22</v>
      </c>
      <c r="D96">
        <f t="shared" si="13"/>
        <v>5.9782608695652176E-2</v>
      </c>
    </row>
    <row r="97" spans="1:4" x14ac:dyDescent="0.3">
      <c r="A97" t="s">
        <v>568</v>
      </c>
      <c r="B97" t="s">
        <v>569</v>
      </c>
      <c r="C97">
        <v>26</v>
      </c>
      <c r="D97">
        <f t="shared" si="13"/>
        <v>7.0652173913043473E-2</v>
      </c>
    </row>
    <row r="98" spans="1:4" x14ac:dyDescent="0.3">
      <c r="A98" t="s">
        <v>572</v>
      </c>
      <c r="B98" t="s">
        <v>574</v>
      </c>
      <c r="C98">
        <v>28</v>
      </c>
      <c r="D98">
        <f t="shared" si="13"/>
        <v>7.6086956521739135E-2</v>
      </c>
    </row>
    <row r="99" spans="1:4" x14ac:dyDescent="0.3">
      <c r="A99" t="s">
        <v>570</v>
      </c>
      <c r="B99" t="s">
        <v>571</v>
      </c>
      <c r="C99">
        <v>32</v>
      </c>
      <c r="D99">
        <f t="shared" si="13"/>
        <v>8.6956521739130432E-2</v>
      </c>
    </row>
    <row r="100" spans="1:4" x14ac:dyDescent="0.3">
      <c r="A100" t="s">
        <v>292</v>
      </c>
      <c r="B100" t="s">
        <v>645</v>
      </c>
      <c r="C100">
        <v>45</v>
      </c>
      <c r="D100">
        <f t="shared" si="13"/>
        <v>0.12228260869565218</v>
      </c>
    </row>
    <row r="101" spans="1:4" x14ac:dyDescent="0.3">
      <c r="A101" t="s">
        <v>556</v>
      </c>
      <c r="B101" t="s">
        <v>563</v>
      </c>
      <c r="C101">
        <v>59</v>
      </c>
      <c r="D101">
        <f t="shared" si="13"/>
        <v>0.16032608695652173</v>
      </c>
    </row>
    <row r="102" spans="1:4" x14ac:dyDescent="0.3">
      <c r="A102" t="s">
        <v>292</v>
      </c>
      <c r="B102" t="s">
        <v>684</v>
      </c>
      <c r="C102">
        <v>101</v>
      </c>
      <c r="D102">
        <f t="shared" si="13"/>
        <v>0.27445652173913043</v>
      </c>
    </row>
  </sheetData>
  <sortState ref="A77:D102">
    <sortCondition ref="C77:C102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3" workbookViewId="0">
      <selection activeCell="A43" sqref="A43"/>
    </sheetView>
  </sheetViews>
  <sheetFormatPr defaultColWidth="10.921875" defaultRowHeight="13.5" x14ac:dyDescent="0.3"/>
  <sheetData>
    <row r="1" spans="1:13" x14ac:dyDescent="0.3">
      <c r="A1" t="s">
        <v>385</v>
      </c>
      <c r="B1" t="s">
        <v>406</v>
      </c>
      <c r="C1" t="s">
        <v>386</v>
      </c>
      <c r="D1" t="s">
        <v>474</v>
      </c>
      <c r="E1" t="s">
        <v>386</v>
      </c>
    </row>
    <row r="2" spans="1:13" x14ac:dyDescent="0.3">
      <c r="A2" t="s">
        <v>165</v>
      </c>
      <c r="B2" t="s">
        <v>53</v>
      </c>
      <c r="C2">
        <v>36</v>
      </c>
      <c r="D2" t="s">
        <v>401</v>
      </c>
      <c r="E2">
        <v>1</v>
      </c>
      <c r="F2" t="s">
        <v>345</v>
      </c>
      <c r="G2">
        <v>1</v>
      </c>
      <c r="H2" t="s">
        <v>346</v>
      </c>
      <c r="I2">
        <v>129</v>
      </c>
      <c r="J2" t="s">
        <v>102</v>
      </c>
      <c r="K2">
        <v>5</v>
      </c>
      <c r="L2" t="s">
        <v>25</v>
      </c>
      <c r="M2">
        <v>1</v>
      </c>
    </row>
    <row r="3" spans="1:13" x14ac:dyDescent="0.3">
      <c r="A3" t="s">
        <v>165</v>
      </c>
      <c r="B3" t="s">
        <v>494</v>
      </c>
      <c r="C3">
        <v>16</v>
      </c>
      <c r="D3" t="s">
        <v>401</v>
      </c>
      <c r="E3">
        <v>1</v>
      </c>
      <c r="F3" t="s">
        <v>242</v>
      </c>
      <c r="G3">
        <v>1</v>
      </c>
      <c r="H3" t="s">
        <v>346</v>
      </c>
      <c r="I3">
        <v>116</v>
      </c>
      <c r="J3" t="s">
        <v>102</v>
      </c>
      <c r="K3">
        <v>1</v>
      </c>
      <c r="L3" t="s">
        <v>25</v>
      </c>
      <c r="M3">
        <v>0</v>
      </c>
    </row>
    <row r="4" spans="1:13" x14ac:dyDescent="0.3">
      <c r="A4" t="s">
        <v>165</v>
      </c>
      <c r="B4" t="s">
        <v>494</v>
      </c>
      <c r="C4">
        <v>7</v>
      </c>
      <c r="D4" t="s">
        <v>401</v>
      </c>
      <c r="E4">
        <v>1</v>
      </c>
      <c r="F4" t="s">
        <v>242</v>
      </c>
      <c r="G4">
        <v>0</v>
      </c>
      <c r="H4" t="s">
        <v>346</v>
      </c>
      <c r="I4">
        <v>0</v>
      </c>
      <c r="J4" t="s">
        <v>102</v>
      </c>
      <c r="K4">
        <v>1</v>
      </c>
      <c r="L4" t="s">
        <v>25</v>
      </c>
      <c r="M4">
        <v>0</v>
      </c>
    </row>
    <row r="5" spans="1:13" x14ac:dyDescent="0.3">
      <c r="A5" t="s">
        <v>165</v>
      </c>
      <c r="B5" t="s">
        <v>494</v>
      </c>
      <c r="C5">
        <v>143</v>
      </c>
      <c r="D5" t="s">
        <v>401</v>
      </c>
      <c r="E5">
        <v>1</v>
      </c>
      <c r="F5" t="s">
        <v>242</v>
      </c>
      <c r="G5">
        <v>0</v>
      </c>
      <c r="H5" t="s">
        <v>346</v>
      </c>
      <c r="I5">
        <v>0</v>
      </c>
      <c r="J5" t="s">
        <v>102</v>
      </c>
      <c r="K5">
        <v>1</v>
      </c>
      <c r="L5" t="s">
        <v>25</v>
      </c>
      <c r="M5">
        <v>0</v>
      </c>
    </row>
    <row r="6" spans="1:13" x14ac:dyDescent="0.3">
      <c r="A6" t="s">
        <v>165</v>
      </c>
      <c r="B6" t="s">
        <v>494</v>
      </c>
      <c r="C6">
        <v>0</v>
      </c>
      <c r="D6" t="s">
        <v>401</v>
      </c>
      <c r="E6">
        <v>0</v>
      </c>
      <c r="F6" t="s">
        <v>242</v>
      </c>
      <c r="G6">
        <v>0</v>
      </c>
      <c r="H6" t="s">
        <v>346</v>
      </c>
      <c r="I6">
        <v>0</v>
      </c>
      <c r="J6" t="s">
        <v>102</v>
      </c>
      <c r="K6">
        <v>0</v>
      </c>
      <c r="L6" t="s">
        <v>25</v>
      </c>
      <c r="M6">
        <v>0</v>
      </c>
    </row>
    <row r="7" spans="1:13" x14ac:dyDescent="0.3">
      <c r="A7" t="s">
        <v>165</v>
      </c>
      <c r="B7" t="s">
        <v>494</v>
      </c>
      <c r="C7">
        <v>0</v>
      </c>
      <c r="D7" t="s">
        <v>401</v>
      </c>
      <c r="E7">
        <v>0</v>
      </c>
      <c r="F7" t="s">
        <v>242</v>
      </c>
      <c r="G7">
        <v>0</v>
      </c>
      <c r="H7" t="s">
        <v>346</v>
      </c>
      <c r="I7">
        <v>0</v>
      </c>
      <c r="J7" t="s">
        <v>102</v>
      </c>
      <c r="K7">
        <v>0</v>
      </c>
      <c r="L7" t="s">
        <v>25</v>
      </c>
      <c r="M7">
        <v>0</v>
      </c>
    </row>
    <row r="8" spans="1:13" x14ac:dyDescent="0.3">
      <c r="A8" t="s">
        <v>165</v>
      </c>
      <c r="B8" t="s">
        <v>494</v>
      </c>
      <c r="C8">
        <v>0</v>
      </c>
      <c r="D8" t="s">
        <v>401</v>
      </c>
      <c r="E8">
        <v>0</v>
      </c>
      <c r="F8" t="s">
        <v>242</v>
      </c>
      <c r="G8">
        <v>0</v>
      </c>
      <c r="H8" t="s">
        <v>346</v>
      </c>
      <c r="I8">
        <v>0</v>
      </c>
      <c r="J8" t="s">
        <v>102</v>
      </c>
      <c r="K8">
        <v>0</v>
      </c>
      <c r="L8" t="s">
        <v>25</v>
      </c>
      <c r="M8">
        <v>0</v>
      </c>
    </row>
    <row r="9" spans="1:13" x14ac:dyDescent="0.3">
      <c r="A9" t="s">
        <v>165</v>
      </c>
      <c r="B9" t="s">
        <v>494</v>
      </c>
      <c r="C9">
        <v>0</v>
      </c>
      <c r="D9" t="s">
        <v>401</v>
      </c>
      <c r="E9">
        <v>0</v>
      </c>
      <c r="F9" t="s">
        <v>242</v>
      </c>
      <c r="G9">
        <v>0</v>
      </c>
      <c r="H9" t="s">
        <v>346</v>
      </c>
      <c r="I9">
        <v>0</v>
      </c>
      <c r="J9" t="s">
        <v>102</v>
      </c>
      <c r="K9">
        <v>0</v>
      </c>
      <c r="L9" t="s">
        <v>25</v>
      </c>
      <c r="M9">
        <v>0</v>
      </c>
    </row>
    <row r="10" spans="1:13" x14ac:dyDescent="0.3">
      <c r="A10" t="s">
        <v>165</v>
      </c>
      <c r="B10" t="s">
        <v>494</v>
      </c>
      <c r="C10">
        <v>0</v>
      </c>
      <c r="D10" t="s">
        <v>401</v>
      </c>
      <c r="E10">
        <v>0</v>
      </c>
      <c r="F10" t="s">
        <v>242</v>
      </c>
      <c r="G10">
        <v>0</v>
      </c>
      <c r="H10" t="s">
        <v>346</v>
      </c>
      <c r="I10">
        <v>0</v>
      </c>
      <c r="J10" t="s">
        <v>102</v>
      </c>
      <c r="K10">
        <v>0</v>
      </c>
      <c r="L10" t="s">
        <v>25</v>
      </c>
      <c r="M10">
        <v>0</v>
      </c>
    </row>
    <row r="11" spans="1:13" x14ac:dyDescent="0.3">
      <c r="A11" t="s">
        <v>165</v>
      </c>
      <c r="B11" t="s">
        <v>494</v>
      </c>
      <c r="C11">
        <v>0</v>
      </c>
      <c r="D11" t="s">
        <v>401</v>
      </c>
      <c r="E11">
        <v>0</v>
      </c>
      <c r="F11" t="s">
        <v>242</v>
      </c>
      <c r="G11">
        <v>0</v>
      </c>
      <c r="H11" t="s">
        <v>346</v>
      </c>
      <c r="I11">
        <v>0</v>
      </c>
      <c r="J11" t="s">
        <v>102</v>
      </c>
      <c r="K11">
        <v>0</v>
      </c>
      <c r="L11" t="s">
        <v>25</v>
      </c>
      <c r="M11">
        <v>0</v>
      </c>
    </row>
    <row r="12" spans="1:13" x14ac:dyDescent="0.3">
      <c r="A12" t="s">
        <v>165</v>
      </c>
      <c r="B12" t="s">
        <v>494</v>
      </c>
      <c r="C12">
        <v>0</v>
      </c>
      <c r="D12" t="s">
        <v>401</v>
      </c>
      <c r="E12">
        <v>0</v>
      </c>
      <c r="F12" t="s">
        <v>242</v>
      </c>
      <c r="G12">
        <v>0</v>
      </c>
      <c r="H12" t="s">
        <v>346</v>
      </c>
      <c r="I12">
        <v>0</v>
      </c>
      <c r="J12" t="s">
        <v>102</v>
      </c>
      <c r="K12">
        <v>0</v>
      </c>
      <c r="L12" t="s">
        <v>25</v>
      </c>
      <c r="M12">
        <v>0</v>
      </c>
    </row>
    <row r="13" spans="1:13" x14ac:dyDescent="0.3">
      <c r="A13" t="s">
        <v>342</v>
      </c>
      <c r="B13" t="s">
        <v>494</v>
      </c>
      <c r="C13">
        <v>9</v>
      </c>
      <c r="D13" t="s">
        <v>401</v>
      </c>
      <c r="E13">
        <v>26</v>
      </c>
      <c r="F13" t="s">
        <v>405</v>
      </c>
      <c r="G13">
        <v>3</v>
      </c>
      <c r="H13" t="s">
        <v>346</v>
      </c>
      <c r="I13">
        <v>2</v>
      </c>
      <c r="J13" t="s">
        <v>399</v>
      </c>
      <c r="K13">
        <v>1</v>
      </c>
    </row>
    <row r="14" spans="1:13" x14ac:dyDescent="0.3">
      <c r="A14" t="s">
        <v>342</v>
      </c>
      <c r="B14" t="s">
        <v>494</v>
      </c>
      <c r="C14">
        <v>66</v>
      </c>
      <c r="D14" t="s">
        <v>401</v>
      </c>
      <c r="E14">
        <v>14</v>
      </c>
      <c r="F14" t="s">
        <v>405</v>
      </c>
      <c r="G14">
        <v>1</v>
      </c>
      <c r="H14" t="s">
        <v>346</v>
      </c>
      <c r="I14">
        <v>0</v>
      </c>
      <c r="J14" t="s">
        <v>399</v>
      </c>
      <c r="K14">
        <v>0</v>
      </c>
    </row>
    <row r="15" spans="1:13" x14ac:dyDescent="0.3">
      <c r="A15" t="s">
        <v>342</v>
      </c>
      <c r="B15" t="s">
        <v>494</v>
      </c>
      <c r="C15">
        <v>184</v>
      </c>
      <c r="D15" t="s">
        <v>401</v>
      </c>
      <c r="E15">
        <v>2</v>
      </c>
      <c r="F15" t="s">
        <v>405</v>
      </c>
      <c r="G15">
        <v>9</v>
      </c>
      <c r="H15" t="s">
        <v>346</v>
      </c>
      <c r="I15">
        <v>0</v>
      </c>
      <c r="J15" t="s">
        <v>399</v>
      </c>
      <c r="K15">
        <v>0</v>
      </c>
    </row>
    <row r="16" spans="1:13" x14ac:dyDescent="0.3">
      <c r="A16" t="s">
        <v>342</v>
      </c>
      <c r="B16" t="s">
        <v>494</v>
      </c>
      <c r="C16">
        <v>307</v>
      </c>
      <c r="D16" t="s">
        <v>401</v>
      </c>
      <c r="E16">
        <v>170</v>
      </c>
      <c r="F16" t="s">
        <v>405</v>
      </c>
      <c r="G16">
        <v>0</v>
      </c>
      <c r="H16" t="s">
        <v>346</v>
      </c>
      <c r="I16">
        <v>0</v>
      </c>
      <c r="J16" t="s">
        <v>399</v>
      </c>
      <c r="K16">
        <v>0</v>
      </c>
    </row>
    <row r="17" spans="1:11" x14ac:dyDescent="0.3">
      <c r="A17" t="s">
        <v>342</v>
      </c>
      <c r="B17" t="s">
        <v>494</v>
      </c>
      <c r="C17">
        <v>23</v>
      </c>
      <c r="D17" t="s">
        <v>401</v>
      </c>
      <c r="E17">
        <v>1</v>
      </c>
      <c r="F17" t="s">
        <v>405</v>
      </c>
      <c r="G17">
        <v>0</v>
      </c>
      <c r="H17" t="s">
        <v>346</v>
      </c>
      <c r="I17">
        <v>0</v>
      </c>
      <c r="J17" t="s">
        <v>399</v>
      </c>
      <c r="K17">
        <v>0</v>
      </c>
    </row>
    <row r="18" spans="1:11" x14ac:dyDescent="0.3">
      <c r="A18" t="s">
        <v>398</v>
      </c>
      <c r="B18" t="s">
        <v>53</v>
      </c>
      <c r="C18">
        <v>34</v>
      </c>
      <c r="D18" t="s">
        <v>677</v>
      </c>
      <c r="E18">
        <v>10</v>
      </c>
      <c r="F18" t="s">
        <v>405</v>
      </c>
      <c r="G18">
        <v>0</v>
      </c>
      <c r="H18" t="s">
        <v>346</v>
      </c>
      <c r="I18">
        <v>0</v>
      </c>
      <c r="J18" t="s">
        <v>399</v>
      </c>
      <c r="K18">
        <v>0</v>
      </c>
    </row>
    <row r="19" spans="1:11" x14ac:dyDescent="0.3">
      <c r="A19" t="s">
        <v>398</v>
      </c>
      <c r="B19" t="s">
        <v>53</v>
      </c>
      <c r="C19">
        <v>111</v>
      </c>
      <c r="D19" t="s">
        <v>401</v>
      </c>
      <c r="E19">
        <v>1</v>
      </c>
      <c r="F19" t="s">
        <v>405</v>
      </c>
      <c r="G19">
        <v>0</v>
      </c>
      <c r="H19" t="s">
        <v>346</v>
      </c>
      <c r="I19">
        <v>0</v>
      </c>
      <c r="J19" t="s">
        <v>399</v>
      </c>
      <c r="K19">
        <v>0</v>
      </c>
    </row>
    <row r="20" spans="1:11" x14ac:dyDescent="0.3">
      <c r="A20" t="s">
        <v>398</v>
      </c>
      <c r="B20" t="s">
        <v>53</v>
      </c>
      <c r="C20">
        <v>1</v>
      </c>
      <c r="D20" t="s">
        <v>672</v>
      </c>
      <c r="E20">
        <v>1</v>
      </c>
      <c r="F20" t="s">
        <v>405</v>
      </c>
      <c r="G20">
        <v>0</v>
      </c>
      <c r="H20" t="s">
        <v>346</v>
      </c>
      <c r="I20">
        <v>0</v>
      </c>
      <c r="J20" t="s">
        <v>399</v>
      </c>
      <c r="K20">
        <v>0</v>
      </c>
    </row>
    <row r="21" spans="1:11" x14ac:dyDescent="0.3">
      <c r="A21" t="s">
        <v>398</v>
      </c>
      <c r="B21" t="s">
        <v>494</v>
      </c>
      <c r="C21">
        <v>27</v>
      </c>
      <c r="D21" t="s">
        <v>672</v>
      </c>
      <c r="E21">
        <v>19</v>
      </c>
      <c r="F21" t="s">
        <v>405</v>
      </c>
      <c r="G21">
        <v>0</v>
      </c>
      <c r="H21" t="s">
        <v>346</v>
      </c>
      <c r="I21">
        <v>0</v>
      </c>
      <c r="J21" t="s">
        <v>399</v>
      </c>
      <c r="K21">
        <v>0</v>
      </c>
    </row>
    <row r="22" spans="1:11" x14ac:dyDescent="0.3">
      <c r="A22" t="s">
        <v>398</v>
      </c>
      <c r="B22" t="s">
        <v>53</v>
      </c>
      <c r="C22">
        <v>11</v>
      </c>
      <c r="D22" t="s">
        <v>672</v>
      </c>
      <c r="E22">
        <v>14</v>
      </c>
      <c r="F22" t="s">
        <v>405</v>
      </c>
      <c r="G22">
        <v>0</v>
      </c>
      <c r="H22" t="s">
        <v>346</v>
      </c>
      <c r="I22">
        <v>0</v>
      </c>
      <c r="J22" t="s">
        <v>399</v>
      </c>
      <c r="K22">
        <v>0</v>
      </c>
    </row>
    <row r="23" spans="1:11" x14ac:dyDescent="0.3">
      <c r="A23" t="s">
        <v>398</v>
      </c>
      <c r="B23" t="s">
        <v>53</v>
      </c>
      <c r="C23">
        <v>30</v>
      </c>
      <c r="D23" t="s">
        <v>672</v>
      </c>
      <c r="E23">
        <v>0</v>
      </c>
      <c r="F23" t="s">
        <v>405</v>
      </c>
      <c r="G23">
        <v>0</v>
      </c>
      <c r="H23" t="s">
        <v>346</v>
      </c>
      <c r="I23">
        <v>0</v>
      </c>
      <c r="J23" t="s">
        <v>399</v>
      </c>
      <c r="K23">
        <v>0</v>
      </c>
    </row>
    <row r="24" spans="1:11" x14ac:dyDescent="0.3">
      <c r="A24" t="s">
        <v>398</v>
      </c>
      <c r="B24" t="s">
        <v>53</v>
      </c>
      <c r="C24">
        <v>14</v>
      </c>
      <c r="D24" t="s">
        <v>672</v>
      </c>
      <c r="E24">
        <v>0</v>
      </c>
      <c r="F24" t="s">
        <v>405</v>
      </c>
      <c r="G24">
        <v>0</v>
      </c>
      <c r="H24" t="s">
        <v>346</v>
      </c>
      <c r="I24">
        <v>0</v>
      </c>
      <c r="J24" t="s">
        <v>399</v>
      </c>
      <c r="K24">
        <v>0</v>
      </c>
    </row>
    <row r="25" spans="1:11" x14ac:dyDescent="0.3">
      <c r="A25" t="s">
        <v>398</v>
      </c>
      <c r="B25" t="s">
        <v>53</v>
      </c>
      <c r="C25">
        <v>22</v>
      </c>
      <c r="D25" t="s">
        <v>672</v>
      </c>
      <c r="E25">
        <v>0</v>
      </c>
      <c r="F25" t="s">
        <v>405</v>
      </c>
      <c r="G25">
        <v>0</v>
      </c>
      <c r="H25" t="s">
        <v>346</v>
      </c>
      <c r="I25">
        <v>0</v>
      </c>
      <c r="J25" t="s">
        <v>399</v>
      </c>
      <c r="K25">
        <v>0</v>
      </c>
    </row>
    <row r="26" spans="1:11" x14ac:dyDescent="0.3">
      <c r="A26" t="s">
        <v>398</v>
      </c>
      <c r="B26" t="s">
        <v>53</v>
      </c>
      <c r="C26">
        <v>0</v>
      </c>
      <c r="D26" t="s">
        <v>672</v>
      </c>
      <c r="E26">
        <v>0</v>
      </c>
      <c r="F26" t="s">
        <v>405</v>
      </c>
      <c r="G26">
        <v>0</v>
      </c>
      <c r="H26" t="s">
        <v>346</v>
      </c>
      <c r="I26">
        <v>0</v>
      </c>
      <c r="J26" t="s">
        <v>399</v>
      </c>
      <c r="K26">
        <v>0</v>
      </c>
    </row>
    <row r="27" spans="1:11" x14ac:dyDescent="0.3">
      <c r="A27" t="s">
        <v>398</v>
      </c>
      <c r="B27" t="s">
        <v>53</v>
      </c>
      <c r="C27">
        <v>0</v>
      </c>
      <c r="D27" t="s">
        <v>672</v>
      </c>
      <c r="E27">
        <v>0</v>
      </c>
      <c r="F27" t="s">
        <v>405</v>
      </c>
      <c r="G27">
        <v>0</v>
      </c>
      <c r="H27" t="s">
        <v>346</v>
      </c>
      <c r="I27">
        <v>0</v>
      </c>
      <c r="J27" t="s">
        <v>399</v>
      </c>
      <c r="K27">
        <v>0</v>
      </c>
    </row>
    <row r="30" spans="1:11" x14ac:dyDescent="0.3">
      <c r="A30" t="s">
        <v>476</v>
      </c>
      <c r="B30" t="s">
        <v>388</v>
      </c>
      <c r="C30" t="s">
        <v>388</v>
      </c>
      <c r="D30" t="s">
        <v>388</v>
      </c>
      <c r="E30" t="s">
        <v>388</v>
      </c>
      <c r="F30" t="s">
        <v>388</v>
      </c>
      <c r="G30" t="s">
        <v>398</v>
      </c>
      <c r="H30" t="s">
        <v>398</v>
      </c>
      <c r="I30" t="s">
        <v>398</v>
      </c>
      <c r="J30" t="s">
        <v>398</v>
      </c>
      <c r="K30" t="s">
        <v>398</v>
      </c>
    </row>
    <row r="31" spans="1:11" x14ac:dyDescent="0.3">
      <c r="A31" t="s">
        <v>279</v>
      </c>
      <c r="B31" t="s">
        <v>280</v>
      </c>
      <c r="C31" t="s">
        <v>467</v>
      </c>
      <c r="D31" t="s">
        <v>468</v>
      </c>
      <c r="E31" t="s">
        <v>469</v>
      </c>
      <c r="F31" t="s">
        <v>475</v>
      </c>
      <c r="G31" t="s">
        <v>280</v>
      </c>
      <c r="H31" t="s">
        <v>467</v>
      </c>
      <c r="I31" t="s">
        <v>468</v>
      </c>
      <c r="J31" t="s">
        <v>469</v>
      </c>
      <c r="K31" t="s">
        <v>475</v>
      </c>
    </row>
    <row r="32" spans="1:11" x14ac:dyDescent="0.3">
      <c r="A32" t="s">
        <v>53</v>
      </c>
      <c r="B32">
        <f>SUM(C2:C12)</f>
        <v>202</v>
      </c>
      <c r="C32">
        <f>AVERAGE(C2:C12)</f>
        <v>18.363636363636363</v>
      </c>
      <c r="D32">
        <f>STDEV(C2:C12)</f>
        <v>42.825863043896099</v>
      </c>
      <c r="E32">
        <f>D32/SQRT(11)</f>
        <v>12.91248354906827</v>
      </c>
      <c r="F32">
        <v>4</v>
      </c>
      <c r="G32">
        <v>839</v>
      </c>
      <c r="H32">
        <v>55.93333333333333</v>
      </c>
      <c r="I32">
        <v>85.377704238005734</v>
      </c>
      <c r="J32">
        <v>22.044428443414574</v>
      </c>
      <c r="K32">
        <v>13</v>
      </c>
    </row>
    <row r="33" spans="1:11" x14ac:dyDescent="0.3">
      <c r="A33" t="s">
        <v>401</v>
      </c>
      <c r="B33">
        <f>SUM(E2:E12)</f>
        <v>4</v>
      </c>
      <c r="C33">
        <f>AVERAGE(E2:E12)</f>
        <v>0.36363636363636365</v>
      </c>
      <c r="D33">
        <f>STDEV(E2:E12)</f>
        <v>0.50452497910951299</v>
      </c>
      <c r="E33">
        <f t="shared" ref="E33:E37" si="0">D33/SQRT(11)</f>
        <v>0.15212000482437738</v>
      </c>
      <c r="F33">
        <v>4</v>
      </c>
      <c r="G33">
        <v>258</v>
      </c>
      <c r="H33">
        <v>17.2</v>
      </c>
      <c r="I33">
        <v>43.093254361078039</v>
      </c>
      <c r="J33">
        <v>11.126630431622358</v>
      </c>
      <c r="K33">
        <v>10</v>
      </c>
    </row>
    <row r="34" spans="1:11" x14ac:dyDescent="0.3">
      <c r="A34" t="s">
        <v>470</v>
      </c>
      <c r="B34">
        <f>SUM(G2:G12)</f>
        <v>2</v>
      </c>
      <c r="C34">
        <f>AVERAGE(G2:G12)</f>
        <v>0.18181818181818182</v>
      </c>
      <c r="D34">
        <f>STDEV(G2:G12)</f>
        <v>0.40451991747794525</v>
      </c>
      <c r="E34">
        <f t="shared" si="0"/>
        <v>0.12196734422726126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471</v>
      </c>
      <c r="B35">
        <f>SUM(I2:I12)</f>
        <v>245</v>
      </c>
      <c r="C35">
        <f>AVERAGE(I2:I12)</f>
        <v>22.272727272727273</v>
      </c>
      <c r="D35">
        <f>STDEV(I2:I12)</f>
        <v>49.63887772520831</v>
      </c>
      <c r="E35">
        <f t="shared" si="0"/>
        <v>14.966684766258759</v>
      </c>
      <c r="F35">
        <v>2</v>
      </c>
      <c r="G35">
        <v>2</v>
      </c>
      <c r="H35">
        <v>0.13333333333333333</v>
      </c>
      <c r="I35">
        <v>0.5163977794943222</v>
      </c>
      <c r="J35">
        <v>0.1333333333333333</v>
      </c>
      <c r="K35">
        <v>1</v>
      </c>
    </row>
    <row r="36" spans="1:11" x14ac:dyDescent="0.3">
      <c r="A36" t="s">
        <v>472</v>
      </c>
      <c r="B36">
        <f>SUM(M2:M12)</f>
        <v>1</v>
      </c>
      <c r="C36">
        <f>AVERAGE(M2:M12)</f>
        <v>9.0909090909090912E-2</v>
      </c>
      <c r="D36">
        <f>STDEV(M2:M12)</f>
        <v>0.30151134457776363</v>
      </c>
      <c r="E36">
        <f t="shared" si="0"/>
        <v>9.0909090909090912E-2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473</v>
      </c>
      <c r="B37">
        <f>SUM(K2:K12)</f>
        <v>8</v>
      </c>
      <c r="C37">
        <f>AVERAGE(K2:K12)</f>
        <v>0.72727272727272729</v>
      </c>
      <c r="D37">
        <f>STDEV(K2:K12)</f>
        <v>1.4893561757289013</v>
      </c>
      <c r="E37">
        <f t="shared" si="0"/>
        <v>0.44905778309921707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405</v>
      </c>
      <c r="B38">
        <v>0</v>
      </c>
      <c r="C38">
        <v>0</v>
      </c>
      <c r="D38">
        <v>0</v>
      </c>
      <c r="E38">
        <v>0</v>
      </c>
      <c r="F38">
        <v>0</v>
      </c>
      <c r="G38">
        <f>SUM(G13:G27)</f>
        <v>13</v>
      </c>
      <c r="H38">
        <f>AVERAGE(G13:G27)</f>
        <v>0.8666666666666667</v>
      </c>
      <c r="I38">
        <f>STDEV(G13:G27)</f>
        <v>2.3864697976798483</v>
      </c>
      <c r="J38">
        <f t="shared" ref="J38:J39" si="1">I38/SQRT(15)</f>
        <v>0.61618385217606908</v>
      </c>
      <c r="K38">
        <v>3</v>
      </c>
    </row>
    <row r="39" spans="1:11" x14ac:dyDescent="0.3">
      <c r="A39" t="s">
        <v>399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f>AVERAGE(K13:K27)</f>
        <v>6.6666666666666666E-2</v>
      </c>
      <c r="I39">
        <f>STDEV(K13:K27)</f>
        <v>0.2581988897471611</v>
      </c>
      <c r="J39">
        <f t="shared" si="1"/>
        <v>6.6666666666666652E-2</v>
      </c>
      <c r="K39">
        <v>1</v>
      </c>
    </row>
    <row r="42" spans="1:11" x14ac:dyDescent="0.3">
      <c r="A42" t="s">
        <v>279</v>
      </c>
      <c r="B42" t="s">
        <v>460</v>
      </c>
      <c r="C42" t="s">
        <v>467</v>
      </c>
      <c r="D42" t="s">
        <v>468</v>
      </c>
      <c r="E42" t="s">
        <v>469</v>
      </c>
      <c r="F42" t="s">
        <v>475</v>
      </c>
    </row>
    <row r="43" spans="1:11" x14ac:dyDescent="0.3">
      <c r="A43" t="s">
        <v>678</v>
      </c>
      <c r="B43">
        <f>SUM(C13:C23)</f>
        <v>803</v>
      </c>
      <c r="C43">
        <f>AVERAGE(C13:C23)</f>
        <v>73</v>
      </c>
      <c r="D43">
        <f>STDEV(C13:C23)</f>
        <v>94.699524814013714</v>
      </c>
      <c r="E43">
        <f>D43/SQRT(11)</f>
        <v>28.552981057548564</v>
      </c>
      <c r="F43">
        <v>4</v>
      </c>
    </row>
    <row r="44" spans="1:11" x14ac:dyDescent="0.3">
      <c r="A44" t="s">
        <v>672</v>
      </c>
      <c r="B44">
        <f>SUM(E13:E23)</f>
        <v>258</v>
      </c>
      <c r="C44">
        <f>AVERAGE(E13:E23)</f>
        <v>23.454545454545453</v>
      </c>
      <c r="D44">
        <f>STDEV(E13:E23)</f>
        <v>49.380894354727189</v>
      </c>
      <c r="E44">
        <f t="shared" ref="E44:E48" si="2">D44/SQRT(11)</f>
        <v>14.888899853346292</v>
      </c>
      <c r="F44">
        <v>4</v>
      </c>
    </row>
    <row r="45" spans="1:11" x14ac:dyDescent="0.3">
      <c r="A45" t="s">
        <v>470</v>
      </c>
      <c r="B45">
        <f>SUM(G13:G23)</f>
        <v>13</v>
      </c>
      <c r="C45">
        <f>AVERAGE(G13:G23)</f>
        <v>1.1818181818181819</v>
      </c>
      <c r="D45">
        <f>STDEV(G13:G23)</f>
        <v>2.7502066038093145</v>
      </c>
      <c r="E45">
        <f t="shared" si="2"/>
        <v>0.82921849098119127</v>
      </c>
      <c r="F45">
        <v>2</v>
      </c>
    </row>
    <row r="46" spans="1:11" x14ac:dyDescent="0.3">
      <c r="A46" t="s">
        <v>471</v>
      </c>
      <c r="B46">
        <f>SUM(I13:I23)</f>
        <v>2</v>
      </c>
      <c r="C46">
        <f>AVERAGE(I13:I23)</f>
        <v>0.18181818181818182</v>
      </c>
      <c r="D46">
        <f>STDEV(I13:I23)</f>
        <v>0.60302268915552726</v>
      </c>
      <c r="E46">
        <f t="shared" si="2"/>
        <v>0.18181818181818182</v>
      </c>
      <c r="F46">
        <v>2</v>
      </c>
    </row>
    <row r="47" spans="1:11" x14ac:dyDescent="0.3">
      <c r="A47" t="s">
        <v>472</v>
      </c>
      <c r="B47">
        <f>SUM(M13:M23)</f>
        <v>0</v>
      </c>
      <c r="C47" t="e">
        <f>AVERAGE(M13:M23)</f>
        <v>#DIV/0!</v>
      </c>
      <c r="D47" t="e">
        <f>STDEV(M13:M23)</f>
        <v>#DIV/0!</v>
      </c>
      <c r="E47" t="e">
        <f t="shared" si="2"/>
        <v>#DIV/0!</v>
      </c>
      <c r="F47">
        <v>1</v>
      </c>
    </row>
    <row r="48" spans="1:11" x14ac:dyDescent="0.3">
      <c r="A48" t="s">
        <v>473</v>
      </c>
      <c r="B48">
        <f>SUM(K13:K23)</f>
        <v>1</v>
      </c>
      <c r="C48">
        <f>AVERAGE(K13:K23)</f>
        <v>9.0909090909090912E-2</v>
      </c>
      <c r="D48">
        <f>STDEV(K13:K23)</f>
        <v>0.30151134457776363</v>
      </c>
      <c r="E48">
        <f t="shared" si="2"/>
        <v>9.0909090909090912E-2</v>
      </c>
      <c r="F48">
        <v>4</v>
      </c>
    </row>
    <row r="49" spans="1:6" x14ac:dyDescent="0.3">
      <c r="A49" t="s">
        <v>679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 t="s">
        <v>553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">
      <c r="A51" s="7"/>
    </row>
    <row r="52" spans="1:6" x14ac:dyDescent="0.3">
      <c r="A52" s="7"/>
    </row>
    <row r="53" spans="1:6" x14ac:dyDescent="0.3">
      <c r="A53" s="7"/>
    </row>
    <row r="54" spans="1:6" x14ac:dyDescent="0.3">
      <c r="A54" s="7"/>
    </row>
    <row r="55" spans="1:6" x14ac:dyDescent="0.3">
      <c r="A55" s="7"/>
    </row>
    <row r="56" spans="1:6" x14ac:dyDescent="0.3">
      <c r="A56" s="7"/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/>
  </sheetViews>
  <sheetFormatPr defaultColWidth="10.921875" defaultRowHeight="13.5" x14ac:dyDescent="0.3"/>
  <sheetData>
    <row r="1" spans="1:16" x14ac:dyDescent="0.3"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532</v>
      </c>
      <c r="I1" t="s">
        <v>533</v>
      </c>
      <c r="J1" t="s">
        <v>534</v>
      </c>
    </row>
    <row r="2" spans="1:16" x14ac:dyDescent="0.3">
      <c r="A2" s="13">
        <v>2</v>
      </c>
      <c r="B2" t="s">
        <v>351</v>
      </c>
      <c r="C2" t="s">
        <v>535</v>
      </c>
      <c r="D2" s="1">
        <v>38869</v>
      </c>
      <c r="E2" s="1">
        <v>38869</v>
      </c>
      <c r="F2" t="s">
        <v>536</v>
      </c>
      <c r="G2" t="s">
        <v>537</v>
      </c>
      <c r="H2">
        <v>21.715</v>
      </c>
      <c r="I2">
        <v>18</v>
      </c>
      <c r="J2" s="3">
        <v>3</v>
      </c>
      <c r="K2" t="s">
        <v>538</v>
      </c>
      <c r="L2">
        <v>16</v>
      </c>
      <c r="M2" t="s">
        <v>352</v>
      </c>
      <c r="N2">
        <v>1</v>
      </c>
      <c r="O2" t="s">
        <v>349</v>
      </c>
      <c r="P2">
        <v>1</v>
      </c>
    </row>
    <row r="3" spans="1:16" x14ac:dyDescent="0.3">
      <c r="A3" s="13">
        <v>3</v>
      </c>
      <c r="B3" t="s">
        <v>353</v>
      </c>
      <c r="C3" t="s">
        <v>535</v>
      </c>
      <c r="D3" s="1">
        <v>38869</v>
      </c>
      <c r="E3" s="1">
        <v>38869</v>
      </c>
      <c r="F3" t="s">
        <v>536</v>
      </c>
      <c r="G3" t="s">
        <v>537</v>
      </c>
      <c r="H3">
        <v>18.274999999999999</v>
      </c>
      <c r="I3">
        <v>124</v>
      </c>
      <c r="J3" s="3">
        <v>4</v>
      </c>
      <c r="K3" t="s">
        <v>538</v>
      </c>
      <c r="L3">
        <v>7</v>
      </c>
      <c r="M3" t="s">
        <v>539</v>
      </c>
      <c r="N3">
        <v>1</v>
      </c>
      <c r="O3" t="s">
        <v>350</v>
      </c>
      <c r="P3">
        <v>116</v>
      </c>
    </row>
    <row r="4" spans="1:16" x14ac:dyDescent="0.3">
      <c r="A4" s="13">
        <v>6</v>
      </c>
      <c r="B4" t="s">
        <v>355</v>
      </c>
      <c r="C4" t="s">
        <v>354</v>
      </c>
      <c r="D4" s="1">
        <v>39171</v>
      </c>
      <c r="E4" s="1">
        <v>39176</v>
      </c>
      <c r="F4" t="s">
        <v>536</v>
      </c>
      <c r="G4" t="s">
        <v>537</v>
      </c>
      <c r="H4">
        <v>5</v>
      </c>
      <c r="I4">
        <v>1</v>
      </c>
      <c r="J4" s="3">
        <v>1</v>
      </c>
      <c r="K4" t="s">
        <v>352</v>
      </c>
      <c r="L4">
        <v>1</v>
      </c>
    </row>
    <row r="5" spans="1:16" x14ac:dyDescent="0.3">
      <c r="A5" s="13">
        <v>7</v>
      </c>
      <c r="B5" t="s">
        <v>356</v>
      </c>
      <c r="C5" t="s">
        <v>354</v>
      </c>
      <c r="D5" s="1">
        <v>39171</v>
      </c>
      <c r="E5" s="1">
        <v>39176</v>
      </c>
      <c r="F5" t="s">
        <v>536</v>
      </c>
      <c r="G5" t="s">
        <v>537</v>
      </c>
      <c r="H5">
        <v>10</v>
      </c>
      <c r="I5">
        <v>1</v>
      </c>
      <c r="J5" s="3">
        <v>1</v>
      </c>
      <c r="K5" t="s">
        <v>352</v>
      </c>
      <c r="L5">
        <v>1</v>
      </c>
    </row>
    <row r="6" spans="1:16" x14ac:dyDescent="0.3">
      <c r="A6" s="13">
        <v>8</v>
      </c>
      <c r="B6" t="s">
        <v>357</v>
      </c>
      <c r="C6" t="s">
        <v>354</v>
      </c>
      <c r="D6" s="1">
        <v>39171</v>
      </c>
      <c r="E6" s="1">
        <v>39176</v>
      </c>
      <c r="F6" t="s">
        <v>536</v>
      </c>
      <c r="G6" t="s">
        <v>537</v>
      </c>
      <c r="H6">
        <v>3</v>
      </c>
      <c r="I6">
        <v>0</v>
      </c>
      <c r="J6" s="3">
        <v>0</v>
      </c>
    </row>
    <row r="7" spans="1:16" x14ac:dyDescent="0.3">
      <c r="A7" s="13">
        <v>10</v>
      </c>
      <c r="B7" t="s">
        <v>358</v>
      </c>
      <c r="C7" t="s">
        <v>354</v>
      </c>
      <c r="D7" s="1">
        <v>39183</v>
      </c>
      <c r="E7" s="1">
        <v>39191</v>
      </c>
      <c r="F7" t="s">
        <v>536</v>
      </c>
      <c r="G7" t="s">
        <v>537</v>
      </c>
      <c r="H7">
        <v>41.14</v>
      </c>
      <c r="I7">
        <v>0</v>
      </c>
      <c r="J7" s="3">
        <v>0</v>
      </c>
    </row>
    <row r="8" spans="1:16" x14ac:dyDescent="0.3">
      <c r="A8" s="13">
        <v>11</v>
      </c>
      <c r="B8" t="s">
        <v>359</v>
      </c>
      <c r="C8" t="s">
        <v>354</v>
      </c>
      <c r="D8" s="1">
        <v>39183</v>
      </c>
      <c r="E8" s="1">
        <v>39191</v>
      </c>
      <c r="F8" t="s">
        <v>536</v>
      </c>
      <c r="G8" t="s">
        <v>537</v>
      </c>
      <c r="H8">
        <v>36.36</v>
      </c>
      <c r="I8">
        <v>0</v>
      </c>
      <c r="J8" s="3">
        <v>0</v>
      </c>
    </row>
    <row r="9" spans="1:16" x14ac:dyDescent="0.3">
      <c r="A9" s="13">
        <v>12</v>
      </c>
      <c r="B9" t="s">
        <v>360</v>
      </c>
      <c r="C9" t="s">
        <v>535</v>
      </c>
      <c r="D9" s="1">
        <v>38871</v>
      </c>
      <c r="E9" s="1">
        <v>38871</v>
      </c>
      <c r="F9" t="s">
        <v>361</v>
      </c>
      <c r="G9" t="s">
        <v>537</v>
      </c>
      <c r="H9">
        <v>10.358700000000001</v>
      </c>
      <c r="I9">
        <v>11</v>
      </c>
      <c r="J9" s="3">
        <v>2</v>
      </c>
      <c r="K9" t="s">
        <v>538</v>
      </c>
      <c r="L9">
        <v>9</v>
      </c>
      <c r="M9" t="s">
        <v>350</v>
      </c>
      <c r="N9">
        <v>2</v>
      </c>
    </row>
    <row r="10" spans="1:16" x14ac:dyDescent="0.3">
      <c r="A10" s="13">
        <v>13</v>
      </c>
      <c r="B10" t="s">
        <v>362</v>
      </c>
      <c r="C10" t="s">
        <v>535</v>
      </c>
      <c r="D10" s="1">
        <v>38871</v>
      </c>
      <c r="E10" s="1">
        <v>38871</v>
      </c>
      <c r="F10" t="s">
        <v>361</v>
      </c>
      <c r="G10" t="s">
        <v>363</v>
      </c>
      <c r="H10">
        <v>26.556799999999999</v>
      </c>
      <c r="I10">
        <v>92</v>
      </c>
      <c r="J10" s="3">
        <v>2</v>
      </c>
      <c r="K10" t="s">
        <v>538</v>
      </c>
      <c r="L10">
        <v>66</v>
      </c>
      <c r="M10" t="s">
        <v>352</v>
      </c>
      <c r="N10">
        <v>26</v>
      </c>
    </row>
    <row r="11" spans="1:16" x14ac:dyDescent="0.3">
      <c r="A11" s="13">
        <v>14</v>
      </c>
      <c r="B11" t="s">
        <v>364</v>
      </c>
      <c r="C11" t="s">
        <v>535</v>
      </c>
      <c r="D11" s="1">
        <v>38871</v>
      </c>
      <c r="E11" s="1">
        <v>38871</v>
      </c>
      <c r="F11" t="s">
        <v>361</v>
      </c>
      <c r="G11" t="s">
        <v>537</v>
      </c>
      <c r="H11">
        <v>11.3477</v>
      </c>
      <c r="I11">
        <v>184</v>
      </c>
      <c r="J11" s="3">
        <v>1</v>
      </c>
      <c r="K11" t="s">
        <v>538</v>
      </c>
      <c r="L11">
        <v>184</v>
      </c>
    </row>
    <row r="12" spans="1:16" x14ac:dyDescent="0.3">
      <c r="A12" s="13">
        <v>16</v>
      </c>
      <c r="B12" t="s">
        <v>366</v>
      </c>
      <c r="C12" t="s">
        <v>535</v>
      </c>
      <c r="D12" s="1">
        <v>39004</v>
      </c>
      <c r="E12" s="1">
        <v>39009</v>
      </c>
      <c r="F12" t="s">
        <v>361</v>
      </c>
      <c r="H12">
        <v>15.5</v>
      </c>
      <c r="I12">
        <v>0</v>
      </c>
      <c r="J12" s="3">
        <v>0</v>
      </c>
    </row>
    <row r="13" spans="1:16" x14ac:dyDescent="0.3">
      <c r="A13" s="13">
        <v>18</v>
      </c>
      <c r="B13" t="s">
        <v>367</v>
      </c>
      <c r="C13" t="s">
        <v>535</v>
      </c>
      <c r="D13" s="1">
        <v>38876</v>
      </c>
      <c r="E13" s="1">
        <v>38876</v>
      </c>
      <c r="F13" t="s">
        <v>368</v>
      </c>
      <c r="G13" t="s">
        <v>365</v>
      </c>
      <c r="H13">
        <v>14.313000000000001</v>
      </c>
      <c r="I13">
        <v>0</v>
      </c>
      <c r="J13" s="3">
        <v>0</v>
      </c>
    </row>
    <row r="14" spans="1:16" x14ac:dyDescent="0.3">
      <c r="A14" s="13">
        <v>19</v>
      </c>
      <c r="B14" t="s">
        <v>369</v>
      </c>
      <c r="C14" t="s">
        <v>535</v>
      </c>
      <c r="D14" s="1">
        <v>38983</v>
      </c>
      <c r="E14" s="1">
        <v>38994</v>
      </c>
      <c r="F14" t="s">
        <v>368</v>
      </c>
      <c r="G14" t="s">
        <v>370</v>
      </c>
      <c r="H14">
        <v>14.122999999999999</v>
      </c>
      <c r="I14">
        <v>0</v>
      </c>
      <c r="J14" s="3">
        <v>0</v>
      </c>
    </row>
    <row r="15" spans="1:16" x14ac:dyDescent="0.3">
      <c r="A15" s="13">
        <v>20</v>
      </c>
      <c r="B15" t="s">
        <v>371</v>
      </c>
      <c r="C15" t="s">
        <v>354</v>
      </c>
      <c r="D15" s="1">
        <v>39088</v>
      </c>
      <c r="E15" s="1">
        <v>39092</v>
      </c>
      <c r="F15" t="s">
        <v>368</v>
      </c>
      <c r="G15" t="s">
        <v>537</v>
      </c>
      <c r="H15">
        <v>18</v>
      </c>
      <c r="I15">
        <v>11</v>
      </c>
      <c r="J15" s="3">
        <v>2</v>
      </c>
      <c r="K15" t="s">
        <v>538</v>
      </c>
      <c r="L15">
        <v>11</v>
      </c>
      <c r="M15" t="s">
        <v>349</v>
      </c>
      <c r="N15">
        <v>1</v>
      </c>
    </row>
    <row r="16" spans="1:16" x14ac:dyDescent="0.3">
      <c r="A16" s="13">
        <v>22</v>
      </c>
      <c r="B16" t="s">
        <v>176</v>
      </c>
      <c r="C16" t="s">
        <v>354</v>
      </c>
      <c r="D16" s="1">
        <v>38742</v>
      </c>
      <c r="E16" s="1">
        <v>38742</v>
      </c>
      <c r="F16" t="s">
        <v>175</v>
      </c>
      <c r="I16">
        <v>5</v>
      </c>
      <c r="J16">
        <v>2</v>
      </c>
      <c r="K16" t="s">
        <v>538</v>
      </c>
      <c r="L16">
        <v>3</v>
      </c>
      <c r="M16" t="s">
        <v>352</v>
      </c>
      <c r="N16">
        <v>2</v>
      </c>
    </row>
    <row r="17" spans="1:16" x14ac:dyDescent="0.3">
      <c r="A17" s="13">
        <v>23</v>
      </c>
      <c r="B17" t="s">
        <v>177</v>
      </c>
      <c r="C17" t="s">
        <v>354</v>
      </c>
      <c r="D17" s="1">
        <v>38744</v>
      </c>
      <c r="E17" s="1">
        <v>38744</v>
      </c>
      <c r="F17" t="s">
        <v>361</v>
      </c>
      <c r="I17">
        <v>1</v>
      </c>
      <c r="J17">
        <v>1</v>
      </c>
      <c r="K17" t="s">
        <v>178</v>
      </c>
      <c r="L17">
        <v>1</v>
      </c>
    </row>
    <row r="18" spans="1:16" x14ac:dyDescent="0.3">
      <c r="A18" s="13">
        <v>25</v>
      </c>
      <c r="B18" t="s">
        <v>179</v>
      </c>
      <c r="C18" t="s">
        <v>354</v>
      </c>
      <c r="D18" s="1">
        <v>38744</v>
      </c>
      <c r="E18" s="1">
        <v>38744</v>
      </c>
      <c r="F18" t="s">
        <v>361</v>
      </c>
      <c r="I18">
        <v>281</v>
      </c>
      <c r="J18">
        <v>2</v>
      </c>
      <c r="K18" t="s">
        <v>538</v>
      </c>
      <c r="L18">
        <v>111</v>
      </c>
      <c r="M18" t="s">
        <v>352</v>
      </c>
      <c r="N18">
        <v>170</v>
      </c>
    </row>
    <row r="19" spans="1:16" x14ac:dyDescent="0.3">
      <c r="A19" s="13">
        <v>26</v>
      </c>
      <c r="B19" t="s">
        <v>180</v>
      </c>
      <c r="C19" t="s">
        <v>354</v>
      </c>
      <c r="D19" s="1">
        <v>38744</v>
      </c>
      <c r="E19" s="1">
        <v>38744</v>
      </c>
      <c r="F19" t="s">
        <v>361</v>
      </c>
      <c r="I19">
        <v>2</v>
      </c>
      <c r="J19">
        <v>2</v>
      </c>
      <c r="K19" t="s">
        <v>538</v>
      </c>
      <c r="L19">
        <v>1</v>
      </c>
      <c r="M19" t="s">
        <v>352</v>
      </c>
      <c r="N19">
        <v>1</v>
      </c>
    </row>
    <row r="20" spans="1:16" x14ac:dyDescent="0.3">
      <c r="A20" s="13">
        <v>27</v>
      </c>
      <c r="B20" t="s">
        <v>181</v>
      </c>
      <c r="C20" t="s">
        <v>354</v>
      </c>
      <c r="D20" s="5">
        <v>38765</v>
      </c>
      <c r="E20" s="1">
        <v>38765</v>
      </c>
      <c r="F20" t="s">
        <v>361</v>
      </c>
      <c r="I20">
        <v>40</v>
      </c>
      <c r="J20">
        <v>3</v>
      </c>
      <c r="K20" t="s">
        <v>538</v>
      </c>
      <c r="L20">
        <v>27</v>
      </c>
      <c r="M20" t="s">
        <v>352</v>
      </c>
      <c r="N20">
        <v>10</v>
      </c>
      <c r="O20" t="s">
        <v>182</v>
      </c>
      <c r="P20">
        <v>3</v>
      </c>
    </row>
    <row r="21" spans="1:16" x14ac:dyDescent="0.3">
      <c r="A21" s="13">
        <v>29</v>
      </c>
      <c r="B21" t="s">
        <v>183</v>
      </c>
      <c r="C21" t="s">
        <v>354</v>
      </c>
      <c r="D21" s="5">
        <v>38765</v>
      </c>
      <c r="E21" s="1">
        <v>38765</v>
      </c>
      <c r="F21" t="s">
        <v>361</v>
      </c>
      <c r="I21">
        <v>31</v>
      </c>
      <c r="J21">
        <v>2</v>
      </c>
      <c r="K21" t="s">
        <v>538</v>
      </c>
      <c r="L21">
        <v>30</v>
      </c>
      <c r="M21" t="s">
        <v>352</v>
      </c>
      <c r="N21">
        <v>1</v>
      </c>
    </row>
    <row r="22" spans="1:16" x14ac:dyDescent="0.3">
      <c r="I22">
        <f>SUM(I2:I21)</f>
        <v>802</v>
      </c>
    </row>
    <row r="23" spans="1:16" x14ac:dyDescent="0.3">
      <c r="A23" t="s">
        <v>525</v>
      </c>
      <c r="I23">
        <f>I22+11</f>
        <v>813</v>
      </c>
    </row>
    <row r="26" spans="1:16" x14ac:dyDescent="0.3">
      <c r="A26" t="s">
        <v>376</v>
      </c>
      <c r="F26" t="s">
        <v>272</v>
      </c>
      <c r="G26" t="s">
        <v>273</v>
      </c>
    </row>
    <row r="27" spans="1:16" x14ac:dyDescent="0.3">
      <c r="A27">
        <v>11</v>
      </c>
      <c r="B27" t="s">
        <v>378</v>
      </c>
      <c r="C27" t="s">
        <v>380</v>
      </c>
      <c r="E27" t="s">
        <v>460</v>
      </c>
      <c r="F27">
        <v>802</v>
      </c>
      <c r="G27">
        <v>11</v>
      </c>
    </row>
    <row r="28" spans="1:16" x14ac:dyDescent="0.3">
      <c r="A28">
        <v>802</v>
      </c>
      <c r="B28" t="s">
        <v>377</v>
      </c>
      <c r="C28" t="s">
        <v>381</v>
      </c>
      <c r="E28" t="s">
        <v>461</v>
      </c>
      <c r="F28" t="s">
        <v>462</v>
      </c>
    </row>
    <row r="29" spans="1:16" x14ac:dyDescent="0.3">
      <c r="A29">
        <v>813</v>
      </c>
      <c r="B29" t="s">
        <v>379</v>
      </c>
      <c r="C29" t="s">
        <v>268</v>
      </c>
    </row>
    <row r="30" spans="1:16" x14ac:dyDescent="0.3">
      <c r="A30">
        <v>0.5</v>
      </c>
      <c r="B30" t="s">
        <v>269</v>
      </c>
      <c r="C30" t="s">
        <v>270</v>
      </c>
    </row>
    <row r="31" spans="1:16" x14ac:dyDescent="0.3">
      <c r="A31" t="s">
        <v>596</v>
      </c>
    </row>
    <row r="32" spans="1:16" x14ac:dyDescent="0.3">
      <c r="A32" t="s">
        <v>271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0" workbookViewId="0">
      <selection activeCell="F25" sqref="F25"/>
    </sheetView>
  </sheetViews>
  <sheetFormatPr defaultColWidth="10.921875" defaultRowHeight="13.5" x14ac:dyDescent="0.3"/>
  <cols>
    <col min="1" max="1" width="7.69140625" customWidth="1"/>
    <col min="2" max="2" width="17.69140625" customWidth="1"/>
    <col min="3" max="3" width="11.4609375" customWidth="1"/>
    <col min="5" max="5" width="6.15234375" customWidth="1"/>
    <col min="6" max="6" width="6.69140625" customWidth="1"/>
    <col min="8" max="8" width="7.53515625" customWidth="1"/>
    <col min="9" max="9" width="6.84375" customWidth="1"/>
  </cols>
  <sheetData>
    <row r="1" spans="1:9" ht="15.5" thickBot="1" x14ac:dyDescent="0.35">
      <c r="A1" s="44" t="s">
        <v>412</v>
      </c>
      <c r="B1" s="44" t="s">
        <v>209</v>
      </c>
      <c r="C1" s="58" t="s">
        <v>577</v>
      </c>
      <c r="D1" s="44"/>
      <c r="E1" s="44" t="s">
        <v>578</v>
      </c>
      <c r="F1" s="44" t="s">
        <v>210</v>
      </c>
      <c r="G1" s="61" t="s">
        <v>577</v>
      </c>
    </row>
    <row r="2" spans="1:9" ht="16" thickTop="1" x14ac:dyDescent="0.35">
      <c r="A2" s="45" t="s">
        <v>211</v>
      </c>
      <c r="B2" s="46">
        <v>0</v>
      </c>
      <c r="C2" s="59">
        <v>0</v>
      </c>
      <c r="D2" s="63">
        <v>20</v>
      </c>
      <c r="E2" s="63">
        <v>0</v>
      </c>
      <c r="F2" s="46">
        <f>202+839</f>
        <v>1041</v>
      </c>
      <c r="G2" s="52">
        <v>20</v>
      </c>
      <c r="H2" s="49">
        <v>31</v>
      </c>
      <c r="I2">
        <f>F2/H2</f>
        <v>33.58064516129032</v>
      </c>
    </row>
    <row r="3" spans="1:9" ht="15.5" x14ac:dyDescent="0.35">
      <c r="A3" s="43" t="s">
        <v>212</v>
      </c>
      <c r="B3" s="42">
        <v>8</v>
      </c>
      <c r="C3" s="59">
        <v>1</v>
      </c>
      <c r="D3" s="63">
        <v>20</v>
      </c>
      <c r="E3" s="63">
        <f>B3/D3</f>
        <v>0.4</v>
      </c>
      <c r="F3" s="42">
        <f>258+4</f>
        <v>262</v>
      </c>
      <c r="G3" s="52">
        <v>13</v>
      </c>
      <c r="H3" s="49">
        <v>31</v>
      </c>
      <c r="I3">
        <f t="shared" ref="I3:I10" si="0">F3/H3</f>
        <v>8.4516129032258061</v>
      </c>
    </row>
    <row r="4" spans="1:9" ht="15.5" x14ac:dyDescent="0.35">
      <c r="A4" s="43" t="s">
        <v>213</v>
      </c>
      <c r="B4" s="42">
        <v>1</v>
      </c>
      <c r="C4" s="59">
        <v>1</v>
      </c>
      <c r="D4" s="63">
        <v>20</v>
      </c>
      <c r="E4" s="63">
        <f t="shared" ref="E4:E10" si="1">B4/D4</f>
        <v>0.05</v>
      </c>
      <c r="F4" s="42">
        <v>0</v>
      </c>
      <c r="G4" s="52">
        <v>0</v>
      </c>
      <c r="H4" s="49">
        <v>31</v>
      </c>
      <c r="I4">
        <f t="shared" si="0"/>
        <v>0</v>
      </c>
    </row>
    <row r="5" spans="1:9" ht="15.5" x14ac:dyDescent="0.35">
      <c r="A5" s="43" t="s">
        <v>214</v>
      </c>
      <c r="B5" s="42">
        <v>1</v>
      </c>
      <c r="C5" s="59">
        <v>1</v>
      </c>
      <c r="D5" s="63">
        <v>20</v>
      </c>
      <c r="E5" s="63">
        <f t="shared" si="1"/>
        <v>0.05</v>
      </c>
      <c r="F5" s="42">
        <v>13</v>
      </c>
      <c r="G5" s="52">
        <v>3</v>
      </c>
      <c r="H5" s="49">
        <v>31</v>
      </c>
      <c r="I5">
        <f t="shared" si="0"/>
        <v>0.41935483870967744</v>
      </c>
    </row>
    <row r="6" spans="1:9" ht="15.5" x14ac:dyDescent="0.35">
      <c r="A6" s="43" t="s">
        <v>215</v>
      </c>
      <c r="B6" s="42">
        <v>1</v>
      </c>
      <c r="C6" s="59">
        <v>1</v>
      </c>
      <c r="D6" s="63">
        <v>20</v>
      </c>
      <c r="E6" s="63">
        <f t="shared" si="1"/>
        <v>0.05</v>
      </c>
      <c r="F6" s="42">
        <v>0</v>
      </c>
      <c r="G6" s="52">
        <v>0</v>
      </c>
      <c r="H6" s="49">
        <v>31</v>
      </c>
      <c r="I6">
        <f t="shared" si="0"/>
        <v>0</v>
      </c>
    </row>
    <row r="7" spans="1:9" ht="15.5" x14ac:dyDescent="0.35">
      <c r="A7" s="43" t="s">
        <v>216</v>
      </c>
      <c r="B7" s="42">
        <v>0</v>
      </c>
      <c r="C7" s="59">
        <v>0</v>
      </c>
      <c r="D7" s="63">
        <v>20</v>
      </c>
      <c r="E7" s="63">
        <f t="shared" si="1"/>
        <v>0</v>
      </c>
      <c r="F7" s="42">
        <v>4</v>
      </c>
      <c r="G7" s="52">
        <v>3</v>
      </c>
      <c r="H7" s="49">
        <v>31</v>
      </c>
      <c r="I7">
        <f t="shared" si="0"/>
        <v>0.12903225806451613</v>
      </c>
    </row>
    <row r="8" spans="1:9" ht="15.5" x14ac:dyDescent="0.35">
      <c r="A8" s="43" t="s">
        <v>409</v>
      </c>
      <c r="B8" s="42">
        <v>0</v>
      </c>
      <c r="C8" s="59">
        <v>0</v>
      </c>
      <c r="D8" s="63">
        <v>20</v>
      </c>
      <c r="E8" s="63">
        <f t="shared" si="1"/>
        <v>0</v>
      </c>
      <c r="F8" s="42">
        <v>1</v>
      </c>
      <c r="G8" s="52">
        <v>1</v>
      </c>
      <c r="H8" s="49">
        <v>31</v>
      </c>
      <c r="I8">
        <f t="shared" si="0"/>
        <v>3.2258064516129031E-2</v>
      </c>
    </row>
    <row r="9" spans="1:9" ht="15.5" x14ac:dyDescent="0.35">
      <c r="A9" s="43" t="s">
        <v>410</v>
      </c>
      <c r="B9" s="42">
        <v>0</v>
      </c>
      <c r="C9" s="59">
        <v>0</v>
      </c>
      <c r="D9" s="63">
        <v>20</v>
      </c>
      <c r="E9" s="63">
        <f t="shared" si="1"/>
        <v>0</v>
      </c>
      <c r="F9" s="42">
        <v>247</v>
      </c>
      <c r="G9" s="52">
        <v>3</v>
      </c>
      <c r="H9" s="49">
        <v>31</v>
      </c>
      <c r="I9">
        <f t="shared" si="0"/>
        <v>7.967741935483871</v>
      </c>
    </row>
    <row r="10" spans="1:9" ht="16" thickBot="1" x14ac:dyDescent="0.4">
      <c r="A10" s="47" t="s">
        <v>411</v>
      </c>
      <c r="B10" s="48">
        <v>0</v>
      </c>
      <c r="C10" s="60">
        <v>0</v>
      </c>
      <c r="D10" s="63">
        <v>20</v>
      </c>
      <c r="E10" s="63">
        <f t="shared" si="1"/>
        <v>0</v>
      </c>
      <c r="F10" s="48">
        <v>1</v>
      </c>
      <c r="G10" s="62">
        <v>1</v>
      </c>
      <c r="H10" s="49">
        <v>31</v>
      </c>
      <c r="I10">
        <f t="shared" si="0"/>
        <v>3.2258064516129031E-2</v>
      </c>
    </row>
    <row r="11" spans="1:9" ht="15.5" x14ac:dyDescent="0.35">
      <c r="A11" s="49" t="s">
        <v>413</v>
      </c>
      <c r="B11">
        <f>SUM(B2:B10)</f>
        <v>11</v>
      </c>
      <c r="C11" s="59">
        <v>4</v>
      </c>
      <c r="F11">
        <f>SUM(F2:F10)</f>
        <v>1569</v>
      </c>
      <c r="G11" s="52">
        <v>25</v>
      </c>
    </row>
    <row r="13" spans="1:9" ht="15.5" x14ac:dyDescent="0.35">
      <c r="B13" s="42"/>
      <c r="C13" s="42"/>
      <c r="D13" s="42"/>
      <c r="E13" s="42"/>
    </row>
    <row r="14" spans="1:9" ht="30.5" thickBot="1" x14ac:dyDescent="0.35">
      <c r="A14" s="72"/>
      <c r="B14" s="73" t="s">
        <v>579</v>
      </c>
      <c r="C14" s="73" t="s">
        <v>547</v>
      </c>
      <c r="D14" s="73" t="s">
        <v>544</v>
      </c>
      <c r="E14" s="72" t="s">
        <v>209</v>
      </c>
      <c r="F14" s="58" t="s">
        <v>577</v>
      </c>
      <c r="G14" s="73" t="s">
        <v>545</v>
      </c>
      <c r="H14" s="72" t="s">
        <v>546</v>
      </c>
      <c r="I14" s="61" t="s">
        <v>577</v>
      </c>
    </row>
    <row r="15" spans="1:9" ht="15.5" x14ac:dyDescent="0.35">
      <c r="A15" s="80" t="s">
        <v>580</v>
      </c>
      <c r="B15" s="64" t="s">
        <v>622</v>
      </c>
      <c r="C15" s="63" t="s">
        <v>623</v>
      </c>
      <c r="D15" s="63">
        <v>0.05</v>
      </c>
      <c r="E15" s="63">
        <v>1</v>
      </c>
      <c r="F15" s="69">
        <v>1</v>
      </c>
      <c r="G15" s="63">
        <v>0.42</v>
      </c>
      <c r="H15" s="63">
        <f>202+839</f>
        <v>1041</v>
      </c>
      <c r="I15" s="70">
        <v>20</v>
      </c>
    </row>
    <row r="16" spans="1:9" ht="15.5" x14ac:dyDescent="0.35">
      <c r="A16" s="81"/>
      <c r="B16" s="64" t="s">
        <v>624</v>
      </c>
      <c r="C16" s="63" t="s">
        <v>623</v>
      </c>
      <c r="D16" s="63">
        <v>0.05</v>
      </c>
      <c r="E16" s="63">
        <v>1</v>
      </c>
      <c r="F16" s="69">
        <v>1</v>
      </c>
      <c r="G16" s="63">
        <v>0</v>
      </c>
      <c r="H16" s="63">
        <f>258+4</f>
        <v>262</v>
      </c>
      <c r="I16" s="70">
        <v>13</v>
      </c>
    </row>
    <row r="17" spans="1:9" ht="15.5" x14ac:dyDescent="0.35">
      <c r="A17" s="82"/>
      <c r="B17" s="47" t="s">
        <v>625</v>
      </c>
      <c r="C17" s="48" t="s">
        <v>623</v>
      </c>
      <c r="D17" s="48">
        <v>0</v>
      </c>
      <c r="E17" s="48">
        <v>0</v>
      </c>
      <c r="F17" s="71">
        <v>0</v>
      </c>
      <c r="G17" s="48">
        <v>0.13</v>
      </c>
      <c r="H17" s="48">
        <v>0</v>
      </c>
      <c r="I17" s="54">
        <v>0</v>
      </c>
    </row>
    <row r="18" spans="1:9" ht="15.5" x14ac:dyDescent="0.35">
      <c r="A18" s="83" t="s">
        <v>620</v>
      </c>
      <c r="B18" s="65" t="s">
        <v>626</v>
      </c>
      <c r="C18" s="66" t="s">
        <v>621</v>
      </c>
      <c r="D18" s="66">
        <v>0</v>
      </c>
      <c r="E18" s="66">
        <v>0</v>
      </c>
      <c r="F18" s="67">
        <v>0</v>
      </c>
      <c r="G18" s="66">
        <v>33.58</v>
      </c>
      <c r="H18" s="66">
        <v>13</v>
      </c>
      <c r="I18" s="68">
        <v>3</v>
      </c>
    </row>
    <row r="19" spans="1:9" ht="15.5" x14ac:dyDescent="0.35">
      <c r="A19" s="81"/>
      <c r="B19" s="64" t="s">
        <v>627</v>
      </c>
      <c r="C19" s="63" t="s">
        <v>621</v>
      </c>
      <c r="D19" s="63">
        <v>0</v>
      </c>
      <c r="E19" s="63">
        <v>0</v>
      </c>
      <c r="F19" s="69">
        <v>0</v>
      </c>
      <c r="G19" s="63">
        <v>7.97</v>
      </c>
      <c r="H19" s="63">
        <v>0</v>
      </c>
      <c r="I19" s="70">
        <v>0</v>
      </c>
    </row>
    <row r="20" spans="1:9" ht="15.5" x14ac:dyDescent="0.35">
      <c r="A20" s="81"/>
      <c r="B20" s="64" t="s">
        <v>628</v>
      </c>
      <c r="C20" s="63" t="s">
        <v>623</v>
      </c>
      <c r="D20" s="63">
        <v>0.4</v>
      </c>
      <c r="E20" s="63">
        <v>8</v>
      </c>
      <c r="F20" s="69">
        <v>1</v>
      </c>
      <c r="G20" s="63">
        <v>8.4499999999999993</v>
      </c>
      <c r="H20" s="63">
        <v>4</v>
      </c>
      <c r="I20" s="70">
        <v>3</v>
      </c>
    </row>
    <row r="21" spans="1:9" ht="15.5" x14ac:dyDescent="0.35">
      <c r="A21" s="81"/>
      <c r="B21" s="64" t="s">
        <v>540</v>
      </c>
      <c r="C21" s="63" t="s">
        <v>623</v>
      </c>
      <c r="D21" s="63">
        <v>0</v>
      </c>
      <c r="E21" s="63">
        <v>0</v>
      </c>
      <c r="F21" s="69">
        <v>0</v>
      </c>
      <c r="G21" s="63">
        <v>0.03</v>
      </c>
      <c r="H21" s="63">
        <v>1</v>
      </c>
      <c r="I21" s="70">
        <v>1</v>
      </c>
    </row>
    <row r="22" spans="1:9" ht="15.5" x14ac:dyDescent="0.35">
      <c r="A22" s="82"/>
      <c r="B22" s="47" t="s">
        <v>541</v>
      </c>
      <c r="C22" s="48" t="s">
        <v>623</v>
      </c>
      <c r="D22" s="48">
        <v>0.05</v>
      </c>
      <c r="E22" s="48">
        <v>0</v>
      </c>
      <c r="F22" s="71">
        <v>0</v>
      </c>
      <c r="G22" s="48">
        <v>0</v>
      </c>
      <c r="H22" s="48">
        <v>247</v>
      </c>
      <c r="I22" s="54">
        <v>3</v>
      </c>
    </row>
    <row r="23" spans="1:9" ht="16" thickBot="1" x14ac:dyDescent="0.4">
      <c r="A23" s="63" t="s">
        <v>543</v>
      </c>
      <c r="B23" s="64" t="s">
        <v>542</v>
      </c>
      <c r="C23" s="63" t="s">
        <v>623</v>
      </c>
      <c r="D23" s="63">
        <v>0</v>
      </c>
      <c r="E23" s="63">
        <v>0</v>
      </c>
      <c r="F23" s="69">
        <v>0</v>
      </c>
      <c r="G23" s="63">
        <v>0.03</v>
      </c>
      <c r="H23" s="63">
        <v>1</v>
      </c>
      <c r="I23" s="70">
        <v>1</v>
      </c>
    </row>
    <row r="24" spans="1:9" ht="15.5" x14ac:dyDescent="0.35">
      <c r="A24" s="74"/>
      <c r="B24" s="74"/>
      <c r="C24" s="74"/>
      <c r="D24" s="74"/>
      <c r="E24" s="75">
        <f>SUM(E15:E23)</f>
        <v>10</v>
      </c>
      <c r="F24" s="76">
        <v>4</v>
      </c>
      <c r="G24" s="75"/>
      <c r="H24" s="75">
        <f>SUM(H15:H23)</f>
        <v>1569</v>
      </c>
      <c r="I24" s="77">
        <v>25</v>
      </c>
    </row>
  </sheetData>
  <mergeCells count="2">
    <mergeCell ref="A15:A17"/>
    <mergeCell ref="A18:A22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46" workbookViewId="0">
      <selection activeCell="C48" sqref="C48"/>
    </sheetView>
  </sheetViews>
  <sheetFormatPr defaultColWidth="10.921875" defaultRowHeight="13.5" x14ac:dyDescent="0.3"/>
  <cols>
    <col min="14" max="14" width="12.23046875" bestFit="1" customWidth="1"/>
  </cols>
  <sheetData>
    <row r="1" spans="1:15" x14ac:dyDescent="0.3">
      <c r="A1" t="s">
        <v>598</v>
      </c>
      <c r="B1" t="s">
        <v>600</v>
      </c>
      <c r="C1" t="s">
        <v>317</v>
      </c>
      <c r="D1" t="s">
        <v>299</v>
      </c>
      <c r="E1" t="s">
        <v>300</v>
      </c>
      <c r="F1" t="s">
        <v>301</v>
      </c>
      <c r="G1" t="s">
        <v>306</v>
      </c>
      <c r="H1" t="s">
        <v>496</v>
      </c>
      <c r="I1" t="s">
        <v>503</v>
      </c>
      <c r="J1" t="s">
        <v>502</v>
      </c>
      <c r="K1" t="s">
        <v>504</v>
      </c>
      <c r="L1" t="s">
        <v>505</v>
      </c>
      <c r="M1" t="s">
        <v>414</v>
      </c>
      <c r="N1" t="s">
        <v>510</v>
      </c>
      <c r="O1" t="s">
        <v>512</v>
      </c>
    </row>
    <row r="2" spans="1:15" x14ac:dyDescent="0.3">
      <c r="A2" t="s">
        <v>506</v>
      </c>
      <c r="B2" t="s">
        <v>319</v>
      </c>
      <c r="C2">
        <v>1</v>
      </c>
      <c r="D2">
        <f>C2/530</f>
        <v>1.8867924528301887E-3</v>
      </c>
      <c r="E2">
        <v>0</v>
      </c>
      <c r="F2">
        <f>E2/454</f>
        <v>0</v>
      </c>
      <c r="G2">
        <f>F2/D2</f>
        <v>0</v>
      </c>
      <c r="H2">
        <f>G2/530.212255</f>
        <v>0</v>
      </c>
      <c r="I2">
        <v>456</v>
      </c>
      <c r="J2">
        <f>E2-(I2*D2)^2</f>
        <v>-0.74024919900320407</v>
      </c>
      <c r="K2">
        <f>I2*D2</f>
        <v>0.86037735849056607</v>
      </c>
      <c r="L2">
        <f>J2/K2</f>
        <v>-0.86037735849056607</v>
      </c>
      <c r="M2">
        <f>SQRT(F2*(1-F2)/I2)</f>
        <v>0</v>
      </c>
      <c r="N2">
        <f>F2-M2</f>
        <v>0</v>
      </c>
      <c r="O2">
        <f>F2+M2</f>
        <v>0</v>
      </c>
    </row>
    <row r="3" spans="1:15" x14ac:dyDescent="0.3">
      <c r="A3" t="s">
        <v>318</v>
      </c>
      <c r="B3" t="s">
        <v>320</v>
      </c>
      <c r="C3">
        <v>2</v>
      </c>
      <c r="D3">
        <f t="shared" ref="D3:D33" si="0">C3/530</f>
        <v>3.7735849056603774E-3</v>
      </c>
      <c r="E3">
        <v>0</v>
      </c>
      <c r="F3">
        <f t="shared" ref="F3:F33" si="1">E3/454</f>
        <v>0</v>
      </c>
      <c r="G3">
        <f t="shared" ref="G3:G32" si="2">F3/D3</f>
        <v>0</v>
      </c>
      <c r="H3">
        <f t="shared" ref="H3:H33" si="3">G3/530.212255</f>
        <v>0</v>
      </c>
      <c r="I3">
        <v>456</v>
      </c>
      <c r="J3">
        <f t="shared" ref="J3:J33" si="4">E3-(I3*D3)^2</f>
        <v>-2.9609967960128163</v>
      </c>
      <c r="K3">
        <f t="shared" ref="K3:K33" si="5">I3*D3</f>
        <v>1.7207547169811321</v>
      </c>
      <c r="L3">
        <f t="shared" ref="L3:L33" si="6">J3/K3</f>
        <v>-1.7207547169811321</v>
      </c>
      <c r="M3">
        <f t="shared" ref="M3:M33" si="7">SQRT(F3*(1-F3)/I3)</f>
        <v>0</v>
      </c>
      <c r="N3">
        <f t="shared" ref="N3:N33" si="8">F3-M3</f>
        <v>0</v>
      </c>
      <c r="O3">
        <f t="shared" ref="O3:O33" si="9">F3+M3</f>
        <v>0</v>
      </c>
    </row>
    <row r="4" spans="1:15" x14ac:dyDescent="0.3">
      <c r="A4" t="s">
        <v>318</v>
      </c>
      <c r="B4" t="s">
        <v>321</v>
      </c>
      <c r="C4">
        <v>2</v>
      </c>
      <c r="D4">
        <f t="shared" si="0"/>
        <v>3.7735849056603774E-3</v>
      </c>
      <c r="E4"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v>456</v>
      </c>
      <c r="J4">
        <f t="shared" si="4"/>
        <v>-2.9609967960128163</v>
      </c>
      <c r="K4">
        <f t="shared" si="5"/>
        <v>1.7207547169811321</v>
      </c>
      <c r="L4">
        <f t="shared" si="6"/>
        <v>-1.7207547169811321</v>
      </c>
      <c r="M4">
        <f t="shared" si="7"/>
        <v>0</v>
      </c>
      <c r="N4">
        <f t="shared" si="8"/>
        <v>0</v>
      </c>
      <c r="O4">
        <f t="shared" si="9"/>
        <v>0</v>
      </c>
    </row>
    <row r="5" spans="1:15" x14ac:dyDescent="0.3">
      <c r="A5" t="s">
        <v>318</v>
      </c>
      <c r="B5" t="s">
        <v>322</v>
      </c>
      <c r="C5">
        <v>2</v>
      </c>
      <c r="D5">
        <f t="shared" si="0"/>
        <v>3.7735849056603774E-3</v>
      </c>
      <c r="E5"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v>456</v>
      </c>
      <c r="J5">
        <f t="shared" si="4"/>
        <v>-2.9609967960128163</v>
      </c>
      <c r="K5">
        <f t="shared" si="5"/>
        <v>1.7207547169811321</v>
      </c>
      <c r="L5">
        <f t="shared" si="6"/>
        <v>-1.7207547169811321</v>
      </c>
      <c r="M5">
        <f t="shared" si="7"/>
        <v>0</v>
      </c>
      <c r="N5">
        <f t="shared" si="8"/>
        <v>0</v>
      </c>
      <c r="O5">
        <f t="shared" si="9"/>
        <v>0</v>
      </c>
    </row>
    <row r="6" spans="1:15" x14ac:dyDescent="0.3">
      <c r="A6" t="s">
        <v>318</v>
      </c>
      <c r="B6" t="s">
        <v>323</v>
      </c>
      <c r="C6">
        <v>2</v>
      </c>
      <c r="D6">
        <f t="shared" si="0"/>
        <v>3.7735849056603774E-3</v>
      </c>
      <c r="E6"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v>456</v>
      </c>
      <c r="J6">
        <f t="shared" si="4"/>
        <v>-2.9609967960128163</v>
      </c>
      <c r="K6">
        <f t="shared" si="5"/>
        <v>1.7207547169811321</v>
      </c>
      <c r="L6">
        <f t="shared" si="6"/>
        <v>-1.7207547169811321</v>
      </c>
      <c r="M6">
        <f t="shared" si="7"/>
        <v>0</v>
      </c>
      <c r="N6">
        <f t="shared" si="8"/>
        <v>0</v>
      </c>
      <c r="O6">
        <f t="shared" si="9"/>
        <v>0</v>
      </c>
    </row>
    <row r="7" spans="1:15" x14ac:dyDescent="0.3">
      <c r="A7" t="s">
        <v>318</v>
      </c>
      <c r="B7" t="s">
        <v>111</v>
      </c>
      <c r="C7">
        <v>2</v>
      </c>
      <c r="D7">
        <f t="shared" si="0"/>
        <v>3.7735849056603774E-3</v>
      </c>
      <c r="E7"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v>456</v>
      </c>
      <c r="J7">
        <f t="shared" si="4"/>
        <v>-2.9609967960128163</v>
      </c>
      <c r="K7">
        <f t="shared" si="5"/>
        <v>1.7207547169811321</v>
      </c>
      <c r="L7">
        <f t="shared" si="6"/>
        <v>-1.7207547169811321</v>
      </c>
      <c r="M7">
        <f t="shared" si="7"/>
        <v>0</v>
      </c>
      <c r="N7">
        <f t="shared" si="8"/>
        <v>0</v>
      </c>
      <c r="O7">
        <f t="shared" si="9"/>
        <v>0</v>
      </c>
    </row>
    <row r="8" spans="1:15" x14ac:dyDescent="0.3">
      <c r="A8" t="s">
        <v>318</v>
      </c>
      <c r="B8" t="s">
        <v>324</v>
      </c>
      <c r="C8">
        <v>3</v>
      </c>
      <c r="D8">
        <f t="shared" si="0"/>
        <v>5.6603773584905656E-3</v>
      </c>
      <c r="E8"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v>456</v>
      </c>
      <c r="J8">
        <f t="shared" si="4"/>
        <v>-6.6622427910288353</v>
      </c>
      <c r="K8">
        <f t="shared" si="5"/>
        <v>2.581132075471698</v>
      </c>
      <c r="L8">
        <f t="shared" si="6"/>
        <v>-2.581132075471698</v>
      </c>
      <c r="M8">
        <f t="shared" si="7"/>
        <v>0</v>
      </c>
      <c r="N8">
        <f t="shared" si="8"/>
        <v>0</v>
      </c>
      <c r="O8">
        <f t="shared" si="9"/>
        <v>0</v>
      </c>
    </row>
    <row r="9" spans="1:15" x14ac:dyDescent="0.3">
      <c r="A9" t="s">
        <v>318</v>
      </c>
      <c r="B9" t="s">
        <v>84</v>
      </c>
      <c r="C9">
        <v>3</v>
      </c>
      <c r="D9">
        <f t="shared" si="0"/>
        <v>5.6603773584905656E-3</v>
      </c>
      <c r="E9"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v>456</v>
      </c>
      <c r="J9">
        <f t="shared" si="4"/>
        <v>-6.6622427910288353</v>
      </c>
      <c r="K9">
        <f t="shared" si="5"/>
        <v>2.581132075471698</v>
      </c>
      <c r="L9">
        <f t="shared" si="6"/>
        <v>-2.581132075471698</v>
      </c>
      <c r="M9">
        <f t="shared" si="7"/>
        <v>0</v>
      </c>
      <c r="N9">
        <f t="shared" si="8"/>
        <v>0</v>
      </c>
      <c r="O9">
        <f t="shared" si="9"/>
        <v>0</v>
      </c>
    </row>
    <row r="10" spans="1:15" x14ac:dyDescent="0.3">
      <c r="A10" t="s">
        <v>318</v>
      </c>
      <c r="B10" t="s">
        <v>85</v>
      </c>
      <c r="C10">
        <v>4</v>
      </c>
      <c r="D10">
        <f t="shared" si="0"/>
        <v>7.5471698113207548E-3</v>
      </c>
      <c r="E10"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v>456</v>
      </c>
      <c r="J10">
        <f t="shared" si="4"/>
        <v>-11.843987184051265</v>
      </c>
      <c r="K10">
        <f t="shared" si="5"/>
        <v>3.4415094339622643</v>
      </c>
      <c r="L10">
        <f t="shared" si="6"/>
        <v>-3.4415094339622643</v>
      </c>
      <c r="M10">
        <f t="shared" si="7"/>
        <v>0</v>
      </c>
      <c r="N10">
        <f t="shared" si="8"/>
        <v>0</v>
      </c>
      <c r="O10">
        <f t="shared" si="9"/>
        <v>0</v>
      </c>
    </row>
    <row r="11" spans="1:15" x14ac:dyDescent="0.3">
      <c r="A11" t="s">
        <v>318</v>
      </c>
      <c r="B11" t="s">
        <v>86</v>
      </c>
      <c r="C11">
        <v>4</v>
      </c>
      <c r="D11">
        <f t="shared" si="0"/>
        <v>7.5471698113207548E-3</v>
      </c>
      <c r="E11"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v>456</v>
      </c>
      <c r="J11">
        <f t="shared" si="4"/>
        <v>-11.843987184051265</v>
      </c>
      <c r="K11">
        <f t="shared" si="5"/>
        <v>3.4415094339622643</v>
      </c>
      <c r="L11">
        <f t="shared" si="6"/>
        <v>-3.4415094339622643</v>
      </c>
      <c r="M11">
        <f t="shared" si="7"/>
        <v>0</v>
      </c>
      <c r="N11">
        <f t="shared" si="8"/>
        <v>0</v>
      </c>
      <c r="O11">
        <f t="shared" si="9"/>
        <v>0</v>
      </c>
    </row>
    <row r="12" spans="1:15" x14ac:dyDescent="0.3">
      <c r="A12" t="s">
        <v>318</v>
      </c>
      <c r="B12" t="s">
        <v>87</v>
      </c>
      <c r="C12">
        <v>5</v>
      </c>
      <c r="D12">
        <f t="shared" si="0"/>
        <v>9.433962264150943E-3</v>
      </c>
      <c r="E12"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v>456</v>
      </c>
      <c r="J12">
        <f t="shared" si="4"/>
        <v>-18.5062299750801</v>
      </c>
      <c r="K12">
        <f t="shared" si="5"/>
        <v>4.3018867924528301</v>
      </c>
      <c r="L12">
        <f t="shared" si="6"/>
        <v>-4.3018867924528301</v>
      </c>
      <c r="M12">
        <f t="shared" si="7"/>
        <v>0</v>
      </c>
      <c r="N12">
        <f t="shared" si="8"/>
        <v>0</v>
      </c>
      <c r="O12">
        <f t="shared" si="9"/>
        <v>0</v>
      </c>
    </row>
    <row r="13" spans="1:15" x14ac:dyDescent="0.3">
      <c r="A13" t="s">
        <v>318</v>
      </c>
      <c r="B13" t="s">
        <v>298</v>
      </c>
      <c r="C13">
        <v>5</v>
      </c>
      <c r="D13">
        <f t="shared" si="0"/>
        <v>9.433962264150943E-3</v>
      </c>
      <c r="E13"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v>456</v>
      </c>
      <c r="J13">
        <f t="shared" si="4"/>
        <v>-18.5062299750801</v>
      </c>
      <c r="K13">
        <f t="shared" si="5"/>
        <v>4.3018867924528301</v>
      </c>
      <c r="L13">
        <f t="shared" si="6"/>
        <v>-4.3018867924528301</v>
      </c>
      <c r="M13">
        <f t="shared" si="7"/>
        <v>0</v>
      </c>
      <c r="N13">
        <f t="shared" si="8"/>
        <v>0</v>
      </c>
      <c r="O13">
        <f t="shared" si="9"/>
        <v>0</v>
      </c>
    </row>
    <row r="14" spans="1:15" x14ac:dyDescent="0.3">
      <c r="A14" t="s">
        <v>318</v>
      </c>
      <c r="B14" t="s">
        <v>88</v>
      </c>
      <c r="C14">
        <v>6</v>
      </c>
      <c r="D14">
        <f t="shared" si="0"/>
        <v>1.1320754716981131E-2</v>
      </c>
      <c r="E14"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v>456</v>
      </c>
      <c r="J14">
        <f t="shared" si="4"/>
        <v>-26.648971164115341</v>
      </c>
      <c r="K14">
        <f t="shared" si="5"/>
        <v>5.162264150943396</v>
      </c>
      <c r="L14">
        <f t="shared" si="6"/>
        <v>-5.162264150943396</v>
      </c>
      <c r="M14">
        <f t="shared" si="7"/>
        <v>0</v>
      </c>
      <c r="N14">
        <f t="shared" si="8"/>
        <v>0</v>
      </c>
      <c r="O14">
        <f t="shared" si="9"/>
        <v>0</v>
      </c>
    </row>
    <row r="15" spans="1:15" x14ac:dyDescent="0.3">
      <c r="A15" t="s">
        <v>318</v>
      </c>
      <c r="B15" t="s">
        <v>89</v>
      </c>
      <c r="C15">
        <v>6</v>
      </c>
      <c r="D15">
        <f t="shared" si="0"/>
        <v>1.1320754716981131E-2</v>
      </c>
      <c r="E15"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v>456</v>
      </c>
      <c r="J15">
        <f t="shared" si="4"/>
        <v>-26.648971164115341</v>
      </c>
      <c r="K15">
        <f t="shared" si="5"/>
        <v>5.162264150943396</v>
      </c>
      <c r="L15">
        <f t="shared" si="6"/>
        <v>-5.162264150943396</v>
      </c>
      <c r="M15">
        <f t="shared" si="7"/>
        <v>0</v>
      </c>
      <c r="N15">
        <f t="shared" si="8"/>
        <v>0</v>
      </c>
      <c r="O15">
        <f t="shared" si="9"/>
        <v>0</v>
      </c>
    </row>
    <row r="16" spans="1:15" x14ac:dyDescent="0.3">
      <c r="A16" t="s">
        <v>318</v>
      </c>
      <c r="B16" t="s">
        <v>90</v>
      </c>
      <c r="C16">
        <v>7</v>
      </c>
      <c r="D16">
        <f t="shared" si="0"/>
        <v>1.3207547169811321E-2</v>
      </c>
      <c r="E16"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v>456</v>
      </c>
      <c r="J16">
        <f t="shared" si="4"/>
        <v>-36.272210751156997</v>
      </c>
      <c r="K16">
        <f t="shared" si="5"/>
        <v>6.0226415094339627</v>
      </c>
      <c r="L16">
        <f t="shared" si="6"/>
        <v>-6.0226415094339618</v>
      </c>
      <c r="M16">
        <f t="shared" si="7"/>
        <v>0</v>
      </c>
      <c r="N16">
        <f t="shared" si="8"/>
        <v>0</v>
      </c>
      <c r="O16">
        <f t="shared" si="9"/>
        <v>0</v>
      </c>
    </row>
    <row r="17" spans="1:15" x14ac:dyDescent="0.3">
      <c r="A17" t="s">
        <v>318</v>
      </c>
      <c r="B17" t="s">
        <v>91</v>
      </c>
      <c r="C17">
        <v>9</v>
      </c>
      <c r="D17">
        <f t="shared" si="0"/>
        <v>1.6981132075471698E-2</v>
      </c>
      <c r="E17"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v>456</v>
      </c>
      <c r="J17">
        <f t="shared" si="4"/>
        <v>-59.960185119259521</v>
      </c>
      <c r="K17">
        <f t="shared" si="5"/>
        <v>7.7433962264150944</v>
      </c>
      <c r="L17">
        <f t="shared" si="6"/>
        <v>-7.7433962264150944</v>
      </c>
      <c r="M17">
        <f t="shared" si="7"/>
        <v>0</v>
      </c>
      <c r="N17">
        <f t="shared" si="8"/>
        <v>0</v>
      </c>
      <c r="O17">
        <f t="shared" si="9"/>
        <v>0</v>
      </c>
    </row>
    <row r="18" spans="1:15" x14ac:dyDescent="0.3">
      <c r="A18" t="s">
        <v>318</v>
      </c>
      <c r="B18" t="s">
        <v>92</v>
      </c>
      <c r="C18">
        <v>10</v>
      </c>
      <c r="D18">
        <f t="shared" si="0"/>
        <v>1.8867924528301886E-2</v>
      </c>
      <c r="E18"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v>456</v>
      </c>
      <c r="J18">
        <f t="shared" si="4"/>
        <v>-74.024919900320398</v>
      </c>
      <c r="K18">
        <f t="shared" si="5"/>
        <v>8.6037735849056602</v>
      </c>
      <c r="L18">
        <f t="shared" si="6"/>
        <v>-8.6037735849056602</v>
      </c>
      <c r="M18">
        <f t="shared" si="7"/>
        <v>0</v>
      </c>
      <c r="N18">
        <f t="shared" si="8"/>
        <v>0</v>
      </c>
      <c r="O18">
        <f t="shared" si="9"/>
        <v>0</v>
      </c>
    </row>
    <row r="19" spans="1:15" x14ac:dyDescent="0.3">
      <c r="A19" t="s">
        <v>318</v>
      </c>
      <c r="B19" t="s">
        <v>93</v>
      </c>
      <c r="C19">
        <v>10</v>
      </c>
      <c r="D19">
        <f t="shared" si="0"/>
        <v>1.8867924528301886E-2</v>
      </c>
      <c r="E19"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v>456</v>
      </c>
      <c r="J19">
        <f t="shared" si="4"/>
        <v>-74.024919900320398</v>
      </c>
      <c r="K19">
        <f t="shared" si="5"/>
        <v>8.6037735849056602</v>
      </c>
      <c r="L19">
        <f t="shared" si="6"/>
        <v>-8.6037735849056602</v>
      </c>
      <c r="M19">
        <f t="shared" si="7"/>
        <v>0</v>
      </c>
      <c r="N19">
        <f t="shared" si="8"/>
        <v>0</v>
      </c>
      <c r="O19">
        <f t="shared" si="9"/>
        <v>0</v>
      </c>
    </row>
    <row r="20" spans="1:15" x14ac:dyDescent="0.3">
      <c r="A20" t="s">
        <v>318</v>
      </c>
      <c r="B20" t="s">
        <v>94</v>
      </c>
      <c r="C20">
        <v>11</v>
      </c>
      <c r="D20">
        <f t="shared" si="0"/>
        <v>2.0754716981132074E-2</v>
      </c>
      <c r="E20">
        <v>2</v>
      </c>
      <c r="F20">
        <f t="shared" si="1"/>
        <v>4.4052863436123352E-3</v>
      </c>
      <c r="G20">
        <f t="shared" si="2"/>
        <v>0.21225470564677618</v>
      </c>
      <c r="H20">
        <f t="shared" si="3"/>
        <v>4.003202559827218E-4</v>
      </c>
      <c r="I20">
        <v>456</v>
      </c>
      <c r="J20">
        <f t="shared" si="4"/>
        <v>-87.570153079387666</v>
      </c>
      <c r="K20">
        <f t="shared" si="5"/>
        <v>9.4641509433962252</v>
      </c>
      <c r="L20">
        <f t="shared" si="6"/>
        <v>-9.2528271794408834</v>
      </c>
      <c r="M20">
        <f t="shared" si="7"/>
        <v>3.1013154381688392E-3</v>
      </c>
      <c r="N20">
        <f t="shared" si="8"/>
        <v>1.303970905443496E-3</v>
      </c>
      <c r="O20">
        <f t="shared" si="9"/>
        <v>7.5066017817811744E-3</v>
      </c>
    </row>
    <row r="21" spans="1:15" x14ac:dyDescent="0.3">
      <c r="A21" t="s">
        <v>318</v>
      </c>
      <c r="B21" t="s">
        <v>95</v>
      </c>
      <c r="C21">
        <v>11</v>
      </c>
      <c r="D21">
        <f t="shared" si="0"/>
        <v>2.0754716981132074E-2</v>
      </c>
      <c r="E21"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v>456</v>
      </c>
      <c r="J21">
        <f t="shared" si="4"/>
        <v>-89.570153079387666</v>
      </c>
      <c r="K21">
        <f t="shared" si="5"/>
        <v>9.4641509433962252</v>
      </c>
      <c r="L21">
        <f t="shared" si="6"/>
        <v>-9.4641509433962252</v>
      </c>
      <c r="M21">
        <f t="shared" si="7"/>
        <v>0</v>
      </c>
      <c r="N21">
        <f t="shared" si="8"/>
        <v>0</v>
      </c>
      <c r="O21">
        <f t="shared" si="9"/>
        <v>0</v>
      </c>
    </row>
    <row r="22" spans="1:15" x14ac:dyDescent="0.3">
      <c r="A22" t="s">
        <v>318</v>
      </c>
      <c r="B22" t="s">
        <v>96</v>
      </c>
      <c r="C22">
        <v>15</v>
      </c>
      <c r="D22">
        <f t="shared" si="0"/>
        <v>2.8301886792452831E-2</v>
      </c>
      <c r="E22"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v>456</v>
      </c>
      <c r="J22">
        <f t="shared" si="4"/>
        <v>-166.55606977572089</v>
      </c>
      <c r="K22">
        <f t="shared" si="5"/>
        <v>12.90566037735849</v>
      </c>
      <c r="L22">
        <f t="shared" si="6"/>
        <v>-12.90566037735849</v>
      </c>
      <c r="M22">
        <f t="shared" si="7"/>
        <v>0</v>
      </c>
      <c r="N22">
        <f t="shared" si="8"/>
        <v>0</v>
      </c>
      <c r="O22">
        <f t="shared" si="9"/>
        <v>0</v>
      </c>
    </row>
    <row r="23" spans="1:15" x14ac:dyDescent="0.3">
      <c r="A23" t="s">
        <v>318</v>
      </c>
      <c r="B23" t="s">
        <v>97</v>
      </c>
      <c r="C23">
        <v>27</v>
      </c>
      <c r="D23">
        <f t="shared" si="0"/>
        <v>5.0943396226415097E-2</v>
      </c>
      <c r="E23"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v>456</v>
      </c>
      <c r="J23">
        <f t="shared" si="4"/>
        <v>-539.64166607333573</v>
      </c>
      <c r="K23">
        <f t="shared" si="5"/>
        <v>23.230188679245284</v>
      </c>
      <c r="L23">
        <f t="shared" si="6"/>
        <v>-23.230188679245284</v>
      </c>
      <c r="M23">
        <f t="shared" si="7"/>
        <v>0</v>
      </c>
      <c r="N23">
        <f t="shared" si="8"/>
        <v>0</v>
      </c>
      <c r="O23">
        <f t="shared" si="9"/>
        <v>0</v>
      </c>
    </row>
    <row r="24" spans="1:15" x14ac:dyDescent="0.3">
      <c r="A24" t="s">
        <v>318</v>
      </c>
      <c r="B24" t="s">
        <v>98</v>
      </c>
      <c r="C24">
        <v>34</v>
      </c>
      <c r="D24">
        <f t="shared" si="0"/>
        <v>6.4150943396226415E-2</v>
      </c>
      <c r="E24"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v>456</v>
      </c>
      <c r="J24">
        <f t="shared" si="4"/>
        <v>-855.72807404770379</v>
      </c>
      <c r="K24">
        <f t="shared" si="5"/>
        <v>29.252830188679244</v>
      </c>
      <c r="L24">
        <f t="shared" si="6"/>
        <v>-29.252830188679244</v>
      </c>
      <c r="M24">
        <f t="shared" si="7"/>
        <v>0</v>
      </c>
      <c r="N24">
        <f t="shared" si="8"/>
        <v>0</v>
      </c>
      <c r="O24">
        <f t="shared" si="9"/>
        <v>0</v>
      </c>
    </row>
    <row r="25" spans="1:15" x14ac:dyDescent="0.3">
      <c r="A25" t="s">
        <v>318</v>
      </c>
      <c r="B25" t="s">
        <v>99</v>
      </c>
      <c r="C25">
        <v>68</v>
      </c>
      <c r="D25">
        <f t="shared" si="0"/>
        <v>0.12830188679245283</v>
      </c>
      <c r="E25"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v>456</v>
      </c>
      <c r="J25">
        <f t="shared" si="4"/>
        <v>-3422.9122961908151</v>
      </c>
      <c r="K25">
        <f t="shared" si="5"/>
        <v>58.505660377358488</v>
      </c>
      <c r="L25">
        <f t="shared" si="6"/>
        <v>-58.505660377358488</v>
      </c>
      <c r="M25">
        <f t="shared" si="7"/>
        <v>0</v>
      </c>
      <c r="N25">
        <f t="shared" si="8"/>
        <v>0</v>
      </c>
      <c r="O25">
        <f t="shared" si="9"/>
        <v>0</v>
      </c>
    </row>
    <row r="26" spans="1:15" x14ac:dyDescent="0.3">
      <c r="A26" t="s">
        <v>318</v>
      </c>
      <c r="B26" t="s">
        <v>100</v>
      </c>
      <c r="C26">
        <v>72</v>
      </c>
      <c r="D26">
        <f t="shared" si="0"/>
        <v>0.13584905660377358</v>
      </c>
      <c r="E26"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v>456</v>
      </c>
      <c r="J26">
        <f t="shared" si="4"/>
        <v>-3837.4518476326093</v>
      </c>
      <c r="K26">
        <f t="shared" si="5"/>
        <v>61.947169811320755</v>
      </c>
      <c r="L26">
        <f t="shared" si="6"/>
        <v>-61.947169811320755</v>
      </c>
      <c r="M26">
        <f t="shared" si="7"/>
        <v>0</v>
      </c>
      <c r="N26">
        <f t="shared" si="8"/>
        <v>0</v>
      </c>
      <c r="O26">
        <f t="shared" si="9"/>
        <v>0</v>
      </c>
    </row>
    <row r="27" spans="1:15" x14ac:dyDescent="0.3">
      <c r="A27" t="s">
        <v>318</v>
      </c>
      <c r="B27" t="s">
        <v>30</v>
      </c>
      <c r="C27">
        <v>97</v>
      </c>
      <c r="D27">
        <f t="shared" si="0"/>
        <v>0.18301886792452829</v>
      </c>
      <c r="E27"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v>456</v>
      </c>
      <c r="J27">
        <f t="shared" si="4"/>
        <v>-6965.0047134211454</v>
      </c>
      <c r="K27">
        <f t="shared" si="5"/>
        <v>83.456603773584902</v>
      </c>
      <c r="L27">
        <f t="shared" si="6"/>
        <v>-83.456603773584902</v>
      </c>
      <c r="M27">
        <f t="shared" si="7"/>
        <v>0</v>
      </c>
      <c r="N27">
        <f t="shared" si="8"/>
        <v>0</v>
      </c>
      <c r="O27">
        <f t="shared" si="9"/>
        <v>0</v>
      </c>
    </row>
    <row r="28" spans="1:15" x14ac:dyDescent="0.3">
      <c r="A28" t="s">
        <v>318</v>
      </c>
      <c r="B28" t="s">
        <v>31</v>
      </c>
      <c r="C28">
        <v>107</v>
      </c>
      <c r="D28">
        <f t="shared" si="0"/>
        <v>0.2018867924528302</v>
      </c>
      <c r="E28"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v>456</v>
      </c>
      <c r="J28">
        <f t="shared" si="4"/>
        <v>-8475.1130793876837</v>
      </c>
      <c r="K28">
        <f t="shared" si="5"/>
        <v>92.06037735849057</v>
      </c>
      <c r="L28">
        <f t="shared" si="6"/>
        <v>-92.06037735849057</v>
      </c>
      <c r="M28">
        <f t="shared" si="7"/>
        <v>0</v>
      </c>
      <c r="N28">
        <f t="shared" si="8"/>
        <v>0</v>
      </c>
      <c r="O28">
        <f t="shared" si="9"/>
        <v>0</v>
      </c>
    </row>
    <row r="29" spans="1:15" x14ac:dyDescent="0.3">
      <c r="A29" t="s">
        <v>318</v>
      </c>
      <c r="B29" t="s">
        <v>32</v>
      </c>
      <c r="C29">
        <v>1</v>
      </c>
      <c r="D29">
        <f t="shared" si="0"/>
        <v>1.8867924528301887E-3</v>
      </c>
      <c r="E29">
        <v>202</v>
      </c>
      <c r="F29">
        <f t="shared" si="1"/>
        <v>0.44493392070484583</v>
      </c>
      <c r="G29">
        <f t="shared" si="2"/>
        <v>235.81497797356829</v>
      </c>
      <c r="H29">
        <f t="shared" si="3"/>
        <v>0.44475580439680384</v>
      </c>
      <c r="I29">
        <v>456</v>
      </c>
      <c r="J29">
        <f t="shared" si="4"/>
        <v>201.25975080099678</v>
      </c>
      <c r="K29">
        <f t="shared" si="5"/>
        <v>0.86037735849056607</v>
      </c>
      <c r="L29">
        <f t="shared" si="6"/>
        <v>233.92032439589536</v>
      </c>
      <c r="M29">
        <f t="shared" si="7"/>
        <v>2.3272212880360462E-2</v>
      </c>
      <c r="N29">
        <f t="shared" si="8"/>
        <v>0.42166170782448537</v>
      </c>
      <c r="O29">
        <f t="shared" si="9"/>
        <v>0.4682061335852063</v>
      </c>
    </row>
    <row r="30" spans="1:15" x14ac:dyDescent="0.3">
      <c r="A30" t="s">
        <v>318</v>
      </c>
      <c r="B30" t="s">
        <v>33</v>
      </c>
      <c r="C30">
        <v>1</v>
      </c>
      <c r="D30">
        <f t="shared" si="0"/>
        <v>1.8867924528301887E-3</v>
      </c>
      <c r="E30">
        <v>245</v>
      </c>
      <c r="F30">
        <f t="shared" si="1"/>
        <v>0.53964757709251099</v>
      </c>
      <c r="G30">
        <f t="shared" si="2"/>
        <v>286.01321585903082</v>
      </c>
      <c r="H30">
        <f t="shared" si="3"/>
        <v>0.53943154493671752</v>
      </c>
      <c r="I30">
        <v>456</v>
      </c>
      <c r="J30">
        <f t="shared" si="4"/>
        <v>244.25975080099678</v>
      </c>
      <c r="K30">
        <f t="shared" si="5"/>
        <v>0.86037735849056607</v>
      </c>
      <c r="L30">
        <f t="shared" si="6"/>
        <v>283.89839457133399</v>
      </c>
      <c r="M30">
        <f t="shared" si="7"/>
        <v>2.3340916826742775E-2</v>
      </c>
      <c r="N30">
        <f t="shared" si="8"/>
        <v>0.51630666026576821</v>
      </c>
      <c r="O30">
        <f t="shared" si="9"/>
        <v>0.56298849391925376</v>
      </c>
    </row>
    <row r="31" spans="1:15" x14ac:dyDescent="0.3">
      <c r="A31" t="s">
        <v>318</v>
      </c>
      <c r="B31" t="s">
        <v>34</v>
      </c>
      <c r="C31">
        <v>1</v>
      </c>
      <c r="D31">
        <f t="shared" si="0"/>
        <v>1.8867924528301887E-3</v>
      </c>
      <c r="E31">
        <v>1</v>
      </c>
      <c r="F31">
        <f t="shared" si="1"/>
        <v>2.2026431718061676E-3</v>
      </c>
      <c r="G31">
        <f t="shared" si="2"/>
        <v>1.1674008810572689</v>
      </c>
      <c r="H31">
        <f t="shared" si="3"/>
        <v>2.2017614079049698E-3</v>
      </c>
      <c r="I31">
        <v>456</v>
      </c>
      <c r="J31">
        <f t="shared" si="4"/>
        <v>0.25975080099679593</v>
      </c>
      <c r="K31">
        <f t="shared" si="5"/>
        <v>0.86037735849056607</v>
      </c>
      <c r="L31">
        <f t="shared" si="6"/>
        <v>0.30190334326381979</v>
      </c>
      <c r="M31">
        <f t="shared" si="7"/>
        <v>2.1953856786929779E-3</v>
      </c>
      <c r="N31">
        <f t="shared" si="8"/>
        <v>7.2574931131897009E-6</v>
      </c>
      <c r="O31">
        <f t="shared" si="9"/>
        <v>4.3980288504991451E-3</v>
      </c>
    </row>
    <row r="32" spans="1:15" x14ac:dyDescent="0.3">
      <c r="A32" t="s">
        <v>318</v>
      </c>
      <c r="B32" t="s">
        <v>35</v>
      </c>
      <c r="C32">
        <v>1</v>
      </c>
      <c r="D32">
        <f t="shared" si="0"/>
        <v>1.8867924528301887E-3</v>
      </c>
      <c r="E32">
        <v>4</v>
      </c>
      <c r="F32">
        <f t="shared" si="1"/>
        <v>8.8105726872246704E-3</v>
      </c>
      <c r="G32">
        <f t="shared" si="2"/>
        <v>4.6696035242290757</v>
      </c>
      <c r="H32">
        <f t="shared" si="3"/>
        <v>8.8070456316198791E-3</v>
      </c>
      <c r="I32">
        <v>456</v>
      </c>
      <c r="J32">
        <f t="shared" si="4"/>
        <v>3.2597508009967959</v>
      </c>
      <c r="K32">
        <f t="shared" si="5"/>
        <v>0.86037735849056607</v>
      </c>
      <c r="L32">
        <f t="shared" si="6"/>
        <v>3.7887454485269774</v>
      </c>
      <c r="M32">
        <f t="shared" si="7"/>
        <v>4.3762082281884711E-3</v>
      </c>
      <c r="N32">
        <f t="shared" si="8"/>
        <v>4.4343644590361993E-3</v>
      </c>
      <c r="O32">
        <f t="shared" si="9"/>
        <v>1.3186780915413141E-2</v>
      </c>
    </row>
    <row r="33" spans="1:15" x14ac:dyDescent="0.3">
      <c r="A33" t="s">
        <v>318</v>
      </c>
      <c r="B33" t="s">
        <v>44</v>
      </c>
      <c r="C33">
        <v>1</v>
      </c>
      <c r="D33">
        <f t="shared" si="0"/>
        <v>1.8867924528301887E-3</v>
      </c>
      <c r="E33">
        <v>2</v>
      </c>
      <c r="F33">
        <f t="shared" si="1"/>
        <v>4.4052863436123352E-3</v>
      </c>
      <c r="G33">
        <f>F33/D33</f>
        <v>2.3348017621145378</v>
      </c>
      <c r="H33">
        <f t="shared" si="3"/>
        <v>4.4035228158099396E-3</v>
      </c>
      <c r="I33">
        <v>456</v>
      </c>
      <c r="J33">
        <f t="shared" si="4"/>
        <v>1.2597508009967959</v>
      </c>
      <c r="K33">
        <f t="shared" si="5"/>
        <v>0.86037735849056607</v>
      </c>
      <c r="L33">
        <f t="shared" si="6"/>
        <v>1.4641840450182058</v>
      </c>
      <c r="M33">
        <f t="shared" si="7"/>
        <v>3.1013154381688392E-3</v>
      </c>
      <c r="N33">
        <f t="shared" si="8"/>
        <v>1.303970905443496E-3</v>
      </c>
      <c r="O33">
        <f t="shared" si="9"/>
        <v>7.5066017817811744E-3</v>
      </c>
    </row>
    <row r="34" spans="1:15" x14ac:dyDescent="0.3">
      <c r="A34" t="s">
        <v>36</v>
      </c>
      <c r="B34" t="s">
        <v>97</v>
      </c>
      <c r="C34">
        <v>1</v>
      </c>
      <c r="D34">
        <f>C34/270</f>
        <v>3.7037037037037038E-3</v>
      </c>
      <c r="E34">
        <v>0</v>
      </c>
      <c r="F34">
        <f>E34/1113</f>
        <v>0</v>
      </c>
      <c r="G34">
        <f>F34/D34</f>
        <v>0</v>
      </c>
      <c r="H34">
        <f>G34/70.62865</f>
        <v>0</v>
      </c>
      <c r="I34">
        <v>1113</v>
      </c>
      <c r="J34">
        <f>E34-(1113*D34)^2</f>
        <v>-16.992716049382718</v>
      </c>
      <c r="K34">
        <f>I34*D34</f>
        <v>4.1222222222222227</v>
      </c>
      <c r="L34">
        <f>J34/K34</f>
        <v>-4.1222222222222227</v>
      </c>
      <c r="M34">
        <f>SQRT(F34*(1-F34)/I34)</f>
        <v>0</v>
      </c>
      <c r="N34">
        <f>F34-M34</f>
        <v>0</v>
      </c>
      <c r="O34">
        <f>F34+M34</f>
        <v>0</v>
      </c>
    </row>
    <row r="35" spans="1:15" x14ac:dyDescent="0.3">
      <c r="A35" t="s">
        <v>36</v>
      </c>
      <c r="B35" t="s">
        <v>37</v>
      </c>
      <c r="C35">
        <v>1</v>
      </c>
      <c r="D35">
        <f t="shared" ref="D35:D53" si="10">C35/270</f>
        <v>3.7037037037037038E-3</v>
      </c>
      <c r="E35">
        <v>0</v>
      </c>
      <c r="F35">
        <f t="shared" ref="F35:F53" si="11">E35/1113</f>
        <v>0</v>
      </c>
      <c r="G35">
        <f t="shared" ref="G35:G53" si="12">F35/D35</f>
        <v>0</v>
      </c>
      <c r="H35">
        <f t="shared" ref="H35:H53" si="13">G35/70.62865</f>
        <v>0</v>
      </c>
      <c r="I35">
        <v>1113</v>
      </c>
      <c r="J35">
        <f t="shared" ref="J35:J53" si="14">E35-(1113*D35)^2</f>
        <v>-16.992716049382718</v>
      </c>
      <c r="K35">
        <f t="shared" ref="K35:K53" si="15">I35*D35</f>
        <v>4.1222222222222227</v>
      </c>
      <c r="L35">
        <f t="shared" ref="L35:L53" si="16">J35/K35</f>
        <v>-4.1222222222222227</v>
      </c>
      <c r="M35">
        <f t="shared" ref="M35:M53" si="17">SQRT(F35*(1-F35)/I35)</f>
        <v>0</v>
      </c>
      <c r="N35">
        <f t="shared" ref="N35:N52" si="18">F35-M35</f>
        <v>0</v>
      </c>
      <c r="O35">
        <f t="shared" ref="O35:O53" si="19">F35+M35</f>
        <v>0</v>
      </c>
    </row>
    <row r="36" spans="1:15" x14ac:dyDescent="0.3">
      <c r="A36" t="s">
        <v>36</v>
      </c>
      <c r="B36" t="s">
        <v>38</v>
      </c>
      <c r="C36">
        <v>1</v>
      </c>
      <c r="D36">
        <f t="shared" si="10"/>
        <v>3.7037037037037038E-3</v>
      </c>
      <c r="E36">
        <v>0</v>
      </c>
      <c r="F36">
        <f t="shared" si="11"/>
        <v>0</v>
      </c>
      <c r="G36">
        <f t="shared" si="12"/>
        <v>0</v>
      </c>
      <c r="H36">
        <f t="shared" si="13"/>
        <v>0</v>
      </c>
      <c r="I36">
        <v>1113</v>
      </c>
      <c r="J36">
        <f t="shared" si="14"/>
        <v>-16.992716049382718</v>
      </c>
      <c r="K36">
        <f t="shared" si="15"/>
        <v>4.1222222222222227</v>
      </c>
      <c r="L36">
        <f t="shared" si="16"/>
        <v>-4.1222222222222227</v>
      </c>
      <c r="M36">
        <f t="shared" si="17"/>
        <v>0</v>
      </c>
      <c r="N36">
        <f t="shared" si="18"/>
        <v>0</v>
      </c>
      <c r="O36">
        <f t="shared" si="19"/>
        <v>0</v>
      </c>
    </row>
    <row r="37" spans="1:15" x14ac:dyDescent="0.3">
      <c r="A37" t="s">
        <v>36</v>
      </c>
      <c r="B37" t="s">
        <v>39</v>
      </c>
      <c r="C37">
        <v>2</v>
      </c>
      <c r="D37">
        <f t="shared" si="10"/>
        <v>7.4074074074074077E-3</v>
      </c>
      <c r="E37">
        <v>0</v>
      </c>
      <c r="F37">
        <f t="shared" si="11"/>
        <v>0</v>
      </c>
      <c r="G37">
        <f t="shared" si="12"/>
        <v>0</v>
      </c>
      <c r="H37">
        <f t="shared" si="13"/>
        <v>0</v>
      </c>
      <c r="I37">
        <v>1113</v>
      </c>
      <c r="J37">
        <f t="shared" si="14"/>
        <v>-67.970864197530872</v>
      </c>
      <c r="K37">
        <f t="shared" si="15"/>
        <v>8.2444444444444454</v>
      </c>
      <c r="L37">
        <f t="shared" si="16"/>
        <v>-8.2444444444444454</v>
      </c>
      <c r="M37">
        <f t="shared" si="17"/>
        <v>0</v>
      </c>
      <c r="N37">
        <f t="shared" si="18"/>
        <v>0</v>
      </c>
      <c r="O37">
        <f t="shared" si="19"/>
        <v>0</v>
      </c>
    </row>
    <row r="38" spans="1:15" x14ac:dyDescent="0.3">
      <c r="A38" t="s">
        <v>36</v>
      </c>
      <c r="B38" t="s">
        <v>84</v>
      </c>
      <c r="C38">
        <v>2</v>
      </c>
      <c r="D38">
        <f t="shared" si="10"/>
        <v>7.4074074074074077E-3</v>
      </c>
      <c r="E38">
        <v>0</v>
      </c>
      <c r="F38">
        <f t="shared" si="11"/>
        <v>0</v>
      </c>
      <c r="G38">
        <f t="shared" si="12"/>
        <v>0</v>
      </c>
      <c r="H38">
        <f t="shared" si="13"/>
        <v>0</v>
      </c>
      <c r="I38">
        <v>1113</v>
      </c>
      <c r="J38">
        <f t="shared" si="14"/>
        <v>-67.970864197530872</v>
      </c>
      <c r="K38">
        <f t="shared" si="15"/>
        <v>8.2444444444444454</v>
      </c>
      <c r="L38">
        <f t="shared" si="16"/>
        <v>-8.2444444444444454</v>
      </c>
      <c r="M38">
        <f t="shared" si="17"/>
        <v>0</v>
      </c>
      <c r="N38">
        <f t="shared" si="18"/>
        <v>0</v>
      </c>
      <c r="O38">
        <f t="shared" si="19"/>
        <v>0</v>
      </c>
    </row>
    <row r="39" spans="1:15" x14ac:dyDescent="0.3">
      <c r="A39" t="s">
        <v>36</v>
      </c>
      <c r="B39" t="s">
        <v>33</v>
      </c>
      <c r="C39">
        <v>3</v>
      </c>
      <c r="D39">
        <f t="shared" si="10"/>
        <v>1.1111111111111112E-2</v>
      </c>
      <c r="E39">
        <v>2</v>
      </c>
      <c r="F39">
        <f t="shared" si="11"/>
        <v>1.7969451931716084E-3</v>
      </c>
      <c r="G39">
        <f t="shared" si="12"/>
        <v>0.16172506738544476</v>
      </c>
      <c r="H39">
        <f t="shared" si="13"/>
        <v>2.2897941187527268E-3</v>
      </c>
      <c r="I39">
        <v>1113</v>
      </c>
      <c r="J39">
        <f t="shared" si="14"/>
        <v>-150.93444444444447</v>
      </c>
      <c r="K39">
        <f t="shared" si="15"/>
        <v>12.366666666666667</v>
      </c>
      <c r="L39">
        <f t="shared" si="16"/>
        <v>-12.204941599281224</v>
      </c>
      <c r="M39">
        <f t="shared" si="17"/>
        <v>1.2694899900395958E-3</v>
      </c>
      <c r="N39">
        <f t="shared" si="18"/>
        <v>5.2745520313201254E-4</v>
      </c>
      <c r="O39">
        <f t="shared" si="19"/>
        <v>3.0664351832112042E-3</v>
      </c>
    </row>
    <row r="40" spans="1:15" x14ac:dyDescent="0.3">
      <c r="A40" t="s">
        <v>36</v>
      </c>
      <c r="B40" t="s">
        <v>34</v>
      </c>
      <c r="C40">
        <v>5</v>
      </c>
      <c r="D40">
        <f t="shared" si="10"/>
        <v>1.8518518518518517E-2</v>
      </c>
      <c r="E40">
        <v>0</v>
      </c>
      <c r="F40">
        <f t="shared" si="11"/>
        <v>0</v>
      </c>
      <c r="G40">
        <f t="shared" si="12"/>
        <v>0</v>
      </c>
      <c r="H40">
        <f t="shared" si="13"/>
        <v>0</v>
      </c>
      <c r="I40">
        <v>1113</v>
      </c>
      <c r="J40">
        <f t="shared" si="14"/>
        <v>-424.8179012345679</v>
      </c>
      <c r="K40">
        <f t="shared" si="15"/>
        <v>20.611111111111111</v>
      </c>
      <c r="L40">
        <f t="shared" si="16"/>
        <v>-20.611111111111111</v>
      </c>
      <c r="M40">
        <f t="shared" si="17"/>
        <v>0</v>
      </c>
      <c r="N40">
        <f t="shared" si="18"/>
        <v>0</v>
      </c>
      <c r="O40">
        <f t="shared" si="19"/>
        <v>0</v>
      </c>
    </row>
    <row r="41" spans="1:15" x14ac:dyDescent="0.3">
      <c r="A41" t="s">
        <v>36</v>
      </c>
      <c r="B41" t="s">
        <v>31</v>
      </c>
      <c r="C41">
        <v>6</v>
      </c>
      <c r="D41">
        <f t="shared" si="10"/>
        <v>2.2222222222222223E-2</v>
      </c>
      <c r="E41">
        <v>0</v>
      </c>
      <c r="F41">
        <f t="shared" si="11"/>
        <v>0</v>
      </c>
      <c r="G41">
        <f t="shared" si="12"/>
        <v>0</v>
      </c>
      <c r="H41">
        <f t="shared" si="13"/>
        <v>0</v>
      </c>
      <c r="I41">
        <v>1113</v>
      </c>
      <c r="J41">
        <f t="shared" si="14"/>
        <v>-611.73777777777786</v>
      </c>
      <c r="K41">
        <f t="shared" si="15"/>
        <v>24.733333333333334</v>
      </c>
      <c r="L41">
        <f t="shared" si="16"/>
        <v>-24.733333333333334</v>
      </c>
      <c r="M41">
        <f t="shared" si="17"/>
        <v>0</v>
      </c>
      <c r="N41">
        <f t="shared" si="18"/>
        <v>0</v>
      </c>
      <c r="O41">
        <f t="shared" si="19"/>
        <v>0</v>
      </c>
    </row>
    <row r="42" spans="1:15" x14ac:dyDescent="0.3">
      <c r="A42" t="s">
        <v>36</v>
      </c>
      <c r="B42" t="s">
        <v>40</v>
      </c>
      <c r="C42">
        <v>6</v>
      </c>
      <c r="D42">
        <f t="shared" si="10"/>
        <v>2.2222222222222223E-2</v>
      </c>
      <c r="E42">
        <v>0</v>
      </c>
      <c r="F42">
        <f t="shared" si="11"/>
        <v>0</v>
      </c>
      <c r="G42">
        <f t="shared" si="12"/>
        <v>0</v>
      </c>
      <c r="H42">
        <f t="shared" si="13"/>
        <v>0</v>
      </c>
      <c r="I42">
        <v>1113</v>
      </c>
      <c r="J42">
        <f>E42-(1113*D42)^2</f>
        <v>-611.73777777777786</v>
      </c>
      <c r="K42">
        <f t="shared" si="15"/>
        <v>24.733333333333334</v>
      </c>
      <c r="L42">
        <f t="shared" si="16"/>
        <v>-24.733333333333334</v>
      </c>
      <c r="M42">
        <f t="shared" si="17"/>
        <v>0</v>
      </c>
      <c r="N42">
        <f t="shared" si="18"/>
        <v>0</v>
      </c>
      <c r="O42">
        <f t="shared" si="19"/>
        <v>0</v>
      </c>
    </row>
    <row r="43" spans="1:15" x14ac:dyDescent="0.3">
      <c r="A43" t="s">
        <v>36</v>
      </c>
      <c r="B43" t="s">
        <v>96</v>
      </c>
      <c r="C43">
        <v>6</v>
      </c>
      <c r="D43">
        <f t="shared" si="10"/>
        <v>2.2222222222222223E-2</v>
      </c>
      <c r="E43">
        <v>0</v>
      </c>
      <c r="F43">
        <f t="shared" si="11"/>
        <v>0</v>
      </c>
      <c r="G43">
        <f t="shared" si="12"/>
        <v>0</v>
      </c>
      <c r="H43">
        <f t="shared" si="13"/>
        <v>0</v>
      </c>
      <c r="I43">
        <v>1113</v>
      </c>
      <c r="J43">
        <f t="shared" si="14"/>
        <v>-611.73777777777786</v>
      </c>
      <c r="K43">
        <f t="shared" si="15"/>
        <v>24.733333333333334</v>
      </c>
      <c r="L43">
        <f t="shared" si="16"/>
        <v>-24.733333333333334</v>
      </c>
      <c r="M43">
        <f t="shared" si="17"/>
        <v>0</v>
      </c>
      <c r="N43">
        <f t="shared" si="18"/>
        <v>0</v>
      </c>
      <c r="O43">
        <f t="shared" si="19"/>
        <v>0</v>
      </c>
    </row>
    <row r="44" spans="1:15" x14ac:dyDescent="0.3">
      <c r="A44" t="s">
        <v>36</v>
      </c>
      <c r="B44" t="s">
        <v>41</v>
      </c>
      <c r="C44">
        <v>8</v>
      </c>
      <c r="D44">
        <f t="shared" si="10"/>
        <v>2.9629629629629631E-2</v>
      </c>
      <c r="E44">
        <v>0</v>
      </c>
      <c r="F44">
        <f t="shared" si="11"/>
        <v>0</v>
      </c>
      <c r="G44">
        <f t="shared" si="12"/>
        <v>0</v>
      </c>
      <c r="H44">
        <f t="shared" si="13"/>
        <v>0</v>
      </c>
      <c r="I44">
        <v>1113</v>
      </c>
      <c r="J44">
        <f t="shared" si="14"/>
        <v>-1087.533827160494</v>
      </c>
      <c r="K44">
        <f t="shared" si="15"/>
        <v>32.977777777777781</v>
      </c>
      <c r="L44">
        <f t="shared" si="16"/>
        <v>-32.977777777777781</v>
      </c>
      <c r="M44">
        <f t="shared" si="17"/>
        <v>0</v>
      </c>
      <c r="N44">
        <f t="shared" si="18"/>
        <v>0</v>
      </c>
      <c r="O44">
        <f t="shared" si="19"/>
        <v>0</v>
      </c>
    </row>
    <row r="45" spans="1:15" x14ac:dyDescent="0.3">
      <c r="A45" t="s">
        <v>36</v>
      </c>
      <c r="B45" t="s">
        <v>99</v>
      </c>
      <c r="C45">
        <v>9</v>
      </c>
      <c r="D45">
        <f t="shared" si="10"/>
        <v>3.3333333333333333E-2</v>
      </c>
      <c r="E45">
        <v>0</v>
      </c>
      <c r="F45">
        <f t="shared" si="11"/>
        <v>0</v>
      </c>
      <c r="G45">
        <f t="shared" si="12"/>
        <v>0</v>
      </c>
      <c r="H45">
        <f t="shared" si="13"/>
        <v>0</v>
      </c>
      <c r="I45">
        <v>1113</v>
      </c>
      <c r="J45">
        <f t="shared" si="14"/>
        <v>-1376.41</v>
      </c>
      <c r="K45">
        <f t="shared" si="15"/>
        <v>37.1</v>
      </c>
      <c r="L45">
        <f t="shared" si="16"/>
        <v>-37.1</v>
      </c>
      <c r="M45">
        <f t="shared" si="17"/>
        <v>0</v>
      </c>
      <c r="N45">
        <f t="shared" si="18"/>
        <v>0</v>
      </c>
      <c r="O45">
        <f t="shared" si="19"/>
        <v>0</v>
      </c>
    </row>
    <row r="46" spans="1:15" x14ac:dyDescent="0.3">
      <c r="A46" t="s">
        <v>36</v>
      </c>
      <c r="B46" t="s">
        <v>42</v>
      </c>
      <c r="C46">
        <v>26</v>
      </c>
      <c r="D46">
        <f t="shared" si="10"/>
        <v>9.6296296296296297E-2</v>
      </c>
      <c r="E46">
        <v>0</v>
      </c>
      <c r="F46">
        <f t="shared" si="11"/>
        <v>0</v>
      </c>
      <c r="G46">
        <f t="shared" si="12"/>
        <v>0</v>
      </c>
      <c r="H46">
        <f t="shared" si="13"/>
        <v>0</v>
      </c>
      <c r="I46">
        <v>1113</v>
      </c>
      <c r="J46">
        <f t="shared" si="14"/>
        <v>-11487.076049382717</v>
      </c>
      <c r="K46">
        <f t="shared" si="15"/>
        <v>107.17777777777778</v>
      </c>
      <c r="L46">
        <f t="shared" si="16"/>
        <v>-107.17777777777778</v>
      </c>
      <c r="M46">
        <f t="shared" si="17"/>
        <v>0</v>
      </c>
      <c r="N46">
        <f t="shared" si="18"/>
        <v>0</v>
      </c>
      <c r="O46">
        <f t="shared" si="19"/>
        <v>0</v>
      </c>
    </row>
    <row r="47" spans="1:15" x14ac:dyDescent="0.3">
      <c r="A47" t="s">
        <v>36</v>
      </c>
      <c r="B47" t="s">
        <v>86</v>
      </c>
      <c r="C47">
        <v>26</v>
      </c>
      <c r="D47">
        <f t="shared" si="10"/>
        <v>9.6296296296296297E-2</v>
      </c>
      <c r="E47">
        <v>0</v>
      </c>
      <c r="F47">
        <f t="shared" si="11"/>
        <v>0</v>
      </c>
      <c r="G47">
        <f t="shared" si="12"/>
        <v>0</v>
      </c>
      <c r="H47">
        <f t="shared" si="13"/>
        <v>0</v>
      </c>
      <c r="I47">
        <v>1113</v>
      </c>
      <c r="J47">
        <f t="shared" si="14"/>
        <v>-11487.076049382717</v>
      </c>
      <c r="K47">
        <f t="shared" si="15"/>
        <v>107.17777777777778</v>
      </c>
      <c r="L47">
        <f t="shared" si="16"/>
        <v>-107.17777777777778</v>
      </c>
      <c r="M47">
        <f t="shared" si="17"/>
        <v>0</v>
      </c>
      <c r="N47">
        <f t="shared" si="18"/>
        <v>0</v>
      </c>
      <c r="O47">
        <f t="shared" si="19"/>
        <v>0</v>
      </c>
    </row>
    <row r="48" spans="1:15" x14ac:dyDescent="0.3">
      <c r="A48" t="s">
        <v>36</v>
      </c>
      <c r="B48" t="s">
        <v>32</v>
      </c>
      <c r="C48">
        <v>27</v>
      </c>
      <c r="D48">
        <f t="shared" si="10"/>
        <v>0.1</v>
      </c>
      <c r="E48">
        <v>839</v>
      </c>
      <c r="F48">
        <f t="shared" si="11"/>
        <v>0.75381850853548971</v>
      </c>
      <c r="G48">
        <f t="shared" si="12"/>
        <v>7.5381850853548968</v>
      </c>
      <c r="H48">
        <f t="shared" si="13"/>
        <v>0.10672984809075209</v>
      </c>
      <c r="I48">
        <v>1113</v>
      </c>
      <c r="J48">
        <f>E48-(1113*D48)^2</f>
        <v>-11548.690000000002</v>
      </c>
      <c r="K48">
        <f t="shared" si="15"/>
        <v>111.30000000000001</v>
      </c>
      <c r="L48">
        <f t="shared" si="16"/>
        <v>-103.76181491464511</v>
      </c>
      <c r="M48">
        <f t="shared" si="17"/>
        <v>1.2912594572151001E-2</v>
      </c>
      <c r="N48">
        <f t="shared" si="18"/>
        <v>0.74090591396333871</v>
      </c>
      <c r="O48">
        <f t="shared" si="19"/>
        <v>0.7667311031076407</v>
      </c>
    </row>
    <row r="49" spans="1:15" x14ac:dyDescent="0.3">
      <c r="A49" t="s">
        <v>36</v>
      </c>
      <c r="B49" t="s">
        <v>321</v>
      </c>
      <c r="C49">
        <v>32</v>
      </c>
      <c r="D49">
        <f t="shared" si="10"/>
        <v>0.11851851851851852</v>
      </c>
      <c r="E49">
        <v>13</v>
      </c>
      <c r="F49">
        <f t="shared" si="11"/>
        <v>1.1680143755615454E-2</v>
      </c>
      <c r="G49">
        <f t="shared" si="12"/>
        <v>9.8551212938005395E-2</v>
      </c>
      <c r="H49">
        <f t="shared" si="13"/>
        <v>1.3953432911149428E-3</v>
      </c>
      <c r="I49">
        <v>1113</v>
      </c>
      <c r="J49">
        <f t="shared" si="14"/>
        <v>-17387.541234567903</v>
      </c>
      <c r="K49">
        <f t="shared" si="15"/>
        <v>131.91111111111113</v>
      </c>
      <c r="L49">
        <f t="shared" si="16"/>
        <v>-131.81255989817311</v>
      </c>
      <c r="M49">
        <f t="shared" si="17"/>
        <v>3.2205145991650794E-3</v>
      </c>
      <c r="N49">
        <f t="shared" si="18"/>
        <v>8.459629156450375E-3</v>
      </c>
      <c r="O49">
        <f t="shared" si="19"/>
        <v>1.4900658354780534E-2</v>
      </c>
    </row>
    <row r="50" spans="1:15" x14ac:dyDescent="0.3">
      <c r="A50" t="s">
        <v>36</v>
      </c>
      <c r="B50" t="s">
        <v>30</v>
      </c>
      <c r="C50">
        <v>45</v>
      </c>
      <c r="D50">
        <f t="shared" si="10"/>
        <v>0.16666666666666666</v>
      </c>
      <c r="E50">
        <v>0</v>
      </c>
      <c r="F50">
        <f t="shared" si="11"/>
        <v>0</v>
      </c>
      <c r="G50">
        <f t="shared" si="12"/>
        <v>0</v>
      </c>
      <c r="H50">
        <f t="shared" si="13"/>
        <v>0</v>
      </c>
      <c r="I50">
        <v>1113</v>
      </c>
      <c r="J50">
        <f t="shared" si="14"/>
        <v>-34410.25</v>
      </c>
      <c r="K50">
        <f t="shared" si="15"/>
        <v>185.5</v>
      </c>
      <c r="L50">
        <f t="shared" si="16"/>
        <v>-185.5</v>
      </c>
      <c r="M50">
        <f t="shared" si="17"/>
        <v>0</v>
      </c>
      <c r="N50">
        <f t="shared" si="18"/>
        <v>0</v>
      </c>
      <c r="O50">
        <f t="shared" si="19"/>
        <v>0</v>
      </c>
    </row>
    <row r="51" spans="1:15" x14ac:dyDescent="0.3">
      <c r="A51" t="s">
        <v>36</v>
      </c>
      <c r="B51" t="s">
        <v>100</v>
      </c>
      <c r="C51">
        <v>62</v>
      </c>
      <c r="D51">
        <f t="shared" si="10"/>
        <v>0.22962962962962963</v>
      </c>
      <c r="E51">
        <v>0</v>
      </c>
      <c r="F51">
        <f t="shared" si="11"/>
        <v>0</v>
      </c>
      <c r="G51">
        <f t="shared" si="12"/>
        <v>0</v>
      </c>
      <c r="H51">
        <f t="shared" si="13"/>
        <v>0</v>
      </c>
      <c r="I51">
        <v>1113</v>
      </c>
      <c r="J51">
        <f t="shared" si="14"/>
        <v>-65320.00049382716</v>
      </c>
      <c r="K51">
        <f t="shared" si="15"/>
        <v>255.57777777777778</v>
      </c>
      <c r="L51">
        <f t="shared" si="16"/>
        <v>-255.57777777777778</v>
      </c>
      <c r="M51">
        <f t="shared" si="17"/>
        <v>0</v>
      </c>
      <c r="N51">
        <f t="shared" si="18"/>
        <v>0</v>
      </c>
      <c r="O51">
        <f t="shared" si="19"/>
        <v>0</v>
      </c>
    </row>
    <row r="52" spans="1:15" x14ac:dyDescent="0.3">
      <c r="A52" t="s">
        <v>36</v>
      </c>
      <c r="B52" t="s">
        <v>35</v>
      </c>
      <c r="C52">
        <v>1</v>
      </c>
      <c r="D52">
        <f t="shared" si="10"/>
        <v>3.7037037037037038E-3</v>
      </c>
      <c r="E52">
        <v>258</v>
      </c>
      <c r="F52">
        <f t="shared" si="11"/>
        <v>0.23180592991913745</v>
      </c>
      <c r="G52">
        <f t="shared" si="12"/>
        <v>62.587601078167111</v>
      </c>
      <c r="H52">
        <f t="shared" si="13"/>
        <v>0.88615032395730509</v>
      </c>
      <c r="I52">
        <v>1113</v>
      </c>
      <c r="J52">
        <f t="shared" si="14"/>
        <v>241.00728395061728</v>
      </c>
      <c r="K52">
        <f t="shared" si="15"/>
        <v>4.1222222222222227</v>
      </c>
      <c r="L52">
        <f t="shared" si="16"/>
        <v>58.465378855944884</v>
      </c>
      <c r="M52">
        <f t="shared" si="17"/>
        <v>1.2648824412007837E-2</v>
      </c>
      <c r="N52">
        <f t="shared" si="18"/>
        <v>0.21915710550712961</v>
      </c>
      <c r="O52">
        <f t="shared" si="19"/>
        <v>0.2444547543311453</v>
      </c>
    </row>
    <row r="53" spans="1:15" x14ac:dyDescent="0.3">
      <c r="A53" t="s">
        <v>36</v>
      </c>
      <c r="B53" t="s">
        <v>43</v>
      </c>
      <c r="C53">
        <v>1</v>
      </c>
      <c r="D53">
        <f t="shared" si="10"/>
        <v>3.7037037037037038E-3</v>
      </c>
      <c r="E53">
        <v>1</v>
      </c>
      <c r="F53">
        <f t="shared" si="11"/>
        <v>8.9847259658580418E-4</v>
      </c>
      <c r="G53">
        <f t="shared" si="12"/>
        <v>0.24258760107816713</v>
      </c>
      <c r="H53">
        <f t="shared" si="13"/>
        <v>3.4346911781290897E-3</v>
      </c>
      <c r="I53">
        <v>1113</v>
      </c>
      <c r="J53">
        <f t="shared" si="14"/>
        <v>-15.992716049382718</v>
      </c>
      <c r="K53">
        <f t="shared" si="15"/>
        <v>4.1222222222222227</v>
      </c>
      <c r="L53">
        <f t="shared" si="16"/>
        <v>-3.8796346211440551</v>
      </c>
      <c r="M53">
        <f t="shared" si="17"/>
        <v>8.9806887937980673E-4</v>
      </c>
      <c r="N53">
        <f>F53-M53</f>
        <v>4.0371720599744788E-7</v>
      </c>
      <c r="O53">
        <f t="shared" si="19"/>
        <v>1.7965414759656109E-3</v>
      </c>
    </row>
    <row r="57" spans="1:15" x14ac:dyDescent="0.3">
      <c r="C57" t="s">
        <v>302</v>
      </c>
      <c r="D57" t="s">
        <v>480</v>
      </c>
    </row>
    <row r="58" spans="1:15" x14ac:dyDescent="0.3">
      <c r="A58" t="s">
        <v>304</v>
      </c>
      <c r="B58" t="s">
        <v>14</v>
      </c>
      <c r="C58">
        <v>530</v>
      </c>
      <c r="D58" t="s">
        <v>305</v>
      </c>
    </row>
    <row r="59" spans="1:15" x14ac:dyDescent="0.3">
      <c r="B59" t="s">
        <v>303</v>
      </c>
      <c r="C59">
        <v>456</v>
      </c>
      <c r="D59" t="s">
        <v>500</v>
      </c>
    </row>
    <row r="60" spans="1:15" x14ac:dyDescent="0.3">
      <c r="B60" t="s">
        <v>307</v>
      </c>
      <c r="C60">
        <v>530.21225470564673</v>
      </c>
    </row>
    <row r="61" spans="1:15" x14ac:dyDescent="0.3">
      <c r="B61" t="s">
        <v>507</v>
      </c>
      <c r="C61">
        <v>71.886762360446596</v>
      </c>
    </row>
    <row r="62" spans="1:15" x14ac:dyDescent="0.3">
      <c r="A62" t="s">
        <v>497</v>
      </c>
      <c r="B62" t="s">
        <v>14</v>
      </c>
      <c r="C62">
        <v>270</v>
      </c>
      <c r="D62" t="s">
        <v>499</v>
      </c>
    </row>
    <row r="63" spans="1:15" x14ac:dyDescent="0.3">
      <c r="B63" t="s">
        <v>13</v>
      </c>
      <c r="C63">
        <v>1113</v>
      </c>
      <c r="D63" t="s">
        <v>498</v>
      </c>
    </row>
    <row r="64" spans="1:15" x14ac:dyDescent="0.3">
      <c r="B64" t="s">
        <v>501</v>
      </c>
      <c r="C64">
        <v>70.628650044923631</v>
      </c>
    </row>
    <row r="65" spans="2:3" x14ac:dyDescent="0.3">
      <c r="B65" t="s">
        <v>508</v>
      </c>
      <c r="C65">
        <v>-1042.3713499550765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Sheet1</vt:lpstr>
      <vt:lpstr>old and new counts</vt:lpstr>
      <vt:lpstr>new wt-based</vt:lpstr>
      <vt:lpstr>chi2 </vt:lpstr>
      <vt:lpstr>Sheet3</vt:lpstr>
      <vt:lpstr>random20</vt:lpstr>
      <vt:lpstr>fisher</vt:lpstr>
      <vt:lpstr>selectivity</vt:lpstr>
      <vt:lpstr>adj selectivity</vt:lpstr>
      <vt:lpstr>table</vt:lpstr>
      <vt:lpstr>Sheet4</vt:lpstr>
    </vt:vector>
  </TitlesOfParts>
  <Company>University of Guam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Gawel</dc:creator>
  <cp:lastModifiedBy>Ann Marie Gawel</cp:lastModifiedBy>
  <dcterms:created xsi:type="dcterms:W3CDTF">2011-01-11T02:12:26Z</dcterms:created>
  <dcterms:modified xsi:type="dcterms:W3CDTF">2016-10-18T16:25:51Z</dcterms:modified>
</cp:coreProperties>
</file>