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ladfirnberg/Google Drive/Shared/Protocols/Library Generation/"/>
    </mc:Choice>
  </mc:AlternateContent>
  <bookViews>
    <workbookView xWindow="14000" yWindow="1980" windowWidth="25600" windowHeight="14400"/>
  </bookViews>
  <sheets>
    <sheet name="Combinatorial (no delay)" sheetId="2" r:id="rId1"/>
    <sheet name="Mastermixes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37" i="2"/>
  <c r="D39" i="2"/>
  <c r="B39" i="2"/>
  <c r="D24" i="3"/>
  <c r="D23" i="3"/>
  <c r="D25" i="3"/>
  <c r="F23" i="3"/>
  <c r="F16" i="3"/>
  <c r="F5" i="3"/>
  <c r="E25" i="3"/>
  <c r="E24" i="3"/>
  <c r="E23" i="3"/>
  <c r="C25" i="3"/>
  <c r="D17" i="3"/>
  <c r="D16" i="3"/>
  <c r="E17" i="3"/>
  <c r="E16" i="3"/>
  <c r="D6" i="3"/>
  <c r="D7" i="3"/>
  <c r="D8" i="3"/>
  <c r="D9" i="3"/>
  <c r="D5" i="3"/>
  <c r="E18" i="3"/>
  <c r="E5" i="3"/>
  <c r="E6" i="3"/>
  <c r="E7" i="3"/>
  <c r="E8" i="3"/>
  <c r="E9" i="3"/>
  <c r="E10" i="3"/>
  <c r="D36" i="2"/>
  <c r="B24" i="2"/>
  <c r="D24" i="2"/>
  <c r="B21" i="2"/>
  <c r="D21" i="2"/>
  <c r="B5" i="2"/>
  <c r="B9" i="2"/>
  <c r="C22" i="2"/>
  <c r="B22" i="2"/>
  <c r="D22" i="2"/>
  <c r="B23" i="2"/>
  <c r="C23" i="2"/>
  <c r="D23" i="2"/>
  <c r="D20" i="2"/>
  <c r="D45" i="2"/>
  <c r="C48" i="2"/>
  <c r="B48" i="2"/>
  <c r="D56" i="2"/>
  <c r="B7" i="2"/>
  <c r="D40" i="2"/>
  <c r="D46" i="2"/>
  <c r="D48" i="2"/>
  <c r="D49" i="2"/>
  <c r="D57" i="2"/>
</calcChain>
</file>

<file path=xl/sharedStrings.xml><?xml version="1.0" encoding="utf-8"?>
<sst xmlns="http://schemas.openxmlformats.org/spreadsheetml/2006/main" count="155" uniqueCount="88">
  <si>
    <t>PFunkel Mutagenesis</t>
  </si>
  <si>
    <t>Vector Size</t>
  </si>
  <si>
    <t>bp</t>
    <phoneticPr fontId="0" type="noConversion"/>
  </si>
  <si>
    <t>Fill in</t>
  </si>
  <si>
    <t>Vector ssDNA MW</t>
  </si>
  <si>
    <t>g/mol</t>
    <phoneticPr fontId="0" type="noConversion"/>
  </si>
  <si>
    <t>Volumes to use</t>
  </si>
  <si>
    <t>ssDNA Concentration</t>
  </si>
  <si>
    <t>ng/uL</t>
    <phoneticPr fontId="0" type="noConversion"/>
  </si>
  <si>
    <t>Thermocycling</t>
  </si>
  <si>
    <t>ssDNA Volume</t>
  </si>
  <si>
    <t>uL</t>
  </si>
  <si>
    <t>ng</t>
    <phoneticPr fontId="0" type="noConversion"/>
  </si>
  <si>
    <t>pmol</t>
    <phoneticPr fontId="0" type="noConversion"/>
  </si>
  <si>
    <t>-</t>
  </si>
  <si>
    <t>Secondary oligo:vector ratio</t>
  </si>
  <si>
    <t>Mg2+ in Pfunkel reaction</t>
  </si>
  <si>
    <t>mM</t>
  </si>
  <si>
    <t>DI-NF water</t>
  </si>
  <si>
    <t>DMSO (%)</t>
  </si>
  <si>
    <t>MgCl2 (mM)</t>
  </si>
  <si>
    <t>Total</t>
  </si>
  <si>
    <t>Temp</t>
  </si>
  <si>
    <t>Time</t>
  </si>
  <si>
    <t>95C</t>
  </si>
  <si>
    <t>2 min</t>
  </si>
  <si>
    <t>63.6C</t>
  </si>
  <si>
    <t>60 min</t>
  </si>
  <si>
    <t>45C</t>
  </si>
  <si>
    <t>15 min</t>
  </si>
  <si>
    <t>4C</t>
  </si>
  <si>
    <t>10 min</t>
  </si>
  <si>
    <t>hold</t>
  </si>
  <si>
    <t>UDG</t>
  </si>
  <si>
    <t>diluted Exonuclease III (U/uL)</t>
  </si>
  <si>
    <t>Exonuclease I (U/uL)</t>
  </si>
  <si>
    <t>37C</t>
  </si>
  <si>
    <t>30 min</t>
  </si>
  <si>
    <r>
      <t xml:space="preserve"> secondary oligo </t>
    </r>
    <r>
      <rPr>
        <sz val="11"/>
        <rFont val="Leelawadee"/>
      </rPr>
      <t xml:space="preserve"> (uM)</t>
    </r>
  </si>
  <si>
    <t>Reaction type: Combinatorial</t>
  </si>
  <si>
    <t>ssDNA Mass</t>
  </si>
  <si>
    <t>ssDNA Moles</t>
  </si>
  <si>
    <t>Primary Oligo:vector ratio</t>
  </si>
  <si>
    <t xml:space="preserve">aliquot volume </t>
  </si>
  <si>
    <t>Vector ssDNA name</t>
  </si>
  <si>
    <t>Primary oligos name</t>
  </si>
  <si>
    <t>Secondary oligo name</t>
  </si>
  <si>
    <t>P23-Amp-rev</t>
  </si>
  <si>
    <t>Place microtubes in thermocycler and proceed:</t>
  </si>
  <si>
    <t>Mix #1: In 0.5 mL microtube on ice add:</t>
  </si>
  <si>
    <t>Primary oligos concentration</t>
  </si>
  <si>
    <t>Secondary oligo concentration</t>
  </si>
  <si>
    <t>Transfer aliquot #1 to seperate 0.5 mL microtube.</t>
  </si>
  <si>
    <t>Add to reaction:</t>
  </si>
  <si>
    <t>New Total</t>
  </si>
  <si>
    <t>Transfer aliquot #2 to seperate 0.5 mL microtube.</t>
  </si>
  <si>
    <t>remove aliquot #1</t>
  </si>
  <si>
    <t>remove aliquot #2</t>
  </si>
  <si>
    <t>New total</t>
  </si>
  <si>
    <t>Transfer aliquot #3 to seperate 0.5 mL microtube.</t>
  </si>
  <si>
    <t>remove aliquot #3</t>
  </si>
  <si>
    <t>Initial concentration</t>
  </si>
  <si>
    <t>Final concentration</t>
  </si>
  <si>
    <t>volume (uL)</t>
  </si>
  <si>
    <t>Primary oligos (uM)</t>
  </si>
  <si>
    <t>ssDNA (ng/uL)</t>
  </si>
  <si>
    <t>pET-Duet iRFP</t>
  </si>
  <si>
    <t>BP1,3,6</t>
  </si>
  <si>
    <t>Mastermix 1</t>
  </si>
  <si>
    <t>Mastermix 2</t>
  </si>
  <si>
    <t>PfuTurboCx polymerase</t>
  </si>
  <si>
    <t>Taq Ligase</t>
  </si>
  <si>
    <t>Mastermix 1 - Reagents (X)</t>
  </si>
  <si>
    <t>Mastermix 3 - Exo/UDG</t>
  </si>
  <si>
    <t>Mastermix 3</t>
  </si>
  <si>
    <t>Add to PFunkel reaction during 95C step and pipette up and down to mix:</t>
  </si>
  <si>
    <t>Clean up the reaction using the zymo clean and concentrator or Macherey-Nagel Nucleospin column. Elute with 15 uL DI-NF water or Buffer NE pre-heated to 70C (two times optionally). Can use the picogreen protocol to quantify dsDNA concentration.</t>
  </si>
  <si>
    <t>Mastermix 2 - Pol/Lig (X)</t>
  </si>
  <si>
    <t>Initial conc</t>
  </si>
  <si>
    <t>Final conc</t>
  </si>
  <si>
    <t>PFU Turbo Cx Buffer (X)</t>
  </si>
  <si>
    <t>dNTPs (mM)</t>
  </si>
  <si>
    <t>NAD+ (mM)</t>
  </si>
  <si>
    <t>Volume (uL)</t>
  </si>
  <si>
    <t># Rxns</t>
  </si>
  <si>
    <t>Mastermix (uL)</t>
  </si>
  <si>
    <t>Rxn volume</t>
  </si>
  <si>
    <t>Volume to add to 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</si>
</sst>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4"/>
      <name val="Leelawadee"/>
      <family val="2"/>
    </font>
    <font>
      <b/>
      <sz val="14"/>
      <name val="Leelawadee"/>
    </font>
    <font>
      <b/>
      <sz val="11"/>
      <name val="Leelawadee"/>
    </font>
    <font>
      <b/>
      <sz val="12"/>
      <name val="Leelawadee"/>
    </font>
    <font>
      <sz val="11"/>
      <name val="Leelawadee"/>
    </font>
    <font>
      <sz val="11"/>
      <name val="Leelawadee"/>
      <family val="2"/>
    </font>
    <font>
      <sz val="11"/>
      <color theme="1"/>
      <name val="Leelawadee"/>
      <family val="2"/>
    </font>
    <font>
      <b/>
      <sz val="11"/>
      <name val="Leelawadee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0" borderId="0" xfId="0" applyFont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2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2" fontId="7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2" fontId="5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horizontal="right" vertical="center"/>
    </xf>
    <xf numFmtId="2" fontId="5" fillId="3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/>
    </xf>
    <xf numFmtId="11" fontId="0" fillId="0" borderId="0" xfId="0" applyNumberFormat="1"/>
    <xf numFmtId="11" fontId="7" fillId="0" borderId="0" xfId="0" applyNumberFormat="1" applyFont="1" applyAlignment="1">
      <alignment horizontal="center"/>
    </xf>
    <xf numFmtId="0" fontId="5" fillId="0" borderId="0" xfId="0" applyFont="1" applyBorder="1" applyAlignment="1">
      <alignment vertical="center" wrapText="1"/>
    </xf>
    <xf numFmtId="0" fontId="0" fillId="0" borderId="0" xfId="0" applyFill="1"/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6" fillId="0" borderId="4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wrapText="1"/>
    </xf>
    <xf numFmtId="2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5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vertical="center"/>
    </xf>
    <xf numFmtId="168" fontId="6" fillId="0" borderId="0" xfId="0" applyNumberFormat="1" applyFont="1" applyBorder="1" applyAlignment="1">
      <alignment horizontal="center" vertical="center"/>
    </xf>
    <xf numFmtId="2" fontId="5" fillId="5" borderId="6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8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33.5" customWidth="1"/>
    <col min="2" max="2" width="21.6640625" customWidth="1"/>
    <col min="3" max="3" width="18.5" customWidth="1"/>
    <col min="4" max="4" width="41.5" bestFit="1" customWidth="1"/>
    <col min="5" max="5" width="16.1640625" bestFit="1" customWidth="1"/>
    <col min="6" max="6" width="16.1640625" customWidth="1"/>
    <col min="7" max="7" width="18.83203125" bestFit="1" customWidth="1"/>
    <col min="8" max="8" width="12" bestFit="1" customWidth="1"/>
  </cols>
  <sheetData>
    <row r="1" spans="1:6" ht="18" x14ac:dyDescent="0.2">
      <c r="A1" s="53" t="s">
        <v>0</v>
      </c>
      <c r="B1" s="54"/>
      <c r="C1" s="54"/>
      <c r="D1" s="54"/>
    </row>
    <row r="2" spans="1:6" ht="16" x14ac:dyDescent="0.2">
      <c r="A2" s="55" t="s">
        <v>39</v>
      </c>
      <c r="B2" s="55"/>
      <c r="C2" s="55"/>
      <c r="D2" s="55"/>
    </row>
    <row r="3" spans="1:6" ht="16" x14ac:dyDescent="0.2">
      <c r="A3" s="1" t="s">
        <v>44</v>
      </c>
      <c r="B3" s="4" t="s">
        <v>66</v>
      </c>
      <c r="C3" s="49"/>
      <c r="D3" s="4" t="s">
        <v>3</v>
      </c>
    </row>
    <row r="4" spans="1:6" x14ac:dyDescent="0.2">
      <c r="A4" s="1" t="s">
        <v>1</v>
      </c>
      <c r="B4" s="2">
        <v>7064</v>
      </c>
      <c r="C4" s="3" t="s">
        <v>2</v>
      </c>
      <c r="D4" s="5" t="s">
        <v>6</v>
      </c>
    </row>
    <row r="5" spans="1:6" x14ac:dyDescent="0.2">
      <c r="A5" s="1" t="s">
        <v>4</v>
      </c>
      <c r="B5" s="35">
        <f>$B$4*303.7+79</f>
        <v>2145415.7999999998</v>
      </c>
      <c r="C5" s="3" t="s">
        <v>5</v>
      </c>
      <c r="D5" s="47" t="s">
        <v>9</v>
      </c>
      <c r="E5" s="34"/>
      <c r="F5" s="34"/>
    </row>
    <row r="6" spans="1:6" x14ac:dyDescent="0.2">
      <c r="A6" s="1" t="s">
        <v>7</v>
      </c>
      <c r="B6" s="6">
        <v>38</v>
      </c>
      <c r="C6" s="3" t="s">
        <v>8</v>
      </c>
    </row>
    <row r="7" spans="1:6" x14ac:dyDescent="0.2">
      <c r="A7" s="1" t="s">
        <v>10</v>
      </c>
      <c r="B7" s="7">
        <f>B8/B6</f>
        <v>26.315789473684209</v>
      </c>
      <c r="C7" s="3" t="s">
        <v>11</v>
      </c>
    </row>
    <row r="8" spans="1:6" x14ac:dyDescent="0.2">
      <c r="A8" s="1" t="s">
        <v>40</v>
      </c>
      <c r="B8" s="6">
        <v>1000</v>
      </c>
      <c r="C8" s="3" t="s">
        <v>12</v>
      </c>
    </row>
    <row r="9" spans="1:6" x14ac:dyDescent="0.2">
      <c r="A9" s="1" t="s">
        <v>41</v>
      </c>
      <c r="B9" s="8">
        <f>B8*0.000000001/B5*1000000000000</f>
        <v>0.46611011254788015</v>
      </c>
      <c r="C9" s="3" t="s">
        <v>13</v>
      </c>
    </row>
    <row r="10" spans="1:6" x14ac:dyDescent="0.2">
      <c r="A10" s="1" t="s">
        <v>45</v>
      </c>
      <c r="B10" s="4" t="s">
        <v>67</v>
      </c>
      <c r="C10" s="3"/>
      <c r="D10" s="36"/>
    </row>
    <row r="11" spans="1:6" x14ac:dyDescent="0.2">
      <c r="A11" s="1" t="s">
        <v>50</v>
      </c>
      <c r="B11" s="4">
        <v>1</v>
      </c>
      <c r="C11" s="3"/>
      <c r="D11" s="36"/>
    </row>
    <row r="12" spans="1:6" x14ac:dyDescent="0.2">
      <c r="A12" s="1" t="s">
        <v>42</v>
      </c>
      <c r="B12" s="2">
        <v>1</v>
      </c>
      <c r="C12" s="3" t="s">
        <v>14</v>
      </c>
      <c r="D12" s="3"/>
    </row>
    <row r="13" spans="1:6" x14ac:dyDescent="0.2">
      <c r="A13" s="1" t="s">
        <v>46</v>
      </c>
      <c r="B13" s="4" t="s">
        <v>47</v>
      </c>
      <c r="C13" s="3"/>
      <c r="D13" s="36"/>
    </row>
    <row r="14" spans="1:6" x14ac:dyDescent="0.2">
      <c r="A14" s="1" t="s">
        <v>51</v>
      </c>
      <c r="B14" s="4">
        <v>10</v>
      </c>
      <c r="C14" s="3"/>
      <c r="D14" s="36"/>
    </row>
    <row r="15" spans="1:6" x14ac:dyDescent="0.2">
      <c r="A15" s="1" t="s">
        <v>15</v>
      </c>
      <c r="B15" s="11">
        <v>10</v>
      </c>
      <c r="C15" s="3" t="s">
        <v>14</v>
      </c>
      <c r="D15" s="10"/>
    </row>
    <row r="16" spans="1:6" x14ac:dyDescent="0.2">
      <c r="A16" s="1" t="s">
        <v>16</v>
      </c>
      <c r="B16" s="8">
        <v>3</v>
      </c>
      <c r="C16" s="9" t="s">
        <v>17</v>
      </c>
      <c r="D16" s="12"/>
    </row>
    <row r="17" spans="1:4" x14ac:dyDescent="0.2">
      <c r="A17" s="1" t="s">
        <v>43</v>
      </c>
      <c r="B17" s="8">
        <v>5</v>
      </c>
      <c r="C17" s="9" t="s">
        <v>11</v>
      </c>
      <c r="D17" s="12"/>
    </row>
    <row r="18" spans="1:4" x14ac:dyDescent="0.2">
      <c r="A18" s="13"/>
      <c r="B18" s="52" t="s">
        <v>49</v>
      </c>
      <c r="C18" s="56"/>
      <c r="D18" s="56"/>
    </row>
    <row r="19" spans="1:4" x14ac:dyDescent="0.2">
      <c r="A19" s="13"/>
      <c r="B19" s="45" t="s">
        <v>61</v>
      </c>
      <c r="C19" s="45" t="s">
        <v>62</v>
      </c>
      <c r="D19" s="46" t="s">
        <v>63</v>
      </c>
    </row>
    <row r="20" spans="1:4" x14ac:dyDescent="0.2">
      <c r="A20" s="15" t="s">
        <v>18</v>
      </c>
      <c r="B20" s="16" t="s">
        <v>14</v>
      </c>
      <c r="C20" s="16" t="s">
        <v>14</v>
      </c>
      <c r="D20" s="17">
        <f>D25-SUM(D21:D23)</f>
        <v>51.218100413767914</v>
      </c>
    </row>
    <row r="21" spans="1:4" x14ac:dyDescent="0.2">
      <c r="A21" s="39" t="s">
        <v>72</v>
      </c>
      <c r="B21" s="16">
        <f>100/22</f>
        <v>4.5454545454545459</v>
      </c>
      <c r="C21" s="16">
        <v>1</v>
      </c>
      <c r="D21" s="19">
        <f>$D$25/(B21/C21)</f>
        <v>21.999999999999996</v>
      </c>
    </row>
    <row r="22" spans="1:4" x14ac:dyDescent="0.2">
      <c r="A22" s="39" t="s">
        <v>64</v>
      </c>
      <c r="B22" s="16">
        <f>B11</f>
        <v>1</v>
      </c>
      <c r="C22" s="65">
        <f>$B$9*$B$12/D25</f>
        <v>4.6611011254788018E-3</v>
      </c>
      <c r="D22" s="19">
        <f>$D$25/(B22/C22)</f>
        <v>0.46611011254788015</v>
      </c>
    </row>
    <row r="23" spans="1:4" x14ac:dyDescent="0.2">
      <c r="A23" s="1" t="s">
        <v>65</v>
      </c>
      <c r="B23" s="16">
        <f>B6</f>
        <v>38</v>
      </c>
      <c r="C23" s="16">
        <f>1000/100</f>
        <v>10</v>
      </c>
      <c r="D23" s="19">
        <f>$D$25/(B23/C23)</f>
        <v>26.315789473684212</v>
      </c>
    </row>
    <row r="24" spans="1:4" x14ac:dyDescent="0.2">
      <c r="A24" s="20" t="s">
        <v>77</v>
      </c>
      <c r="B24" s="21">
        <f>100/6</f>
        <v>16.666666666666668</v>
      </c>
      <c r="C24" s="21">
        <v>1</v>
      </c>
      <c r="D24" s="19">
        <f>$D$25/(B24/C24)</f>
        <v>6</v>
      </c>
    </row>
    <row r="25" spans="1:4" x14ac:dyDescent="0.2">
      <c r="A25" s="18" t="s">
        <v>21</v>
      </c>
      <c r="B25" s="16" t="s">
        <v>14</v>
      </c>
      <c r="C25" s="16" t="s">
        <v>14</v>
      </c>
      <c r="D25" s="76">
        <f>B8/1000*100</f>
        <v>100</v>
      </c>
    </row>
    <row r="26" spans="1:4" x14ac:dyDescent="0.2">
      <c r="A26" s="18"/>
      <c r="B26" s="57" t="s">
        <v>48</v>
      </c>
      <c r="C26" s="58"/>
      <c r="D26" s="58"/>
    </row>
    <row r="27" spans="1:4" x14ac:dyDescent="0.2">
      <c r="A27" s="18"/>
      <c r="B27" s="41" t="s">
        <v>22</v>
      </c>
      <c r="C27" s="59" t="s">
        <v>23</v>
      </c>
      <c r="D27" s="59"/>
    </row>
    <row r="28" spans="1:4" x14ac:dyDescent="0.2">
      <c r="A28" s="18"/>
      <c r="B28" s="48" t="s">
        <v>24</v>
      </c>
      <c r="C28" s="51" t="s">
        <v>25</v>
      </c>
      <c r="D28" s="51"/>
    </row>
    <row r="29" spans="1:4" x14ac:dyDescent="0.2">
      <c r="A29" s="18"/>
      <c r="B29" s="23" t="s">
        <v>26</v>
      </c>
      <c r="C29" s="50" t="s">
        <v>27</v>
      </c>
      <c r="D29" s="51"/>
    </row>
    <row r="30" spans="1:4" x14ac:dyDescent="0.2">
      <c r="A30" s="24"/>
      <c r="B30" s="25" t="s">
        <v>28</v>
      </c>
      <c r="C30" s="60" t="s">
        <v>29</v>
      </c>
      <c r="D30" s="60"/>
    </row>
    <row r="31" spans="1:4" x14ac:dyDescent="0.2">
      <c r="A31" s="24"/>
      <c r="B31" s="25" t="s">
        <v>30</v>
      </c>
      <c r="C31" s="61" t="s">
        <v>31</v>
      </c>
      <c r="D31" s="62"/>
    </row>
    <row r="32" spans="1:4" x14ac:dyDescent="0.2">
      <c r="A32" s="24"/>
      <c r="B32" s="25" t="s">
        <v>24</v>
      </c>
      <c r="C32" s="61" t="s">
        <v>25</v>
      </c>
      <c r="D32" s="62"/>
    </row>
    <row r="33" spans="1:10" x14ac:dyDescent="0.2">
      <c r="A33" s="24"/>
      <c r="B33" s="25" t="s">
        <v>28</v>
      </c>
      <c r="C33" s="61" t="s">
        <v>29</v>
      </c>
      <c r="D33" s="62"/>
    </row>
    <row r="34" spans="1:10" x14ac:dyDescent="0.2">
      <c r="A34" s="15"/>
      <c r="B34" s="25" t="s">
        <v>30</v>
      </c>
      <c r="C34" s="60" t="s">
        <v>32</v>
      </c>
      <c r="D34" s="60"/>
    </row>
    <row r="35" spans="1:10" x14ac:dyDescent="0.2">
      <c r="A35" s="15"/>
      <c r="B35" s="52" t="s">
        <v>52</v>
      </c>
      <c r="C35" s="52"/>
      <c r="D35" s="52"/>
      <c r="G35" s="37"/>
      <c r="H35" s="37"/>
      <c r="I35" s="37"/>
      <c r="J35" s="37"/>
    </row>
    <row r="36" spans="1:10" x14ac:dyDescent="0.2">
      <c r="A36" s="42" t="s">
        <v>56</v>
      </c>
      <c r="B36" s="38" t="s">
        <v>14</v>
      </c>
      <c r="C36" s="38" t="s">
        <v>14</v>
      </c>
      <c r="D36" s="40">
        <f>B17</f>
        <v>5</v>
      </c>
      <c r="G36" s="37"/>
      <c r="H36" s="37"/>
      <c r="I36" s="37"/>
      <c r="J36" s="37"/>
    </row>
    <row r="37" spans="1:10" x14ac:dyDescent="0.2">
      <c r="A37" s="1" t="s">
        <v>54</v>
      </c>
      <c r="B37" s="38" t="s">
        <v>14</v>
      </c>
      <c r="C37" s="38" t="s">
        <v>14</v>
      </c>
      <c r="D37" s="40">
        <f>D25-D36</f>
        <v>95</v>
      </c>
      <c r="G37" s="37"/>
      <c r="H37" s="37"/>
      <c r="I37" s="37"/>
      <c r="J37" s="37"/>
    </row>
    <row r="38" spans="1:10" x14ac:dyDescent="0.2">
      <c r="A38" s="28"/>
      <c r="B38" s="57" t="s">
        <v>53</v>
      </c>
      <c r="C38" s="57"/>
      <c r="D38" s="66"/>
      <c r="E38" s="26"/>
      <c r="F38" s="26"/>
    </row>
    <row r="39" spans="1:10" x14ac:dyDescent="0.2">
      <c r="A39" s="29" t="s">
        <v>73</v>
      </c>
      <c r="B39" s="8">
        <f>99.01/4.01</f>
        <v>24.690773067331673</v>
      </c>
      <c r="C39" s="21">
        <v>1</v>
      </c>
      <c r="D39" s="30">
        <f>C39*D37/(B39-C39)</f>
        <v>4.01</v>
      </c>
      <c r="E39" s="9"/>
      <c r="F39" s="9"/>
    </row>
    <row r="40" spans="1:10" x14ac:dyDescent="0.2">
      <c r="A40" s="29" t="s">
        <v>58</v>
      </c>
      <c r="B40" s="70" t="s">
        <v>14</v>
      </c>
      <c r="C40" s="70" t="s">
        <v>14</v>
      </c>
      <c r="D40" s="69">
        <f>D37+D39</f>
        <v>99.01</v>
      </c>
      <c r="E40" s="3"/>
      <c r="F40" s="3"/>
    </row>
    <row r="41" spans="1:10" x14ac:dyDescent="0.2">
      <c r="A41" s="29"/>
      <c r="B41" s="67" t="s">
        <v>22</v>
      </c>
      <c r="C41" s="68" t="s">
        <v>23</v>
      </c>
      <c r="D41" s="68"/>
      <c r="E41" s="3"/>
      <c r="F41" s="3"/>
    </row>
    <row r="42" spans="1:10" x14ac:dyDescent="0.2">
      <c r="A42" s="29"/>
      <c r="B42" s="47" t="s">
        <v>36</v>
      </c>
      <c r="C42" s="50" t="s">
        <v>27</v>
      </c>
      <c r="D42" s="50"/>
      <c r="E42" s="3"/>
      <c r="F42" s="3"/>
    </row>
    <row r="43" spans="1:10" x14ac:dyDescent="0.2">
      <c r="A43" s="29"/>
      <c r="B43" s="47" t="s">
        <v>30</v>
      </c>
      <c r="C43" s="50" t="s">
        <v>32</v>
      </c>
      <c r="D43" s="50"/>
      <c r="E43" s="14"/>
      <c r="F43" s="14"/>
    </row>
    <row r="44" spans="1:10" x14ac:dyDescent="0.2">
      <c r="A44" s="29"/>
      <c r="B44" s="52" t="s">
        <v>55</v>
      </c>
      <c r="C44" s="52"/>
      <c r="D44" s="52"/>
      <c r="E44" s="3"/>
      <c r="F44" s="3"/>
    </row>
    <row r="45" spans="1:10" x14ac:dyDescent="0.2">
      <c r="A45" s="42" t="s">
        <v>57</v>
      </c>
      <c r="B45" s="38" t="s">
        <v>14</v>
      </c>
      <c r="C45" s="38" t="s">
        <v>14</v>
      </c>
      <c r="D45" s="40">
        <f>B17</f>
        <v>5</v>
      </c>
      <c r="E45" s="3"/>
      <c r="F45" s="3"/>
    </row>
    <row r="46" spans="1:10" x14ac:dyDescent="0.2">
      <c r="A46" s="1" t="s">
        <v>58</v>
      </c>
      <c r="B46" s="38" t="s">
        <v>14</v>
      </c>
      <c r="C46" s="38" t="s">
        <v>14</v>
      </c>
      <c r="D46" s="40">
        <f>D40-D45</f>
        <v>94.01</v>
      </c>
      <c r="E46" s="3"/>
      <c r="F46" s="3"/>
    </row>
    <row r="47" spans="1:10" x14ac:dyDescent="0.2">
      <c r="A47" s="13"/>
      <c r="B47" s="52" t="s">
        <v>75</v>
      </c>
      <c r="C47" s="52"/>
      <c r="D47" s="52"/>
      <c r="E47" s="3"/>
      <c r="F47" s="3"/>
    </row>
    <row r="48" spans="1:10" x14ac:dyDescent="0.2">
      <c r="A48" s="15" t="s">
        <v>38</v>
      </c>
      <c r="B48" s="8">
        <f>B14</f>
        <v>10</v>
      </c>
      <c r="C48" s="8">
        <f>B9*B15/D25</f>
        <v>4.6611011254788011E-2</v>
      </c>
      <c r="D48" s="30">
        <f>C48*D46/(B48-C48)</f>
        <v>0.44024212989339134</v>
      </c>
      <c r="E48" s="3"/>
      <c r="F48" s="3"/>
    </row>
    <row r="49" spans="1:6" x14ac:dyDescent="0.2">
      <c r="A49" s="1" t="s">
        <v>58</v>
      </c>
      <c r="B49" s="8" t="s">
        <v>14</v>
      </c>
      <c r="C49" s="8" t="s">
        <v>14</v>
      </c>
      <c r="D49" s="22">
        <f>D46+D48</f>
        <v>94.450242129893397</v>
      </c>
      <c r="E49" s="3"/>
      <c r="F49" s="3"/>
    </row>
    <row r="50" spans="1:6" x14ac:dyDescent="0.2">
      <c r="A50" s="1"/>
      <c r="B50" s="41" t="s">
        <v>22</v>
      </c>
      <c r="C50" s="59" t="s">
        <v>23</v>
      </c>
      <c r="D50" s="59"/>
      <c r="E50" s="26"/>
      <c r="F50" s="26"/>
    </row>
    <row r="51" spans="1:6" x14ac:dyDescent="0.2">
      <c r="A51" s="1"/>
      <c r="B51" s="47" t="s">
        <v>24</v>
      </c>
      <c r="C51" s="50" t="s">
        <v>25</v>
      </c>
      <c r="D51" s="50"/>
      <c r="E51" s="26"/>
      <c r="F51" s="26"/>
    </row>
    <row r="52" spans="1:6" x14ac:dyDescent="0.2">
      <c r="A52" s="1"/>
      <c r="B52" s="47" t="s">
        <v>26</v>
      </c>
      <c r="C52" s="51" t="s">
        <v>37</v>
      </c>
      <c r="D52" s="50"/>
      <c r="E52" s="26"/>
      <c r="F52" s="26"/>
    </row>
    <row r="53" spans="1:6" x14ac:dyDescent="0.2">
      <c r="A53" s="1"/>
      <c r="B53" s="47" t="s">
        <v>28</v>
      </c>
      <c r="C53" s="64" t="s">
        <v>29</v>
      </c>
      <c r="D53" s="64"/>
      <c r="E53" s="31"/>
      <c r="F53" s="31"/>
    </row>
    <row r="54" spans="1:6" x14ac:dyDescent="0.2">
      <c r="A54" s="29"/>
      <c r="B54" s="47" t="s">
        <v>30</v>
      </c>
      <c r="C54" s="50" t="s">
        <v>32</v>
      </c>
      <c r="D54" s="50"/>
      <c r="E54" s="14"/>
      <c r="F54" s="14"/>
    </row>
    <row r="55" spans="1:6" x14ac:dyDescent="0.2">
      <c r="A55" s="29"/>
      <c r="B55" s="52" t="s">
        <v>59</v>
      </c>
      <c r="C55" s="52"/>
      <c r="D55" s="52"/>
      <c r="E55" s="8"/>
      <c r="F55" s="8"/>
    </row>
    <row r="56" spans="1:6" x14ac:dyDescent="0.2">
      <c r="A56" s="42" t="s">
        <v>60</v>
      </c>
      <c r="B56" s="9" t="s">
        <v>14</v>
      </c>
      <c r="C56" s="9" t="s">
        <v>14</v>
      </c>
      <c r="D56" s="44">
        <f>B17</f>
        <v>5</v>
      </c>
      <c r="E56" s="3"/>
      <c r="F56" s="3"/>
    </row>
    <row r="57" spans="1:6" x14ac:dyDescent="0.2">
      <c r="A57" s="1" t="s">
        <v>58</v>
      </c>
      <c r="B57" s="9" t="s">
        <v>14</v>
      </c>
      <c r="C57" s="9" t="s">
        <v>14</v>
      </c>
      <c r="D57" s="44">
        <f>D49-D56</f>
        <v>89.450242129893397</v>
      </c>
      <c r="E57" s="8"/>
      <c r="F57" s="8"/>
    </row>
    <row r="58" spans="1:6" ht="15" customHeight="1" x14ac:dyDescent="0.2">
      <c r="A58" s="63" t="s">
        <v>76</v>
      </c>
      <c r="B58" s="63"/>
      <c r="C58" s="63"/>
      <c r="D58" s="63"/>
      <c r="E58" s="8"/>
      <c r="F58" s="8"/>
    </row>
    <row r="59" spans="1:6" x14ac:dyDescent="0.2">
      <c r="A59" s="63"/>
      <c r="B59" s="63"/>
      <c r="C59" s="63"/>
      <c r="D59" s="63"/>
      <c r="E59" s="8"/>
      <c r="F59" s="8"/>
    </row>
    <row r="60" spans="1:6" x14ac:dyDescent="0.2">
      <c r="A60" s="43"/>
      <c r="B60" s="43"/>
      <c r="C60" s="43"/>
      <c r="D60" s="43"/>
      <c r="E60" s="32"/>
      <c r="F60" s="32"/>
    </row>
    <row r="61" spans="1:6" x14ac:dyDescent="0.2">
      <c r="A61" s="43"/>
      <c r="B61" s="43"/>
      <c r="C61" s="43"/>
      <c r="D61" s="43"/>
      <c r="E61" s="26"/>
      <c r="F61" s="26"/>
    </row>
    <row r="62" spans="1:6" x14ac:dyDescent="0.2">
      <c r="E62" s="26"/>
      <c r="F62" s="26"/>
    </row>
    <row r="63" spans="1:6" x14ac:dyDescent="0.2">
      <c r="E63" s="26"/>
      <c r="F63" s="26"/>
    </row>
    <row r="64" spans="1:6" x14ac:dyDescent="0.2">
      <c r="E64" s="26"/>
      <c r="F64" s="26"/>
    </row>
    <row r="65" spans="5:6" x14ac:dyDescent="0.2">
      <c r="E65" s="33"/>
      <c r="F65" s="33"/>
    </row>
    <row r="66" spans="5:6" x14ac:dyDescent="0.2">
      <c r="E66" s="27"/>
      <c r="F66" s="27"/>
    </row>
    <row r="67" spans="5:6" x14ac:dyDescent="0.2">
      <c r="E67" s="27"/>
      <c r="F67" s="27"/>
    </row>
    <row r="68" spans="5:6" x14ac:dyDescent="0.2">
      <c r="E68" s="27"/>
      <c r="F68" s="27"/>
    </row>
  </sheetData>
  <mergeCells count="26">
    <mergeCell ref="C28:D28"/>
    <mergeCell ref="C29:D29"/>
    <mergeCell ref="C30:D30"/>
    <mergeCell ref="A1:D1"/>
    <mergeCell ref="A2:D2"/>
    <mergeCell ref="B18:D18"/>
    <mergeCell ref="B26:D26"/>
    <mergeCell ref="C27:D27"/>
    <mergeCell ref="B44:D44"/>
    <mergeCell ref="C31:D31"/>
    <mergeCell ref="C32:D32"/>
    <mergeCell ref="C33:D33"/>
    <mergeCell ref="C34:D34"/>
    <mergeCell ref="B35:D35"/>
    <mergeCell ref="B38:D38"/>
    <mergeCell ref="C41:D41"/>
    <mergeCell ref="C42:D42"/>
    <mergeCell ref="C43:D43"/>
    <mergeCell ref="C54:D54"/>
    <mergeCell ref="B55:D55"/>
    <mergeCell ref="B47:D47"/>
    <mergeCell ref="C50:D50"/>
    <mergeCell ref="C51:D51"/>
    <mergeCell ref="C52:D52"/>
    <mergeCell ref="C53:D53"/>
    <mergeCell ref="A58:D59"/>
  </mergeCells>
  <phoneticPr fontId="9" type="noConversion"/>
  <printOptions gridLines="1"/>
  <pageMargins left="0.7" right="0.7" top="0.75" bottom="0.75" header="0.3" footer="0.3"/>
  <pageSetup scale="6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B22" sqref="B22"/>
    </sheetView>
  </sheetViews>
  <sheetFormatPr baseColWidth="10" defaultRowHeight="15" x14ac:dyDescent="0.2"/>
  <cols>
    <col min="1" max="1" width="24.6640625" bestFit="1" customWidth="1"/>
    <col min="5" max="5" width="12.33203125" bestFit="1" customWidth="1"/>
    <col min="6" max="6" width="16.83203125" bestFit="1" customWidth="1"/>
  </cols>
  <sheetData>
    <row r="2" spans="1:6" x14ac:dyDescent="0.2">
      <c r="A2" t="s">
        <v>86</v>
      </c>
      <c r="B2">
        <v>100</v>
      </c>
      <c r="C2" t="s">
        <v>11</v>
      </c>
    </row>
    <row r="3" spans="1:6" x14ac:dyDescent="0.2">
      <c r="A3" t="s">
        <v>84</v>
      </c>
      <c r="B3">
        <v>25</v>
      </c>
    </row>
    <row r="4" spans="1:6" x14ac:dyDescent="0.2">
      <c r="A4" s="45" t="s">
        <v>68</v>
      </c>
      <c r="B4" s="9" t="s">
        <v>78</v>
      </c>
      <c r="C4" s="71" t="s">
        <v>79</v>
      </c>
      <c r="D4" s="71" t="s">
        <v>83</v>
      </c>
      <c r="E4" s="71" t="s">
        <v>85</v>
      </c>
      <c r="F4" s="71" t="s">
        <v>87</v>
      </c>
    </row>
    <row r="5" spans="1:6" x14ac:dyDescent="0.2">
      <c r="A5" s="71" t="s">
        <v>80</v>
      </c>
      <c r="B5" s="71">
        <v>10</v>
      </c>
      <c r="C5" s="71">
        <v>1</v>
      </c>
      <c r="D5" s="71">
        <f>$B$2/(B5/C5)</f>
        <v>10</v>
      </c>
      <c r="E5" s="71">
        <f>$B$3*D5</f>
        <v>250</v>
      </c>
      <c r="F5" s="74">
        <f>SUM(D5:D9)</f>
        <v>22</v>
      </c>
    </row>
    <row r="6" spans="1:6" x14ac:dyDescent="0.2">
      <c r="A6" s="71" t="s">
        <v>19</v>
      </c>
      <c r="B6" s="71">
        <v>100</v>
      </c>
      <c r="C6" s="71">
        <v>5</v>
      </c>
      <c r="D6" s="71">
        <f t="shared" ref="D6:D10" si="0">$B$2/(B6/C6)</f>
        <v>5</v>
      </c>
      <c r="E6" s="71">
        <f t="shared" ref="E6:E9" si="1">$B$3*D6</f>
        <v>125</v>
      </c>
      <c r="F6" s="74"/>
    </row>
    <row r="7" spans="1:6" x14ac:dyDescent="0.2">
      <c r="A7" s="71" t="s">
        <v>81</v>
      </c>
      <c r="B7" s="71">
        <v>10</v>
      </c>
      <c r="C7" s="71">
        <v>0.2</v>
      </c>
      <c r="D7" s="71">
        <f t="shared" si="0"/>
        <v>2</v>
      </c>
      <c r="E7" s="71">
        <f t="shared" si="1"/>
        <v>50</v>
      </c>
      <c r="F7" s="74"/>
    </row>
    <row r="8" spans="1:6" x14ac:dyDescent="0.2">
      <c r="A8" s="71" t="s">
        <v>82</v>
      </c>
      <c r="B8" s="71">
        <v>50</v>
      </c>
      <c r="C8" s="71">
        <v>0.5</v>
      </c>
      <c r="D8" s="71">
        <f t="shared" si="0"/>
        <v>1</v>
      </c>
      <c r="E8" s="71">
        <f t="shared" si="1"/>
        <v>25</v>
      </c>
      <c r="F8" s="74"/>
    </row>
    <row r="9" spans="1:6" x14ac:dyDescent="0.2">
      <c r="A9" s="71" t="s">
        <v>20</v>
      </c>
      <c r="B9" s="71">
        <v>25</v>
      </c>
      <c r="C9" s="71">
        <v>1</v>
      </c>
      <c r="D9" s="71">
        <f t="shared" si="0"/>
        <v>4</v>
      </c>
      <c r="E9" s="71">
        <f t="shared" si="1"/>
        <v>100</v>
      </c>
      <c r="F9" s="74"/>
    </row>
    <row r="10" spans="1:6" x14ac:dyDescent="0.2">
      <c r="A10" s="71" t="s">
        <v>21</v>
      </c>
      <c r="B10" s="71" t="s">
        <v>14</v>
      </c>
      <c r="C10" s="71" t="s">
        <v>14</v>
      </c>
      <c r="D10" s="71" t="s">
        <v>14</v>
      </c>
      <c r="E10" s="71">
        <f>SUM(E5:E9)</f>
        <v>550</v>
      </c>
    </row>
    <row r="13" spans="1:6" x14ac:dyDescent="0.2">
      <c r="A13" t="s">
        <v>86</v>
      </c>
      <c r="B13">
        <v>100</v>
      </c>
      <c r="C13" t="s">
        <v>11</v>
      </c>
    </row>
    <row r="14" spans="1:6" x14ac:dyDescent="0.2">
      <c r="A14" t="s">
        <v>84</v>
      </c>
      <c r="B14">
        <v>5</v>
      </c>
      <c r="D14" s="71"/>
      <c r="E14" s="71"/>
    </row>
    <row r="15" spans="1:6" x14ac:dyDescent="0.2">
      <c r="A15" s="45" t="s">
        <v>69</v>
      </c>
      <c r="B15" s="9" t="s">
        <v>78</v>
      </c>
      <c r="C15" s="71" t="s">
        <v>79</v>
      </c>
      <c r="D15" s="71" t="s">
        <v>83</v>
      </c>
      <c r="E15" s="71" t="s">
        <v>85</v>
      </c>
    </row>
    <row r="16" spans="1:6" x14ac:dyDescent="0.2">
      <c r="A16" s="71" t="s">
        <v>70</v>
      </c>
      <c r="B16" s="71">
        <v>2.5</v>
      </c>
      <c r="C16" s="71">
        <v>2.5000000000000001E-2</v>
      </c>
      <c r="D16" s="71">
        <f>$B$13/(B16/C16)</f>
        <v>1</v>
      </c>
      <c r="E16" s="71">
        <f>D16*$B$14</f>
        <v>5</v>
      </c>
      <c r="F16" s="74">
        <f>SUM(D16:D17)</f>
        <v>6</v>
      </c>
    </row>
    <row r="17" spans="1:6" x14ac:dyDescent="0.2">
      <c r="A17" s="71" t="s">
        <v>71</v>
      </c>
      <c r="B17" s="71">
        <v>40</v>
      </c>
      <c r="C17" s="71">
        <v>2</v>
      </c>
      <c r="D17" s="71">
        <f>$B$13/(B17/C17)</f>
        <v>5</v>
      </c>
      <c r="E17" s="71">
        <f>D17*$B$14</f>
        <v>25</v>
      </c>
      <c r="F17" s="74"/>
    </row>
    <row r="18" spans="1:6" x14ac:dyDescent="0.2">
      <c r="A18" s="71" t="s">
        <v>21</v>
      </c>
      <c r="B18" s="71" t="s">
        <v>14</v>
      </c>
      <c r="C18" s="71" t="s">
        <v>14</v>
      </c>
      <c r="D18" s="71" t="s">
        <v>14</v>
      </c>
      <c r="E18" s="71">
        <f>SUM(E13:E17)</f>
        <v>30</v>
      </c>
    </row>
    <row r="19" spans="1:6" x14ac:dyDescent="0.2">
      <c r="A19" s="71"/>
      <c r="B19" s="71"/>
    </row>
    <row r="20" spans="1:6" x14ac:dyDescent="0.2">
      <c r="A20" t="s">
        <v>86</v>
      </c>
      <c r="B20">
        <v>95</v>
      </c>
      <c r="C20" t="s">
        <v>11</v>
      </c>
    </row>
    <row r="21" spans="1:6" x14ac:dyDescent="0.2">
      <c r="A21" t="s">
        <v>84</v>
      </c>
      <c r="B21">
        <v>5</v>
      </c>
      <c r="D21" s="71"/>
      <c r="E21" s="71"/>
    </row>
    <row r="22" spans="1:6" x14ac:dyDescent="0.2">
      <c r="A22" s="45" t="s">
        <v>74</v>
      </c>
      <c r="B22" s="9" t="s">
        <v>78</v>
      </c>
      <c r="C22" s="71" t="s">
        <v>79</v>
      </c>
      <c r="D22" s="71" t="s">
        <v>83</v>
      </c>
      <c r="E22" s="71" t="s">
        <v>85</v>
      </c>
    </row>
    <row r="23" spans="1:6" x14ac:dyDescent="0.2">
      <c r="A23" s="29" t="s">
        <v>33</v>
      </c>
      <c r="B23" s="73">
        <v>5</v>
      </c>
      <c r="C23" s="73">
        <v>9.6000000000000002E-2</v>
      </c>
      <c r="D23" s="73">
        <f>(C23*B20+C23*D24)/(B23-C23)</f>
        <v>1.8652213927804482</v>
      </c>
      <c r="E23" s="72">
        <f>D23*$B$21</f>
        <v>9.3261069639022409</v>
      </c>
      <c r="F23" s="75">
        <f>SUM(D23:D25)</f>
        <v>4.0121689334287769</v>
      </c>
    </row>
    <row r="24" spans="1:6" x14ac:dyDescent="0.2">
      <c r="A24" s="29" t="s">
        <v>34</v>
      </c>
      <c r="B24" s="73">
        <v>100</v>
      </c>
      <c r="C24" s="73">
        <v>0.28999999999999998</v>
      </c>
      <c r="D24" s="73">
        <f>C24*B20*(1+(C23/(B23-C23)))/(B24-C24-((C24*C23)/(B23-C23)))</f>
        <v>0.28172614786788019</v>
      </c>
      <c r="E24" s="72">
        <f>D24*$B$21</f>
        <v>1.4086307393394009</v>
      </c>
      <c r="F24" s="75"/>
    </row>
    <row r="25" spans="1:6" x14ac:dyDescent="0.2">
      <c r="A25" s="29" t="s">
        <v>35</v>
      </c>
      <c r="B25" s="73">
        <v>20</v>
      </c>
      <c r="C25" s="73">
        <f>B25/(SUM(D23:D25,B20)/D25)</f>
        <v>0.37676609105180536</v>
      </c>
      <c r="D25" s="73">
        <f>D23</f>
        <v>1.8652213927804482</v>
      </c>
      <c r="E25" s="72">
        <f>D25*$B$21</f>
        <v>9.3261069639022409</v>
      </c>
      <c r="F25" s="75"/>
    </row>
    <row r="26" spans="1:6" x14ac:dyDescent="0.2">
      <c r="B26" s="72"/>
      <c r="C26" s="72"/>
      <c r="D26" s="72"/>
    </row>
  </sheetData>
  <mergeCells count="3">
    <mergeCell ref="F5:F9"/>
    <mergeCell ref="F16:F17"/>
    <mergeCell ref="F23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Combinatorial (no delay)</vt:lpstr>
      <vt:lpstr>Mastermixes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dbroe_000</dc:creator>
  <cp:lastModifiedBy>Microsoft Office User</cp:lastModifiedBy>
  <cp:lastPrinted>2016-08-16T22:07:27Z</cp:lastPrinted>
  <dcterms:created xsi:type="dcterms:W3CDTF">2016-02-24T15:28:57Z</dcterms:created>
  <dcterms:modified xsi:type="dcterms:W3CDTF">2016-09-08T18:39:10Z</dcterms:modified>
</cp:coreProperties>
</file>