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ie Mao\Desktop\Revolve_new\"/>
    </mc:Choice>
  </mc:AlternateContent>
  <bookViews>
    <workbookView xWindow="0" yWindow="0" windowWidth="23040" windowHeight="9084" firstSheet="2" activeTab="4"/>
  </bookViews>
  <sheets>
    <sheet name="Combinatorial" sheetId="1" r:id="rId1"/>
    <sheet name="Combinatorial (no delay) (2)" sheetId="5" r:id="rId2"/>
    <sheet name="For Robot" sheetId="2" r:id="rId3"/>
    <sheet name="Sheet2" sheetId="4" r:id="rId4"/>
    <sheet name="For Robot (w Mastermixes)" sheetId="6" r:id="rId5"/>
  </sheets>
  <definedNames>
    <definedName name="_xlnm.Print_Area" localSheetId="0">Combinatorial!$A$1:$E$81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6" i="6"/>
  <c r="D49" i="6"/>
  <c r="D40" i="6"/>
  <c r="D47" i="6"/>
  <c r="D39" i="6"/>
  <c r="D25" i="6"/>
  <c r="B22" i="6"/>
  <c r="B5" i="6"/>
  <c r="B9" i="6"/>
  <c r="C22" i="6"/>
  <c r="D22" i="6"/>
  <c r="B23" i="6"/>
  <c r="C23" i="6"/>
  <c r="D23" i="6"/>
  <c r="D20" i="6"/>
  <c r="D36" i="6"/>
  <c r="D37" i="6"/>
  <c r="D46" i="6"/>
  <c r="C49" i="6"/>
  <c r="B49" i="6"/>
  <c r="D50" i="6"/>
  <c r="D58" i="6"/>
  <c r="D59" i="6"/>
  <c r="B7" i="6"/>
  <c r="D30" i="5"/>
  <c r="D41" i="5"/>
  <c r="D42" i="5"/>
  <c r="B50" i="5"/>
  <c r="D50" i="5"/>
  <c r="D49" i="5"/>
  <c r="D51" i="5"/>
  <c r="D52" i="5"/>
  <c r="D58" i="5"/>
  <c r="D59" i="5"/>
  <c r="B5" i="5"/>
  <c r="B9" i="5"/>
  <c r="C61" i="5"/>
  <c r="B61" i="5"/>
  <c r="D61" i="5"/>
  <c r="D62" i="5"/>
  <c r="D70" i="5"/>
  <c r="D71" i="5"/>
  <c r="C51" i="5"/>
  <c r="D46" i="5"/>
  <c r="D45" i="5"/>
  <c r="D44" i="5"/>
  <c r="C29" i="5"/>
  <c r="D29" i="5"/>
  <c r="D28" i="5"/>
  <c r="B27" i="5"/>
  <c r="C27" i="5"/>
  <c r="D27" i="5"/>
  <c r="B26" i="5"/>
  <c r="C26" i="5"/>
  <c r="D26" i="5"/>
  <c r="D25" i="5"/>
  <c r="D24" i="5"/>
  <c r="D23" i="5"/>
  <c r="D22" i="5"/>
  <c r="D21" i="5"/>
  <c r="D20" i="5"/>
  <c r="B16" i="5"/>
  <c r="B7" i="5"/>
  <c r="C29" i="2"/>
  <c r="D30" i="2"/>
  <c r="D41" i="2"/>
  <c r="D42" i="2"/>
  <c r="D29" i="2"/>
  <c r="D21" i="2"/>
  <c r="D22" i="2"/>
  <c r="D23" i="2"/>
  <c r="D24" i="2"/>
  <c r="D25" i="2"/>
  <c r="B5" i="2"/>
  <c r="B9" i="2"/>
  <c r="C26" i="2"/>
  <c r="B26" i="2"/>
  <c r="D26" i="2"/>
  <c r="B27" i="2"/>
  <c r="C27" i="2"/>
  <c r="D27" i="2"/>
  <c r="D28" i="2"/>
  <c r="D20" i="2"/>
  <c r="B50" i="2"/>
  <c r="D50" i="2"/>
  <c r="D49" i="2"/>
  <c r="D51" i="2"/>
  <c r="D52" i="2"/>
  <c r="D58" i="2"/>
  <c r="D59" i="2"/>
  <c r="C61" i="2"/>
  <c r="B61" i="2"/>
  <c r="D61" i="2"/>
  <c r="D62" i="2"/>
  <c r="D70" i="2"/>
  <c r="D71" i="2"/>
  <c r="C51" i="2"/>
  <c r="D46" i="2"/>
  <c r="D45" i="2"/>
  <c r="D44" i="2"/>
  <c r="B7" i="2"/>
  <c r="D32" i="1"/>
  <c r="D25" i="1"/>
  <c r="D21" i="1"/>
  <c r="D22" i="1"/>
  <c r="D23" i="1"/>
  <c r="D24" i="1"/>
  <c r="B26" i="1"/>
  <c r="B5" i="1"/>
  <c r="B9" i="1"/>
  <c r="C26" i="1"/>
  <c r="D26" i="1"/>
  <c r="B27" i="1"/>
  <c r="C27" i="1"/>
  <c r="D27" i="1"/>
  <c r="D30" i="1"/>
  <c r="C31" i="1"/>
  <c r="D31" i="1"/>
  <c r="D20" i="1"/>
  <c r="D28" i="1"/>
  <c r="D38" i="1"/>
  <c r="D47" i="1"/>
  <c r="D48" i="1"/>
  <c r="B56" i="1"/>
  <c r="D56" i="1"/>
  <c r="D55" i="1"/>
  <c r="D57" i="1"/>
  <c r="D58" i="1"/>
  <c r="D64" i="1"/>
  <c r="D65" i="1"/>
  <c r="C67" i="1"/>
  <c r="B67" i="1"/>
  <c r="D67" i="1"/>
  <c r="D68" i="1"/>
  <c r="D76" i="1"/>
  <c r="D77" i="1"/>
  <c r="C57" i="1"/>
  <c r="B16" i="1"/>
  <c r="B7" i="1"/>
  <c r="D52" i="1"/>
  <c r="D51" i="1"/>
  <c r="D50" i="1"/>
</calcChain>
</file>

<file path=xl/sharedStrings.xml><?xml version="1.0" encoding="utf-8"?>
<sst xmlns="http://schemas.openxmlformats.org/spreadsheetml/2006/main" count="524" uniqueCount="96">
  <si>
    <t>PFunkel Mutagenesis</t>
  </si>
  <si>
    <t>Vector Size</t>
  </si>
  <si>
    <t>bp</t>
    <phoneticPr fontId="0" type="noConversion"/>
  </si>
  <si>
    <t>Fill in</t>
  </si>
  <si>
    <t>Vector ssDNA MW</t>
  </si>
  <si>
    <t>g/mol</t>
    <phoneticPr fontId="0" type="noConversion"/>
  </si>
  <si>
    <t>Volumes to use</t>
  </si>
  <si>
    <t>ssDNA Concentration</t>
  </si>
  <si>
    <t>ng/uL</t>
    <phoneticPr fontId="0" type="noConversion"/>
  </si>
  <si>
    <t>Thermocycling</t>
  </si>
  <si>
    <t>ssDNA Volume</t>
  </si>
  <si>
    <t>uL</t>
  </si>
  <si>
    <t>ng</t>
    <phoneticPr fontId="0" type="noConversion"/>
  </si>
  <si>
    <t>pmol</t>
    <phoneticPr fontId="0" type="noConversion"/>
  </si>
  <si>
    <t>-</t>
  </si>
  <si>
    <t>Secondary oligo:vector ratio</t>
  </si>
  <si>
    <t>Mg2+ in Pfunkel reaction</t>
  </si>
  <si>
    <t>mM</t>
  </si>
  <si>
    <t>DI-NF water</t>
  </si>
  <si>
    <t>PfuTurbo Cx buffer (X)</t>
  </si>
  <si>
    <t>DMSO (%)</t>
  </si>
  <si>
    <t>MgCl2 (mM)</t>
  </si>
  <si>
    <t>PfuTurbo Cx polymerase (U/uL)</t>
  </si>
  <si>
    <t>Taq Ligase (U/uL)</t>
  </si>
  <si>
    <t>Total</t>
  </si>
  <si>
    <t>Temp</t>
  </si>
  <si>
    <t>Time</t>
  </si>
  <si>
    <t>95C</t>
  </si>
  <si>
    <t>2 min</t>
  </si>
  <si>
    <t>63.6C</t>
  </si>
  <si>
    <t>60 min</t>
  </si>
  <si>
    <t>45C</t>
  </si>
  <si>
    <t>15 min</t>
  </si>
  <si>
    <t>4C</t>
  </si>
  <si>
    <t>10 min</t>
  </si>
  <si>
    <t>hold</t>
  </si>
  <si>
    <t>Create dilution of exonuclease III on ice in 0.5 mL microtube:</t>
  </si>
  <si>
    <t>DI-NF Water</t>
  </si>
  <si>
    <t>NEBuffer 1 (X)</t>
  </si>
  <si>
    <t>Exonuclease III (U/uL)</t>
  </si>
  <si>
    <t>Add to PFunkel reaction:</t>
  </si>
  <si>
    <t>UDG</t>
  </si>
  <si>
    <t>diluted Exonuclease III (U/uL)</t>
  </si>
  <si>
    <t>Exonuclease I (U/uL)</t>
  </si>
  <si>
    <t>37C</t>
  </si>
  <si>
    <t>80C</t>
  </si>
  <si>
    <t>20 min</t>
  </si>
  <si>
    <t>Pipette up and down gently 5 times to mix</t>
  </si>
  <si>
    <t>30 min</t>
  </si>
  <si>
    <r>
      <t xml:space="preserve">dNTPs </t>
    </r>
    <r>
      <rPr>
        <sz val="11"/>
        <rFont val="Leelawadee"/>
      </rPr>
      <t xml:space="preserve"> (mM)</t>
    </r>
  </si>
  <si>
    <r>
      <t>NAD+</t>
    </r>
    <r>
      <rPr>
        <sz val="11"/>
        <rFont val="Leelawadee"/>
      </rPr>
      <t xml:space="preserve"> (mM)</t>
    </r>
  </si>
  <si>
    <r>
      <t xml:space="preserve"> secondary oligo </t>
    </r>
    <r>
      <rPr>
        <sz val="11"/>
        <rFont val="Leelawadee"/>
      </rPr>
      <t xml:space="preserve"> (uM)</t>
    </r>
  </si>
  <si>
    <t>Reaction type: Combinatorial</t>
  </si>
  <si>
    <t>ssDNA Mass</t>
  </si>
  <si>
    <t>ssDNA Moles</t>
  </si>
  <si>
    <t>Primary Oligo:vector ratio</t>
  </si>
  <si>
    <t xml:space="preserve">aliquot volume </t>
  </si>
  <si>
    <t>Vector ssDNA name</t>
  </si>
  <si>
    <t>Primary oligos name</t>
  </si>
  <si>
    <t>Secondary oligo name</t>
  </si>
  <si>
    <t>PL1</t>
  </si>
  <si>
    <t>CDRH3-NNK</t>
  </si>
  <si>
    <t>P23-Amp-rev</t>
  </si>
  <si>
    <t>5 min</t>
  </si>
  <si>
    <t>Place microtubes in thermocycler and proceed:</t>
  </si>
  <si>
    <t>Mix #1: In 0.5 mL microtube on ice add:</t>
  </si>
  <si>
    <t>Mix #2: In seperate 0.5 mL microtube add:</t>
  </si>
  <si>
    <t>Mix #2</t>
  </si>
  <si>
    <t>Primary oligos concentration</t>
  </si>
  <si>
    <t>Secondary oligo concentration</t>
  </si>
  <si>
    <t>Add enzyme mix #2 to mix #1</t>
  </si>
  <si>
    <t>Pipette up and down gently to mix and proceed</t>
  </si>
  <si>
    <t>Transfer aliquot #1 to seperate 0.5 mL microtube.</t>
  </si>
  <si>
    <t>Add to reaction:</t>
  </si>
  <si>
    <t>Sub-total</t>
  </si>
  <si>
    <t>New Total</t>
  </si>
  <si>
    <t>Transfer aliquot #2 to seperate 0.5 mL microtube.</t>
  </si>
  <si>
    <t>remove aliquot #1</t>
  </si>
  <si>
    <t>remove aliquot #2</t>
  </si>
  <si>
    <t>New total</t>
  </si>
  <si>
    <t>Transfer aliquot #3 to seperate 0.5 mL microtube.</t>
  </si>
  <si>
    <t>remove aliquot #3</t>
  </si>
  <si>
    <t>Initial concentration</t>
  </si>
  <si>
    <t>Final concentration</t>
  </si>
  <si>
    <t>volume (uL)</t>
  </si>
  <si>
    <t>Primary oligos (uM)</t>
  </si>
  <si>
    <t>ssDNA (ng/uL)</t>
  </si>
  <si>
    <t>Clean up the reaction using the zymo clean and concentrator or Macherey-Nagel Nucleospin column. Elute with 15 uL DI-NF water or Buffer NE pre-heated to 70C (two times optionally). Then use the picogreen protocol to quantify dsDNA concentration.</t>
  </si>
  <si>
    <t>ORM30A- 1:10 Oligo Ratio- Use .1 uM Primer Pool (.35 uL)</t>
  </si>
  <si>
    <t>ORM30B- 1:1 Oligo Ratio- Use 1 uM Primer Pool (.35 uL)</t>
  </si>
  <si>
    <t xml:space="preserve">ORM30C- 10:1 Oligo Ratio- Use 16 uM Primer Pool </t>
  </si>
  <si>
    <t>BP14-BP18</t>
  </si>
  <si>
    <t>Aliquot</t>
  </si>
  <si>
    <t>Mastermix 2 - Pol/Lig</t>
  </si>
  <si>
    <t>Mastermix 1 - Reagents</t>
  </si>
  <si>
    <t>Mastermix 3 - 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</si>
</sst>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4"/>
      <name val="Leelawadee"/>
      <family val="2"/>
    </font>
    <font>
      <b/>
      <sz val="14"/>
      <name val="Leelawadee"/>
    </font>
    <font>
      <b/>
      <sz val="11"/>
      <name val="Leelawadee"/>
    </font>
    <font>
      <b/>
      <sz val="12"/>
      <name val="Leelawadee"/>
    </font>
    <font>
      <sz val="11"/>
      <name val="Leelawadee"/>
    </font>
    <font>
      <sz val="11"/>
      <name val="Leelawadee"/>
      <family val="2"/>
    </font>
    <font>
      <sz val="11"/>
      <color theme="1"/>
      <name val="Leelawadee"/>
      <family val="2"/>
    </font>
    <font>
      <b/>
      <sz val="11"/>
      <name val="Leelawadee"/>
      <family val="2"/>
    </font>
    <font>
      <sz val="11"/>
      <color rgb="FFFF0000"/>
      <name val="Leelawadee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5" fillId="0" borderId="0" xfId="0" applyFont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2" fontId="3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8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right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1" fontId="0" fillId="0" borderId="0" xfId="0" applyNumberFormat="1"/>
    <xf numFmtId="11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6" fillId="0" borderId="5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26" zoomScale="130" zoomScaleNormal="130" zoomScalePageLayoutView="130" workbookViewId="0">
      <selection activeCell="A43" sqref="A1:XFD1048576"/>
    </sheetView>
  </sheetViews>
  <sheetFormatPr defaultColWidth="8.88671875" defaultRowHeight="14.4" x14ac:dyDescent="0.3"/>
  <cols>
    <col min="1" max="1" width="33.44140625" customWidth="1"/>
    <col min="2" max="2" width="21.6640625" customWidth="1"/>
    <col min="3" max="3" width="18.44140625" customWidth="1"/>
    <col min="4" max="4" width="41.44140625" bestFit="1" customWidth="1"/>
    <col min="5" max="5" width="15" customWidth="1"/>
  </cols>
  <sheetData>
    <row r="1" spans="1:5" ht="17.399999999999999" x14ac:dyDescent="0.3">
      <c r="A1" s="90" t="s">
        <v>0</v>
      </c>
      <c r="B1" s="91"/>
      <c r="C1" s="91"/>
      <c r="D1" s="91"/>
    </row>
    <row r="2" spans="1:5" ht="15.6" x14ac:dyDescent="0.3">
      <c r="A2" s="92" t="s">
        <v>52</v>
      </c>
      <c r="B2" s="92"/>
      <c r="C2" s="92"/>
      <c r="D2" s="92"/>
    </row>
    <row r="3" spans="1:5" ht="15.6" x14ac:dyDescent="0.3">
      <c r="A3" s="1" t="s">
        <v>57</v>
      </c>
      <c r="B3" s="4" t="s">
        <v>60</v>
      </c>
      <c r="C3" s="48"/>
      <c r="D3" s="4" t="s">
        <v>3</v>
      </c>
    </row>
    <row r="4" spans="1:5" x14ac:dyDescent="0.3">
      <c r="A4" s="1" t="s">
        <v>1</v>
      </c>
      <c r="B4" s="2">
        <v>4482</v>
      </c>
      <c r="C4" s="3" t="s">
        <v>2</v>
      </c>
      <c r="D4" s="5" t="s">
        <v>6</v>
      </c>
    </row>
    <row r="5" spans="1:5" x14ac:dyDescent="0.3">
      <c r="A5" s="1" t="s">
        <v>4</v>
      </c>
      <c r="B5" s="50">
        <f>$B$4*303.7+79</f>
        <v>1361262.4</v>
      </c>
      <c r="C5" s="3" t="s">
        <v>5</v>
      </c>
      <c r="D5" s="7" t="s">
        <v>9</v>
      </c>
      <c r="E5" s="49"/>
    </row>
    <row r="6" spans="1:5" x14ac:dyDescent="0.3">
      <c r="A6" s="1" t="s">
        <v>7</v>
      </c>
      <c r="B6" s="6">
        <v>230</v>
      </c>
      <c r="C6" s="3" t="s">
        <v>8</v>
      </c>
    </row>
    <row r="7" spans="1:5" x14ac:dyDescent="0.3">
      <c r="A7" s="1" t="s">
        <v>10</v>
      </c>
      <c r="B7" s="8">
        <f>B8/B6</f>
        <v>4.3478260869565215</v>
      </c>
      <c r="C7" s="3" t="s">
        <v>11</v>
      </c>
    </row>
    <row r="8" spans="1:5" x14ac:dyDescent="0.3">
      <c r="A8" s="1" t="s">
        <v>53</v>
      </c>
      <c r="B8" s="6">
        <v>1000</v>
      </c>
      <c r="C8" s="3" t="s">
        <v>12</v>
      </c>
    </row>
    <row r="9" spans="1:5" x14ac:dyDescent="0.3">
      <c r="A9" s="1" t="s">
        <v>54</v>
      </c>
      <c r="B9" s="10">
        <f>B8*0.000000001/B5*1000000000000</f>
        <v>0.7346122246526462</v>
      </c>
      <c r="C9" s="3" t="s">
        <v>13</v>
      </c>
    </row>
    <row r="10" spans="1:5" x14ac:dyDescent="0.3">
      <c r="A10" s="1" t="s">
        <v>58</v>
      </c>
      <c r="B10" s="4" t="s">
        <v>61</v>
      </c>
      <c r="C10" s="3"/>
      <c r="D10" s="51"/>
    </row>
    <row r="11" spans="1:5" x14ac:dyDescent="0.3">
      <c r="A11" s="1" t="s">
        <v>68</v>
      </c>
      <c r="B11" s="4">
        <v>10</v>
      </c>
      <c r="C11" s="3"/>
      <c r="D11" s="51"/>
    </row>
    <row r="12" spans="1:5" x14ac:dyDescent="0.3">
      <c r="A12" s="1" t="s">
        <v>55</v>
      </c>
      <c r="B12" s="2">
        <v>20</v>
      </c>
      <c r="C12" s="3" t="s">
        <v>14</v>
      </c>
      <c r="D12" s="3"/>
    </row>
    <row r="13" spans="1:5" x14ac:dyDescent="0.3">
      <c r="A13" s="1" t="s">
        <v>59</v>
      </c>
      <c r="B13" s="4" t="s">
        <v>62</v>
      </c>
      <c r="C13" s="3"/>
      <c r="D13" s="51"/>
    </row>
    <row r="14" spans="1:5" x14ac:dyDescent="0.3">
      <c r="A14" s="1" t="s">
        <v>69</v>
      </c>
      <c r="B14" s="4">
        <v>10</v>
      </c>
      <c r="C14" s="3"/>
      <c r="D14" s="51"/>
    </row>
    <row r="15" spans="1:5" x14ac:dyDescent="0.3">
      <c r="A15" s="1" t="s">
        <v>15</v>
      </c>
      <c r="B15" s="13">
        <v>10</v>
      </c>
      <c r="C15" s="3" t="s">
        <v>14</v>
      </c>
      <c r="D15" s="12"/>
    </row>
    <row r="16" spans="1:5" x14ac:dyDescent="0.3">
      <c r="A16" s="1" t="s">
        <v>16</v>
      </c>
      <c r="B16" s="10">
        <f>(D21*20+D25*B25)/D32</f>
        <v>6</v>
      </c>
      <c r="C16" s="11" t="s">
        <v>17</v>
      </c>
      <c r="D16" s="14"/>
    </row>
    <row r="17" spans="1:4" x14ac:dyDescent="0.3">
      <c r="A17" s="1" t="s">
        <v>56</v>
      </c>
      <c r="B17" s="10">
        <v>5</v>
      </c>
      <c r="C17" s="11" t="s">
        <v>11</v>
      </c>
      <c r="D17" s="14"/>
    </row>
    <row r="18" spans="1:4" x14ac:dyDescent="0.3">
      <c r="A18" s="15"/>
      <c r="B18" s="83" t="s">
        <v>65</v>
      </c>
      <c r="C18" s="82"/>
      <c r="D18" s="82"/>
    </row>
    <row r="19" spans="1:4" x14ac:dyDescent="0.3">
      <c r="A19" s="15"/>
      <c r="B19" s="62" t="s">
        <v>82</v>
      </c>
      <c r="C19" s="62" t="s">
        <v>83</v>
      </c>
      <c r="D19" s="63" t="s">
        <v>84</v>
      </c>
    </row>
    <row r="20" spans="1:4" x14ac:dyDescent="0.3">
      <c r="A20" s="17" t="s">
        <v>18</v>
      </c>
      <c r="B20" s="18" t="s">
        <v>14</v>
      </c>
      <c r="C20" s="18" t="s">
        <v>14</v>
      </c>
      <c r="D20" s="19">
        <f>D32-SUM(D21:D27)-SUM(D30:D31)</f>
        <v>62.182949463738183</v>
      </c>
    </row>
    <row r="21" spans="1:4" x14ac:dyDescent="0.3">
      <c r="A21" s="20" t="s">
        <v>19</v>
      </c>
      <c r="B21" s="18">
        <v>10</v>
      </c>
      <c r="C21" s="18">
        <v>1</v>
      </c>
      <c r="D21" s="21">
        <f t="shared" ref="D21:D27" si="0">$D$32/(B21/C21)</f>
        <v>10</v>
      </c>
    </row>
    <row r="22" spans="1:4" x14ac:dyDescent="0.3">
      <c r="A22" s="20" t="s">
        <v>20</v>
      </c>
      <c r="B22" s="18">
        <v>100</v>
      </c>
      <c r="C22" s="18">
        <v>5</v>
      </c>
      <c r="D22" s="21">
        <f t="shared" si="0"/>
        <v>5</v>
      </c>
    </row>
    <row r="23" spans="1:4" x14ac:dyDescent="0.3">
      <c r="A23" s="20" t="s">
        <v>49</v>
      </c>
      <c r="B23" s="18">
        <v>10</v>
      </c>
      <c r="C23" s="18">
        <v>0.2</v>
      </c>
      <c r="D23" s="21">
        <f t="shared" si="0"/>
        <v>2</v>
      </c>
    </row>
    <row r="24" spans="1:4" x14ac:dyDescent="0.3">
      <c r="A24" s="20" t="s">
        <v>50</v>
      </c>
      <c r="B24" s="18">
        <v>50</v>
      </c>
      <c r="C24" s="18">
        <v>0.5</v>
      </c>
      <c r="D24" s="21">
        <f t="shared" si="0"/>
        <v>1</v>
      </c>
    </row>
    <row r="25" spans="1:4" x14ac:dyDescent="0.3">
      <c r="A25" s="20" t="s">
        <v>21</v>
      </c>
      <c r="B25" s="9">
        <v>50</v>
      </c>
      <c r="C25" s="9">
        <v>4</v>
      </c>
      <c r="D25" s="21">
        <f t="shared" si="0"/>
        <v>8</v>
      </c>
    </row>
    <row r="26" spans="1:4" x14ac:dyDescent="0.3">
      <c r="A26" s="55" t="s">
        <v>85</v>
      </c>
      <c r="B26" s="18">
        <f>B11</f>
        <v>10</v>
      </c>
      <c r="C26" s="22">
        <f>$B$9*$B$12/D32</f>
        <v>0.14692244493052922</v>
      </c>
      <c r="D26" s="21">
        <f t="shared" si="0"/>
        <v>1.4692244493052922</v>
      </c>
    </row>
    <row r="27" spans="1:4" x14ac:dyDescent="0.3">
      <c r="A27" s="1" t="s">
        <v>86</v>
      </c>
      <c r="B27" s="18">
        <f>B6</f>
        <v>230</v>
      </c>
      <c r="C27" s="18">
        <f>1000/100</f>
        <v>10</v>
      </c>
      <c r="D27" s="21">
        <f t="shared" si="0"/>
        <v>4.3478260869565215</v>
      </c>
    </row>
    <row r="28" spans="1:4" x14ac:dyDescent="0.3">
      <c r="A28" s="1" t="s">
        <v>74</v>
      </c>
      <c r="B28" s="3" t="s">
        <v>14</v>
      </c>
      <c r="C28" s="3" t="s">
        <v>14</v>
      </c>
      <c r="D28" s="58">
        <f>SUM(D20:D27)</f>
        <v>93.999999999999986</v>
      </c>
    </row>
    <row r="29" spans="1:4" x14ac:dyDescent="0.3">
      <c r="A29" s="17"/>
      <c r="B29" s="83" t="s">
        <v>66</v>
      </c>
      <c r="C29" s="82"/>
      <c r="D29" s="82"/>
    </row>
    <row r="30" spans="1:4" x14ac:dyDescent="0.3">
      <c r="A30" s="23" t="s">
        <v>22</v>
      </c>
      <c r="B30" s="24">
        <v>2.5</v>
      </c>
      <c r="C30" s="25">
        <v>2.5000000000000001E-2</v>
      </c>
      <c r="D30" s="19">
        <f>$D$32/(B30/C30)</f>
        <v>1</v>
      </c>
    </row>
    <row r="31" spans="1:4" x14ac:dyDescent="0.3">
      <c r="A31" s="23" t="s">
        <v>23</v>
      </c>
      <c r="B31" s="25">
        <v>40</v>
      </c>
      <c r="C31" s="25">
        <f>B31*5/100</f>
        <v>2</v>
      </c>
      <c r="D31" s="21">
        <f>$D$32/(B31/C31)</f>
        <v>5</v>
      </c>
    </row>
    <row r="32" spans="1:4" x14ac:dyDescent="0.3">
      <c r="A32" s="20" t="s">
        <v>24</v>
      </c>
      <c r="B32" s="18" t="s">
        <v>14</v>
      </c>
      <c r="C32" s="18" t="s">
        <v>14</v>
      </c>
      <c r="D32" s="16">
        <f>B8/1000*100</f>
        <v>100</v>
      </c>
    </row>
    <row r="33" spans="1:9" x14ac:dyDescent="0.3">
      <c r="A33" s="20"/>
      <c r="B33" s="86" t="s">
        <v>64</v>
      </c>
      <c r="C33" s="93"/>
      <c r="D33" s="93"/>
    </row>
    <row r="34" spans="1:9" x14ac:dyDescent="0.3">
      <c r="A34" s="20"/>
      <c r="B34" s="57" t="s">
        <v>25</v>
      </c>
      <c r="C34" s="78" t="s">
        <v>26</v>
      </c>
      <c r="D34" s="78"/>
    </row>
    <row r="35" spans="1:9" x14ac:dyDescent="0.3">
      <c r="A35" s="20"/>
      <c r="B35" s="27" t="s">
        <v>27</v>
      </c>
      <c r="C35" s="84" t="s">
        <v>28</v>
      </c>
      <c r="D35" s="84"/>
      <c r="F35" s="52"/>
      <c r="G35" s="52"/>
      <c r="H35" s="52"/>
      <c r="I35" s="52"/>
    </row>
    <row r="36" spans="1:9" x14ac:dyDescent="0.3">
      <c r="A36" s="28"/>
      <c r="B36" s="29" t="s">
        <v>29</v>
      </c>
      <c r="C36" s="79" t="s">
        <v>63</v>
      </c>
      <c r="D36" s="84"/>
      <c r="F36" s="52"/>
      <c r="G36" s="52"/>
      <c r="H36" s="52"/>
      <c r="I36" s="52"/>
    </row>
    <row r="37" spans="1:9" x14ac:dyDescent="0.3">
      <c r="A37" s="28"/>
      <c r="B37" s="83" t="s">
        <v>70</v>
      </c>
      <c r="C37" s="82"/>
      <c r="D37" s="82"/>
      <c r="F37" s="53"/>
      <c r="G37" s="53"/>
      <c r="H37" s="53"/>
      <c r="I37" s="52"/>
    </row>
    <row r="38" spans="1:9" x14ac:dyDescent="0.3">
      <c r="A38" s="55" t="s">
        <v>67</v>
      </c>
      <c r="B38" s="54" t="s">
        <v>14</v>
      </c>
      <c r="C38" s="54" t="s">
        <v>14</v>
      </c>
      <c r="D38" s="56">
        <f>SUM(D30:D31)</f>
        <v>6</v>
      </c>
      <c r="F38" s="53"/>
      <c r="G38" s="53"/>
      <c r="H38" s="53"/>
      <c r="I38" s="52"/>
    </row>
    <row r="39" spans="1:9" x14ac:dyDescent="0.3">
      <c r="A39" s="28"/>
      <c r="B39" s="83" t="s">
        <v>71</v>
      </c>
      <c r="C39" s="83"/>
      <c r="D39" s="83"/>
      <c r="F39" s="53"/>
      <c r="G39" s="53"/>
      <c r="H39" s="53"/>
      <c r="I39" s="52"/>
    </row>
    <row r="40" spans="1:9" x14ac:dyDescent="0.3">
      <c r="A40" s="20"/>
      <c r="B40" s="29" t="s">
        <v>29</v>
      </c>
      <c r="C40" s="79" t="s">
        <v>30</v>
      </c>
      <c r="D40" s="84"/>
      <c r="F40" s="52"/>
      <c r="G40" s="52"/>
      <c r="H40" s="52"/>
      <c r="I40" s="52"/>
    </row>
    <row r="41" spans="1:9" x14ac:dyDescent="0.3">
      <c r="A41" s="30"/>
      <c r="B41" s="31" t="s">
        <v>31</v>
      </c>
      <c r="C41" s="87" t="s">
        <v>32</v>
      </c>
      <c r="D41" s="87"/>
      <c r="F41" s="52"/>
      <c r="G41" s="52"/>
      <c r="H41" s="52"/>
      <c r="I41" s="52"/>
    </row>
    <row r="42" spans="1:9" x14ac:dyDescent="0.3">
      <c r="A42" s="30"/>
      <c r="B42" s="31" t="s">
        <v>33</v>
      </c>
      <c r="C42" s="88" t="s">
        <v>34</v>
      </c>
      <c r="D42" s="89"/>
      <c r="F42" s="52"/>
      <c r="G42" s="52"/>
      <c r="H42" s="52"/>
      <c r="I42" s="52"/>
    </row>
    <row r="43" spans="1:9" x14ac:dyDescent="0.3">
      <c r="A43" s="30"/>
      <c r="B43" s="31" t="s">
        <v>27</v>
      </c>
      <c r="C43" s="88" t="s">
        <v>28</v>
      </c>
      <c r="D43" s="89"/>
    </row>
    <row r="44" spans="1:9" x14ac:dyDescent="0.3">
      <c r="A44" s="30"/>
      <c r="B44" s="31" t="s">
        <v>31</v>
      </c>
      <c r="C44" s="88" t="s">
        <v>32</v>
      </c>
      <c r="D44" s="89"/>
    </row>
    <row r="45" spans="1:9" x14ac:dyDescent="0.3">
      <c r="A45" s="17"/>
      <c r="B45" s="31" t="s">
        <v>33</v>
      </c>
      <c r="C45" s="87" t="s">
        <v>35</v>
      </c>
      <c r="D45" s="87"/>
      <c r="E45" s="32"/>
    </row>
    <row r="46" spans="1:9" x14ac:dyDescent="0.3">
      <c r="A46" s="17"/>
      <c r="B46" s="83" t="s">
        <v>72</v>
      </c>
      <c r="C46" s="83"/>
      <c r="D46" s="83"/>
      <c r="E46" s="32"/>
    </row>
    <row r="47" spans="1:9" x14ac:dyDescent="0.3">
      <c r="A47" s="59" t="s">
        <v>77</v>
      </c>
      <c r="B47" s="54" t="s">
        <v>14</v>
      </c>
      <c r="C47" s="54" t="s">
        <v>14</v>
      </c>
      <c r="D47" s="56">
        <f>B17</f>
        <v>5</v>
      </c>
      <c r="E47" s="32"/>
    </row>
    <row r="48" spans="1:9" x14ac:dyDescent="0.3">
      <c r="A48" s="1" t="s">
        <v>75</v>
      </c>
      <c r="B48" s="54" t="s">
        <v>14</v>
      </c>
      <c r="C48" s="54" t="s">
        <v>14</v>
      </c>
      <c r="D48" s="56">
        <f>D28+D38-D47</f>
        <v>94.999999999999986</v>
      </c>
      <c r="E48" s="32"/>
    </row>
    <row r="49" spans="1:5" x14ac:dyDescent="0.3">
      <c r="A49" s="15"/>
      <c r="B49" s="82" t="s">
        <v>36</v>
      </c>
      <c r="C49" s="82"/>
      <c r="D49" s="82"/>
      <c r="E49" s="34"/>
    </row>
    <row r="50" spans="1:5" x14ac:dyDescent="0.3">
      <c r="A50" s="35" t="s">
        <v>37</v>
      </c>
      <c r="B50" s="18" t="s">
        <v>14</v>
      </c>
      <c r="C50" s="18" t="s">
        <v>14</v>
      </c>
      <c r="D50" s="19">
        <f>D53-D52-D51</f>
        <v>3.75</v>
      </c>
      <c r="E50" s="11"/>
    </row>
    <row r="51" spans="1:5" x14ac:dyDescent="0.3">
      <c r="A51" s="35" t="s">
        <v>38</v>
      </c>
      <c r="B51" s="18">
        <v>10</v>
      </c>
      <c r="C51" s="18">
        <v>1</v>
      </c>
      <c r="D51" s="21">
        <f>C51*D53/B51</f>
        <v>0.5</v>
      </c>
      <c r="E51" s="3"/>
    </row>
    <row r="52" spans="1:5" x14ac:dyDescent="0.3">
      <c r="A52" s="35" t="s">
        <v>39</v>
      </c>
      <c r="B52" s="18">
        <v>100</v>
      </c>
      <c r="C52" s="18">
        <v>15</v>
      </c>
      <c r="D52" s="21">
        <f>C52*D53/B52</f>
        <v>0.75</v>
      </c>
      <c r="E52" s="3"/>
    </row>
    <row r="53" spans="1:5" x14ac:dyDescent="0.3">
      <c r="A53" s="35" t="s">
        <v>24</v>
      </c>
      <c r="B53" s="18" t="s">
        <v>14</v>
      </c>
      <c r="C53" s="18" t="s">
        <v>14</v>
      </c>
      <c r="D53" s="36">
        <v>5</v>
      </c>
      <c r="E53" s="3"/>
    </row>
    <row r="54" spans="1:5" x14ac:dyDescent="0.3">
      <c r="A54" s="37"/>
      <c r="B54" s="86" t="s">
        <v>73</v>
      </c>
      <c r="C54" s="86"/>
      <c r="D54" s="86"/>
      <c r="E54" s="38"/>
    </row>
    <row r="55" spans="1:5" x14ac:dyDescent="0.3">
      <c r="A55" s="39" t="s">
        <v>41</v>
      </c>
      <c r="B55" s="10">
        <v>5</v>
      </c>
      <c r="C55" s="10">
        <v>9.6000000000000002E-2</v>
      </c>
      <c r="D55" s="40">
        <f>(C55*D48+C55*D56)/(B55-C55)</f>
        <v>1.8971016502565523</v>
      </c>
      <c r="E55" s="16"/>
    </row>
    <row r="56" spans="1:5" x14ac:dyDescent="0.3">
      <c r="A56" s="39" t="s">
        <v>42</v>
      </c>
      <c r="B56" s="10">
        <f>C52</f>
        <v>15</v>
      </c>
      <c r="C56" s="10">
        <v>0.28999999999999998</v>
      </c>
      <c r="D56" s="41">
        <f>C56*D48*(1+(C55/(B55-C55)))/(B56-C56-((C56*C55)/(B55-C55)))</f>
        <v>1.9102759672722225</v>
      </c>
      <c r="E56" s="3"/>
    </row>
    <row r="57" spans="1:5" x14ac:dyDescent="0.3">
      <c r="A57" s="35" t="s">
        <v>43</v>
      </c>
      <c r="B57" s="10">
        <v>20</v>
      </c>
      <c r="C57" s="42">
        <f>B57/(D58/D57)</f>
        <v>0.37933289731850872</v>
      </c>
      <c r="D57" s="43">
        <f>D56</f>
        <v>1.9102759672722225</v>
      </c>
      <c r="E57" s="3"/>
    </row>
    <row r="58" spans="1:5" x14ac:dyDescent="0.3">
      <c r="A58" s="39" t="s">
        <v>79</v>
      </c>
      <c r="B58" s="10" t="s">
        <v>14</v>
      </c>
      <c r="C58" s="10" t="s">
        <v>14</v>
      </c>
      <c r="D58" s="26">
        <f>D48+D55+D56+D57</f>
        <v>100.717653584801</v>
      </c>
      <c r="E58" s="3"/>
    </row>
    <row r="59" spans="1:5" x14ac:dyDescent="0.3">
      <c r="A59" s="39"/>
      <c r="B59" s="57" t="s">
        <v>25</v>
      </c>
      <c r="C59" s="78" t="s">
        <v>26</v>
      </c>
      <c r="D59" s="78"/>
      <c r="E59" s="3"/>
    </row>
    <row r="60" spans="1:5" x14ac:dyDescent="0.3">
      <c r="A60" s="39"/>
      <c r="B60" s="7" t="s">
        <v>44</v>
      </c>
      <c r="C60" s="79" t="s">
        <v>30</v>
      </c>
      <c r="D60" s="79"/>
      <c r="E60" s="3"/>
    </row>
    <row r="61" spans="1:5" x14ac:dyDescent="0.3">
      <c r="A61" s="39"/>
      <c r="B61" s="7" t="s">
        <v>45</v>
      </c>
      <c r="C61" s="80" t="s">
        <v>46</v>
      </c>
      <c r="D61" s="81"/>
      <c r="E61" s="3"/>
    </row>
    <row r="62" spans="1:5" x14ac:dyDescent="0.3">
      <c r="A62" s="39"/>
      <c r="B62" s="7" t="s">
        <v>33</v>
      </c>
      <c r="C62" s="79" t="s">
        <v>35</v>
      </c>
      <c r="D62" s="79"/>
      <c r="E62" s="32"/>
    </row>
    <row r="63" spans="1:5" x14ac:dyDescent="0.3">
      <c r="A63" s="39"/>
      <c r="B63" s="83" t="s">
        <v>76</v>
      </c>
      <c r="C63" s="83"/>
      <c r="D63" s="83"/>
      <c r="E63" s="32"/>
    </row>
    <row r="64" spans="1:5" x14ac:dyDescent="0.3">
      <c r="A64" s="59" t="s">
        <v>78</v>
      </c>
      <c r="B64" s="54" t="s">
        <v>14</v>
      </c>
      <c r="C64" s="54" t="s">
        <v>14</v>
      </c>
      <c r="D64" s="56">
        <f>B17</f>
        <v>5</v>
      </c>
      <c r="E64" s="32"/>
    </row>
    <row r="65" spans="1:5" x14ac:dyDescent="0.3">
      <c r="A65" s="1" t="s">
        <v>79</v>
      </c>
      <c r="B65" s="54" t="s">
        <v>14</v>
      </c>
      <c r="C65" s="54" t="s">
        <v>14</v>
      </c>
      <c r="D65" s="56">
        <f>D58-D64</f>
        <v>95.717653584800999</v>
      </c>
      <c r="E65" s="32"/>
    </row>
    <row r="66" spans="1:5" x14ac:dyDescent="0.3">
      <c r="A66" s="15"/>
      <c r="B66" s="82" t="s">
        <v>40</v>
      </c>
      <c r="C66" s="83"/>
      <c r="D66" s="83"/>
      <c r="E66" s="44"/>
    </row>
    <row r="67" spans="1:5" x14ac:dyDescent="0.3">
      <c r="A67" s="17" t="s">
        <v>51</v>
      </c>
      <c r="B67" s="10">
        <f>B14</f>
        <v>10</v>
      </c>
      <c r="C67" s="10">
        <f>B9*B15/D32</f>
        <v>7.3461222465264611E-2</v>
      </c>
      <c r="D67" s="41">
        <f>C67*D65/(B67-C67)</f>
        <v>0.70835726343603589</v>
      </c>
      <c r="E67" s="16"/>
    </row>
    <row r="68" spans="1:5" x14ac:dyDescent="0.3">
      <c r="A68" s="1" t="s">
        <v>79</v>
      </c>
      <c r="B68" s="10" t="s">
        <v>14</v>
      </c>
      <c r="C68" s="10" t="s">
        <v>14</v>
      </c>
      <c r="D68" s="26">
        <f>D65+D67</f>
        <v>96.426010848237041</v>
      </c>
      <c r="E68" s="10"/>
    </row>
    <row r="69" spans="1:5" x14ac:dyDescent="0.3">
      <c r="A69" s="45"/>
      <c r="B69" s="82" t="s">
        <v>47</v>
      </c>
      <c r="C69" s="83"/>
      <c r="D69" s="83"/>
      <c r="E69" s="3"/>
    </row>
    <row r="70" spans="1:5" x14ac:dyDescent="0.3">
      <c r="A70" s="1"/>
      <c r="B70" s="57" t="s">
        <v>25</v>
      </c>
      <c r="C70" s="78" t="s">
        <v>26</v>
      </c>
      <c r="D70" s="78"/>
      <c r="E70" s="10"/>
    </row>
    <row r="71" spans="1:5" x14ac:dyDescent="0.3">
      <c r="A71" s="1"/>
      <c r="B71" s="7" t="s">
        <v>27</v>
      </c>
      <c r="C71" s="79" t="s">
        <v>28</v>
      </c>
      <c r="D71" s="79"/>
      <c r="E71" s="10"/>
    </row>
    <row r="72" spans="1:5" x14ac:dyDescent="0.3">
      <c r="A72" s="1"/>
      <c r="B72" s="7" t="s">
        <v>29</v>
      </c>
      <c r="C72" s="84" t="s">
        <v>48</v>
      </c>
      <c r="D72" s="79"/>
      <c r="E72" s="10"/>
    </row>
    <row r="73" spans="1:5" x14ac:dyDescent="0.3">
      <c r="A73" s="1"/>
      <c r="B73" s="7" t="s">
        <v>31</v>
      </c>
      <c r="C73" s="85" t="s">
        <v>32</v>
      </c>
      <c r="D73" s="85"/>
      <c r="E73" s="46"/>
    </row>
    <row r="74" spans="1:5" x14ac:dyDescent="0.3">
      <c r="A74" s="39"/>
      <c r="B74" s="7" t="s">
        <v>33</v>
      </c>
      <c r="C74" s="79" t="s">
        <v>35</v>
      </c>
      <c r="D74" s="79"/>
      <c r="E74" s="32"/>
    </row>
    <row r="75" spans="1:5" x14ac:dyDescent="0.3">
      <c r="A75" s="39"/>
      <c r="B75" s="83" t="s">
        <v>80</v>
      </c>
      <c r="C75" s="83"/>
      <c r="D75" s="83"/>
      <c r="E75" s="32"/>
    </row>
    <row r="76" spans="1:5" x14ac:dyDescent="0.3">
      <c r="A76" s="59" t="s">
        <v>81</v>
      </c>
      <c r="B76" s="11" t="s">
        <v>14</v>
      </c>
      <c r="C76" s="11" t="s">
        <v>14</v>
      </c>
      <c r="D76" s="61">
        <f>B17</f>
        <v>5</v>
      </c>
      <c r="E76" s="32"/>
    </row>
    <row r="77" spans="1:5" x14ac:dyDescent="0.3">
      <c r="A77" s="1" t="s">
        <v>79</v>
      </c>
      <c r="B77" s="11" t="s">
        <v>14</v>
      </c>
      <c r="C77" s="11" t="s">
        <v>14</v>
      </c>
      <c r="D77" s="61">
        <f>D68-D76</f>
        <v>91.426010848237041</v>
      </c>
      <c r="E77" s="32"/>
    </row>
    <row r="78" spans="1:5" ht="32.1" customHeight="1" x14ac:dyDescent="0.3">
      <c r="A78" s="77" t="s">
        <v>87</v>
      </c>
      <c r="B78" s="77"/>
      <c r="C78" s="77"/>
      <c r="D78" s="77"/>
      <c r="E78" s="47"/>
    </row>
    <row r="79" spans="1:5" x14ac:dyDescent="0.3">
      <c r="A79" s="60"/>
      <c r="B79" s="60"/>
      <c r="C79" s="60"/>
      <c r="D79" s="60"/>
      <c r="E79" s="33"/>
    </row>
    <row r="80" spans="1:5" x14ac:dyDescent="0.3">
      <c r="A80" s="60"/>
      <c r="B80" s="60"/>
      <c r="C80" s="60"/>
      <c r="D80" s="60"/>
      <c r="E80" s="33"/>
    </row>
    <row r="81" spans="1:5" x14ac:dyDescent="0.3">
      <c r="A81" s="60"/>
      <c r="B81" s="60"/>
      <c r="C81" s="60"/>
      <c r="D81" s="60"/>
      <c r="E81" s="33"/>
    </row>
  </sheetData>
  <mergeCells count="33">
    <mergeCell ref="C36:D36"/>
    <mergeCell ref="B39:D39"/>
    <mergeCell ref="A1:D1"/>
    <mergeCell ref="A2:D2"/>
    <mergeCell ref="B18:D18"/>
    <mergeCell ref="B29:D29"/>
    <mergeCell ref="B33:D33"/>
    <mergeCell ref="C34:D34"/>
    <mergeCell ref="C35:D35"/>
    <mergeCell ref="B37:D37"/>
    <mergeCell ref="C40:D40"/>
    <mergeCell ref="B46:D46"/>
    <mergeCell ref="B63:D63"/>
    <mergeCell ref="B75:D75"/>
    <mergeCell ref="B54:D54"/>
    <mergeCell ref="B49:D49"/>
    <mergeCell ref="C41:D41"/>
    <mergeCell ref="C42:D42"/>
    <mergeCell ref="C43:D43"/>
    <mergeCell ref="C44:D44"/>
    <mergeCell ref="C45:D45"/>
    <mergeCell ref="A78:D78"/>
    <mergeCell ref="C59:D59"/>
    <mergeCell ref="C60:D60"/>
    <mergeCell ref="C61:D61"/>
    <mergeCell ref="C62:D62"/>
    <mergeCell ref="B66:D66"/>
    <mergeCell ref="B69:D69"/>
    <mergeCell ref="C70:D70"/>
    <mergeCell ref="C71:D71"/>
    <mergeCell ref="C72:D72"/>
    <mergeCell ref="C73:D73"/>
    <mergeCell ref="C74:D74"/>
  </mergeCells>
  <printOptions gridLines="1"/>
  <pageMargins left="0.7" right="0.7" top="0.75" bottom="0.75" header="0.3" footer="0.3"/>
  <pageSetup scale="7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opLeftCell="A5" workbookViewId="0">
      <selection activeCell="C13" sqref="C13"/>
    </sheetView>
  </sheetViews>
  <sheetFormatPr defaultColWidth="8.88671875" defaultRowHeight="14.4" x14ac:dyDescent="0.3"/>
  <cols>
    <col min="1" max="1" width="33.44140625" customWidth="1"/>
    <col min="2" max="2" width="21.6640625" customWidth="1"/>
    <col min="3" max="3" width="20.44140625" customWidth="1"/>
    <col min="4" max="4" width="37.6640625" customWidth="1"/>
    <col min="5" max="5" width="15" customWidth="1"/>
  </cols>
  <sheetData>
    <row r="1" spans="1:5" ht="17.399999999999999" x14ac:dyDescent="0.3">
      <c r="A1" s="90" t="s">
        <v>0</v>
      </c>
      <c r="B1" s="91"/>
      <c r="C1" s="91"/>
      <c r="D1" s="91"/>
    </row>
    <row r="2" spans="1:5" ht="15.6" x14ac:dyDescent="0.3">
      <c r="A2" s="92" t="s">
        <v>52</v>
      </c>
      <c r="B2" s="92"/>
      <c r="C2" s="92"/>
      <c r="D2" s="92"/>
    </row>
    <row r="3" spans="1:5" ht="15.6" x14ac:dyDescent="0.3">
      <c r="A3" s="1" t="s">
        <v>57</v>
      </c>
      <c r="B3" s="4" t="s">
        <v>60</v>
      </c>
      <c r="C3" s="69"/>
      <c r="D3" s="4" t="s">
        <v>3</v>
      </c>
    </row>
    <row r="4" spans="1:5" x14ac:dyDescent="0.3">
      <c r="A4" s="1" t="s">
        <v>1</v>
      </c>
      <c r="B4" s="2">
        <v>7064</v>
      </c>
      <c r="C4" s="3" t="s">
        <v>2</v>
      </c>
      <c r="D4" s="5" t="s">
        <v>6</v>
      </c>
    </row>
    <row r="5" spans="1:5" x14ac:dyDescent="0.3">
      <c r="A5" s="1" t="s">
        <v>4</v>
      </c>
      <c r="B5" s="50">
        <f>$B$4*303.7+79</f>
        <v>2145415.7999999998</v>
      </c>
      <c r="C5" s="3" t="s">
        <v>5</v>
      </c>
      <c r="D5" s="67" t="s">
        <v>9</v>
      </c>
      <c r="E5" s="49"/>
    </row>
    <row r="6" spans="1:5" x14ac:dyDescent="0.3">
      <c r="A6" s="1" t="s">
        <v>7</v>
      </c>
      <c r="B6" s="6">
        <v>33</v>
      </c>
      <c r="C6" s="3" t="s">
        <v>8</v>
      </c>
    </row>
    <row r="7" spans="1:5" x14ac:dyDescent="0.3">
      <c r="A7" s="1" t="s">
        <v>10</v>
      </c>
      <c r="B7" s="8">
        <f>B8/B6</f>
        <v>22.727272727272727</v>
      </c>
      <c r="C7" s="3" t="s">
        <v>11</v>
      </c>
    </row>
    <row r="8" spans="1:5" x14ac:dyDescent="0.3">
      <c r="A8" s="1" t="s">
        <v>53</v>
      </c>
      <c r="B8" s="6">
        <v>750</v>
      </c>
      <c r="C8" s="3" t="s">
        <v>12</v>
      </c>
    </row>
    <row r="9" spans="1:5" x14ac:dyDescent="0.3">
      <c r="A9" s="1" t="s">
        <v>54</v>
      </c>
      <c r="B9" s="10">
        <f>B8*0.000000001/B5*1000000000000</f>
        <v>0.34958258441091006</v>
      </c>
      <c r="C9" s="3" t="s">
        <v>13</v>
      </c>
    </row>
    <row r="10" spans="1:5" x14ac:dyDescent="0.3">
      <c r="A10" s="1" t="s">
        <v>58</v>
      </c>
      <c r="B10" s="4" t="s">
        <v>91</v>
      </c>
      <c r="C10" s="3"/>
      <c r="D10" s="51"/>
    </row>
    <row r="11" spans="1:5" ht="27.6" x14ac:dyDescent="0.3">
      <c r="A11" s="1" t="s">
        <v>68</v>
      </c>
      <c r="B11" s="4">
        <v>16</v>
      </c>
      <c r="C11" s="3"/>
      <c r="D11" s="70" t="s">
        <v>88</v>
      </c>
    </row>
    <row r="12" spans="1:5" ht="27.6" x14ac:dyDescent="0.3">
      <c r="A12" s="1" t="s">
        <v>55</v>
      </c>
      <c r="B12" s="2">
        <v>10</v>
      </c>
      <c r="C12" s="3" t="s">
        <v>14</v>
      </c>
      <c r="D12" s="70" t="s">
        <v>89</v>
      </c>
    </row>
    <row r="13" spans="1:5" ht="27.6" x14ac:dyDescent="0.3">
      <c r="A13" s="1" t="s">
        <v>59</v>
      </c>
      <c r="B13" s="4" t="s">
        <v>62</v>
      </c>
      <c r="C13" s="3"/>
      <c r="D13" s="70" t="s">
        <v>90</v>
      </c>
    </row>
    <row r="14" spans="1:5" x14ac:dyDescent="0.3">
      <c r="A14" s="1" t="s">
        <v>69</v>
      </c>
      <c r="B14" s="4">
        <v>10</v>
      </c>
      <c r="C14" s="3"/>
      <c r="D14" s="51"/>
    </row>
    <row r="15" spans="1:5" x14ac:dyDescent="0.3">
      <c r="A15" s="1" t="s">
        <v>15</v>
      </c>
      <c r="B15" s="13">
        <v>10</v>
      </c>
      <c r="C15" s="3" t="s">
        <v>14</v>
      </c>
      <c r="D15" s="12"/>
    </row>
    <row r="16" spans="1:5" x14ac:dyDescent="0.3">
      <c r="A16" s="1" t="s">
        <v>16</v>
      </c>
      <c r="B16" s="10">
        <f>(D21*20+D25*B25)/D30</f>
        <v>6</v>
      </c>
      <c r="C16" s="11" t="s">
        <v>17</v>
      </c>
      <c r="D16" s="14"/>
    </row>
    <row r="17" spans="1:4" x14ac:dyDescent="0.3">
      <c r="A17" s="1" t="s">
        <v>56</v>
      </c>
      <c r="B17" s="10">
        <v>5</v>
      </c>
      <c r="C17" s="11" t="s">
        <v>11</v>
      </c>
      <c r="D17" s="14"/>
    </row>
    <row r="18" spans="1:4" x14ac:dyDescent="0.3">
      <c r="A18" s="15"/>
      <c r="B18" s="83" t="s">
        <v>65</v>
      </c>
      <c r="C18" s="82"/>
      <c r="D18" s="82"/>
    </row>
    <row r="19" spans="1:4" x14ac:dyDescent="0.3">
      <c r="A19" s="15"/>
      <c r="B19" s="62" t="s">
        <v>82</v>
      </c>
      <c r="C19" s="62" t="s">
        <v>83</v>
      </c>
      <c r="D19" s="63" t="s">
        <v>84</v>
      </c>
    </row>
    <row r="20" spans="1:4" x14ac:dyDescent="0.3">
      <c r="A20" s="17" t="s">
        <v>18</v>
      </c>
      <c r="B20" s="18" t="s">
        <v>14</v>
      </c>
      <c r="C20" s="18" t="s">
        <v>14</v>
      </c>
      <c r="D20" s="19">
        <f>D30-SUM(D21:D29)</f>
        <v>28.054238157470451</v>
      </c>
    </row>
    <row r="21" spans="1:4" x14ac:dyDescent="0.3">
      <c r="A21" s="20" t="s">
        <v>19</v>
      </c>
      <c r="B21" s="18">
        <v>10</v>
      </c>
      <c r="C21" s="18">
        <v>1</v>
      </c>
      <c r="D21" s="21">
        <f t="shared" ref="D21:D27" si="0">$D$30/(B21/C21)</f>
        <v>7.5</v>
      </c>
    </row>
    <row r="22" spans="1:4" x14ac:dyDescent="0.3">
      <c r="A22" s="20" t="s">
        <v>20</v>
      </c>
      <c r="B22" s="18">
        <v>100</v>
      </c>
      <c r="C22" s="18">
        <v>5</v>
      </c>
      <c r="D22" s="21">
        <f t="shared" si="0"/>
        <v>3.75</v>
      </c>
    </row>
    <row r="23" spans="1:4" x14ac:dyDescent="0.3">
      <c r="A23" s="20" t="s">
        <v>49</v>
      </c>
      <c r="B23" s="18">
        <v>10</v>
      </c>
      <c r="C23" s="18">
        <v>0.2</v>
      </c>
      <c r="D23" s="21">
        <f t="shared" si="0"/>
        <v>1.5</v>
      </c>
    </row>
    <row r="24" spans="1:4" x14ac:dyDescent="0.3">
      <c r="A24" s="20" t="s">
        <v>50</v>
      </c>
      <c r="B24" s="18">
        <v>50</v>
      </c>
      <c r="C24" s="18">
        <v>0.5</v>
      </c>
      <c r="D24" s="21">
        <f t="shared" si="0"/>
        <v>0.75</v>
      </c>
    </row>
    <row r="25" spans="1:4" x14ac:dyDescent="0.3">
      <c r="A25" s="20" t="s">
        <v>21</v>
      </c>
      <c r="B25" s="9">
        <v>50</v>
      </c>
      <c r="C25" s="9">
        <v>4</v>
      </c>
      <c r="D25" s="21">
        <f t="shared" si="0"/>
        <v>6</v>
      </c>
    </row>
    <row r="26" spans="1:4" x14ac:dyDescent="0.3">
      <c r="A26" s="55" t="s">
        <v>85</v>
      </c>
      <c r="B26" s="18">
        <f>B11</f>
        <v>16</v>
      </c>
      <c r="C26" s="22">
        <f>$B$9*$B$12/D30</f>
        <v>4.6611011254788011E-2</v>
      </c>
      <c r="D26" s="21">
        <f t="shared" si="0"/>
        <v>0.2184891152568188</v>
      </c>
    </row>
    <row r="27" spans="1:4" x14ac:dyDescent="0.3">
      <c r="A27" s="1" t="s">
        <v>86</v>
      </c>
      <c r="B27" s="18">
        <f>B6</f>
        <v>33</v>
      </c>
      <c r="C27" s="18">
        <f>1000/100</f>
        <v>10</v>
      </c>
      <c r="D27" s="21">
        <f t="shared" si="0"/>
        <v>22.72727272727273</v>
      </c>
    </row>
    <row r="28" spans="1:4" x14ac:dyDescent="0.3">
      <c r="A28" s="23" t="s">
        <v>22</v>
      </c>
      <c r="B28" s="24">
        <v>2.5</v>
      </c>
      <c r="C28" s="25">
        <v>2.5000000000000001E-2</v>
      </c>
      <c r="D28" s="19">
        <f>$D$30/(B28/C28)</f>
        <v>0.75</v>
      </c>
    </row>
    <row r="29" spans="1:4" x14ac:dyDescent="0.3">
      <c r="A29" s="23" t="s">
        <v>23</v>
      </c>
      <c r="B29" s="25">
        <v>40</v>
      </c>
      <c r="C29" s="25">
        <f>B29*5/100</f>
        <v>2</v>
      </c>
      <c r="D29" s="21">
        <f>$D$30/(B29/C29)</f>
        <v>3.75</v>
      </c>
    </row>
    <row r="30" spans="1:4" x14ac:dyDescent="0.3">
      <c r="A30" s="20" t="s">
        <v>24</v>
      </c>
      <c r="B30" s="18" t="s">
        <v>14</v>
      </c>
      <c r="C30" s="18" t="s">
        <v>14</v>
      </c>
      <c r="D30" s="16">
        <f>B8/1000*100</f>
        <v>75</v>
      </c>
    </row>
    <row r="31" spans="1:4" x14ac:dyDescent="0.3">
      <c r="A31" s="20"/>
      <c r="B31" s="86" t="s">
        <v>64</v>
      </c>
      <c r="C31" s="93"/>
      <c r="D31" s="93"/>
    </row>
    <row r="32" spans="1:4" x14ac:dyDescent="0.3">
      <c r="A32" s="20"/>
      <c r="B32" s="57" t="s">
        <v>25</v>
      </c>
      <c r="C32" s="78" t="s">
        <v>26</v>
      </c>
      <c r="D32" s="78"/>
    </row>
    <row r="33" spans="1:9" x14ac:dyDescent="0.3">
      <c r="A33" s="20"/>
      <c r="B33" s="68" t="s">
        <v>27</v>
      </c>
      <c r="C33" s="84" t="s">
        <v>28</v>
      </c>
      <c r="D33" s="84"/>
      <c r="F33" s="52"/>
      <c r="G33" s="52"/>
      <c r="H33" s="52"/>
      <c r="I33" s="52"/>
    </row>
    <row r="34" spans="1:9" x14ac:dyDescent="0.3">
      <c r="A34" s="20"/>
      <c r="B34" s="29" t="s">
        <v>29</v>
      </c>
      <c r="C34" s="79" t="s">
        <v>30</v>
      </c>
      <c r="D34" s="84"/>
      <c r="F34" s="52"/>
      <c r="G34" s="52"/>
      <c r="H34" s="52"/>
      <c r="I34" s="52"/>
    </row>
    <row r="35" spans="1:9" x14ac:dyDescent="0.3">
      <c r="A35" s="30"/>
      <c r="B35" s="31" t="s">
        <v>31</v>
      </c>
      <c r="C35" s="87" t="s">
        <v>32</v>
      </c>
      <c r="D35" s="87"/>
      <c r="F35" s="52"/>
      <c r="G35" s="52"/>
      <c r="H35" s="52"/>
      <c r="I35" s="52"/>
    </row>
    <row r="36" spans="1:9" x14ac:dyDescent="0.3">
      <c r="A36" s="30"/>
      <c r="B36" s="31" t="s">
        <v>33</v>
      </c>
      <c r="C36" s="88" t="s">
        <v>34</v>
      </c>
      <c r="D36" s="89"/>
      <c r="F36" s="52"/>
      <c r="G36" s="52"/>
      <c r="H36" s="52"/>
      <c r="I36" s="52"/>
    </row>
    <row r="37" spans="1:9" x14ac:dyDescent="0.3">
      <c r="A37" s="30"/>
      <c r="B37" s="31" t="s">
        <v>27</v>
      </c>
      <c r="C37" s="88" t="s">
        <v>28</v>
      </c>
      <c r="D37" s="89"/>
    </row>
    <row r="38" spans="1:9" x14ac:dyDescent="0.3">
      <c r="A38" s="30"/>
      <c r="B38" s="31" t="s">
        <v>31</v>
      </c>
      <c r="C38" s="88" t="s">
        <v>32</v>
      </c>
      <c r="D38" s="89"/>
    </row>
    <row r="39" spans="1:9" x14ac:dyDescent="0.3">
      <c r="A39" s="17"/>
      <c r="B39" s="31" t="s">
        <v>33</v>
      </c>
      <c r="C39" s="87" t="s">
        <v>35</v>
      </c>
      <c r="D39" s="87"/>
      <c r="E39" s="32"/>
    </row>
    <row r="40" spans="1:9" x14ac:dyDescent="0.3">
      <c r="A40" s="17"/>
      <c r="B40" s="83" t="s">
        <v>72</v>
      </c>
      <c r="C40" s="83"/>
      <c r="D40" s="83"/>
      <c r="E40" s="32"/>
    </row>
    <row r="41" spans="1:9" x14ac:dyDescent="0.3">
      <c r="A41" s="59" t="s">
        <v>77</v>
      </c>
      <c r="B41" s="54" t="s">
        <v>14</v>
      </c>
      <c r="C41" s="54" t="s">
        <v>14</v>
      </c>
      <c r="D41" s="56">
        <f>B17</f>
        <v>5</v>
      </c>
      <c r="E41" s="32"/>
    </row>
    <row r="42" spans="1:9" x14ac:dyDescent="0.3">
      <c r="A42" s="1" t="s">
        <v>75</v>
      </c>
      <c r="B42" s="54" t="s">
        <v>14</v>
      </c>
      <c r="C42" s="54" t="s">
        <v>14</v>
      </c>
      <c r="D42" s="56">
        <f>D30-D41</f>
        <v>70</v>
      </c>
      <c r="E42" s="32"/>
    </row>
    <row r="43" spans="1:9" x14ac:dyDescent="0.3">
      <c r="A43" s="15"/>
      <c r="B43" s="82" t="s">
        <v>36</v>
      </c>
      <c r="C43" s="82"/>
      <c r="D43" s="82"/>
      <c r="E43" s="34"/>
    </row>
    <row r="44" spans="1:9" x14ac:dyDescent="0.3">
      <c r="A44" s="35" t="s">
        <v>37</v>
      </c>
      <c r="B44" s="18" t="s">
        <v>14</v>
      </c>
      <c r="C44" s="18" t="s">
        <v>14</v>
      </c>
      <c r="D44" s="19">
        <f>D47-D46-D45</f>
        <v>3.75</v>
      </c>
      <c r="E44" s="11"/>
    </row>
    <row r="45" spans="1:9" x14ac:dyDescent="0.3">
      <c r="A45" s="35" t="s">
        <v>38</v>
      </c>
      <c r="B45" s="18">
        <v>10</v>
      </c>
      <c r="C45" s="18">
        <v>1</v>
      </c>
      <c r="D45" s="21">
        <f>C45*D47/B45</f>
        <v>0.5</v>
      </c>
      <c r="E45" s="3"/>
    </row>
    <row r="46" spans="1:9" x14ac:dyDescent="0.3">
      <c r="A46" s="35" t="s">
        <v>39</v>
      </c>
      <c r="B46" s="18">
        <v>100</v>
      </c>
      <c r="C46" s="18">
        <v>15</v>
      </c>
      <c r="D46" s="21">
        <f>C46*D47/B46</f>
        <v>0.75</v>
      </c>
      <c r="E46" s="3"/>
    </row>
    <row r="47" spans="1:9" x14ac:dyDescent="0.3">
      <c r="A47" s="35" t="s">
        <v>24</v>
      </c>
      <c r="B47" s="18" t="s">
        <v>14</v>
      </c>
      <c r="C47" s="18" t="s">
        <v>14</v>
      </c>
      <c r="D47" s="36">
        <v>5</v>
      </c>
      <c r="E47" s="3"/>
    </row>
    <row r="48" spans="1:9" x14ac:dyDescent="0.3">
      <c r="A48" s="37"/>
      <c r="B48" s="86" t="s">
        <v>73</v>
      </c>
      <c r="C48" s="86"/>
      <c r="D48" s="86"/>
      <c r="E48" s="38"/>
    </row>
    <row r="49" spans="1:5" x14ac:dyDescent="0.3">
      <c r="A49" s="39" t="s">
        <v>41</v>
      </c>
      <c r="B49" s="10">
        <v>5</v>
      </c>
      <c r="C49" s="10">
        <v>9.6000000000000002E-2</v>
      </c>
      <c r="D49" s="40">
        <f>(C49*D42+C49*D50)/(B49-C49)</f>
        <v>1.397864373873249</v>
      </c>
      <c r="E49" s="16"/>
    </row>
    <row r="50" spans="1:5" x14ac:dyDescent="0.3">
      <c r="A50" s="39" t="s">
        <v>42</v>
      </c>
      <c r="B50" s="10">
        <f>C46</f>
        <v>15</v>
      </c>
      <c r="C50" s="10">
        <v>0.28999999999999998</v>
      </c>
      <c r="D50" s="41">
        <f>C50*D42*(1+(C49/(B49-C49)))/(B50-C50-((C50*C49)/(B49-C49)))</f>
        <v>1.4075717653584796</v>
      </c>
      <c r="E50" s="3"/>
    </row>
    <row r="51" spans="1:5" x14ac:dyDescent="0.3">
      <c r="A51" s="35" t="s">
        <v>43</v>
      </c>
      <c r="B51" s="10">
        <v>20</v>
      </c>
      <c r="C51" s="42">
        <f>B51/(D52/D51)</f>
        <v>0.37933289731850867</v>
      </c>
      <c r="D51" s="43">
        <f>D50</f>
        <v>1.4075717653584796</v>
      </c>
      <c r="E51" s="3"/>
    </row>
    <row r="52" spans="1:5" x14ac:dyDescent="0.3">
      <c r="A52" s="39" t="s">
        <v>79</v>
      </c>
      <c r="B52" s="10" t="s">
        <v>14</v>
      </c>
      <c r="C52" s="10" t="s">
        <v>14</v>
      </c>
      <c r="D52" s="26">
        <f>D42+D49+D50+D51</f>
        <v>74.213007904590214</v>
      </c>
      <c r="E52" s="3"/>
    </row>
    <row r="53" spans="1:5" x14ac:dyDescent="0.3">
      <c r="A53" s="39"/>
      <c r="B53" s="57" t="s">
        <v>25</v>
      </c>
      <c r="C53" s="78" t="s">
        <v>26</v>
      </c>
      <c r="D53" s="78"/>
      <c r="E53" s="3"/>
    </row>
    <row r="54" spans="1:5" x14ac:dyDescent="0.3">
      <c r="A54" s="39"/>
      <c r="B54" s="67" t="s">
        <v>44</v>
      </c>
      <c r="C54" s="79" t="s">
        <v>30</v>
      </c>
      <c r="D54" s="79"/>
      <c r="E54" s="3"/>
    </row>
    <row r="55" spans="1:5" x14ac:dyDescent="0.3">
      <c r="A55" s="39"/>
      <c r="B55" s="67" t="s">
        <v>45</v>
      </c>
      <c r="C55" s="80" t="s">
        <v>46</v>
      </c>
      <c r="D55" s="81"/>
      <c r="E55" s="3"/>
    </row>
    <row r="56" spans="1:5" x14ac:dyDescent="0.3">
      <c r="A56" s="39"/>
      <c r="B56" s="67" t="s">
        <v>33</v>
      </c>
      <c r="C56" s="79" t="s">
        <v>35</v>
      </c>
      <c r="D56" s="79"/>
      <c r="E56" s="32"/>
    </row>
    <row r="57" spans="1:5" x14ac:dyDescent="0.3">
      <c r="A57" s="39"/>
      <c r="B57" s="83" t="s">
        <v>76</v>
      </c>
      <c r="C57" s="83"/>
      <c r="D57" s="83"/>
      <c r="E57" s="32"/>
    </row>
    <row r="58" spans="1:5" x14ac:dyDescent="0.3">
      <c r="A58" s="59" t="s">
        <v>78</v>
      </c>
      <c r="B58" s="54" t="s">
        <v>14</v>
      </c>
      <c r="C58" s="54" t="s">
        <v>14</v>
      </c>
      <c r="D58" s="56">
        <f>B17</f>
        <v>5</v>
      </c>
      <c r="E58" s="32"/>
    </row>
    <row r="59" spans="1:5" x14ac:dyDescent="0.3">
      <c r="A59" s="1" t="s">
        <v>79</v>
      </c>
      <c r="B59" s="54" t="s">
        <v>14</v>
      </c>
      <c r="C59" s="54" t="s">
        <v>14</v>
      </c>
      <c r="D59" s="56">
        <f>D52-D58</f>
        <v>69.213007904590214</v>
      </c>
      <c r="E59" s="32"/>
    </row>
    <row r="60" spans="1:5" x14ac:dyDescent="0.3">
      <c r="A60" s="15"/>
      <c r="B60" s="82" t="s">
        <v>40</v>
      </c>
      <c r="C60" s="83"/>
      <c r="D60" s="83"/>
      <c r="E60" s="44"/>
    </row>
    <row r="61" spans="1:5" x14ac:dyDescent="0.3">
      <c r="A61" s="17" t="s">
        <v>51</v>
      </c>
      <c r="B61" s="10">
        <f>B14</f>
        <v>10</v>
      </c>
      <c r="C61" s="10">
        <f>B9*B15/D30</f>
        <v>4.6611011254788011E-2</v>
      </c>
      <c r="D61" s="41">
        <f>C61*D59/(B61-C61)</f>
        <v>0.32411958319588263</v>
      </c>
      <c r="E61" s="16"/>
    </row>
    <row r="62" spans="1:5" x14ac:dyDescent="0.3">
      <c r="A62" s="1" t="s">
        <v>79</v>
      </c>
      <c r="B62" s="10" t="s">
        <v>14</v>
      </c>
      <c r="C62" s="10" t="s">
        <v>14</v>
      </c>
      <c r="D62" s="26">
        <f>D59+D61</f>
        <v>69.537127487786094</v>
      </c>
      <c r="E62" s="10"/>
    </row>
    <row r="63" spans="1:5" x14ac:dyDescent="0.3">
      <c r="A63" s="45"/>
      <c r="B63" s="82" t="s">
        <v>47</v>
      </c>
      <c r="C63" s="83"/>
      <c r="D63" s="83"/>
      <c r="E63" s="3"/>
    </row>
    <row r="64" spans="1:5" x14ac:dyDescent="0.3">
      <c r="A64" s="1"/>
      <c r="B64" s="57" t="s">
        <v>25</v>
      </c>
      <c r="C64" s="78" t="s">
        <v>26</v>
      </c>
      <c r="D64" s="78"/>
      <c r="E64" s="10"/>
    </row>
    <row r="65" spans="1:5" x14ac:dyDescent="0.3">
      <c r="A65" s="1"/>
      <c r="B65" s="67" t="s">
        <v>27</v>
      </c>
      <c r="C65" s="79" t="s">
        <v>28</v>
      </c>
      <c r="D65" s="79"/>
      <c r="E65" s="10"/>
    </row>
    <row r="66" spans="1:5" x14ac:dyDescent="0.3">
      <c r="A66" s="1"/>
      <c r="B66" s="67" t="s">
        <v>29</v>
      </c>
      <c r="C66" s="84" t="s">
        <v>48</v>
      </c>
      <c r="D66" s="79"/>
      <c r="E66" s="10"/>
    </row>
    <row r="67" spans="1:5" x14ac:dyDescent="0.3">
      <c r="A67" s="1"/>
      <c r="B67" s="67" t="s">
        <v>31</v>
      </c>
      <c r="C67" s="85" t="s">
        <v>32</v>
      </c>
      <c r="D67" s="85"/>
      <c r="E67" s="46"/>
    </row>
    <row r="68" spans="1:5" x14ac:dyDescent="0.3">
      <c r="A68" s="39"/>
      <c r="B68" s="67" t="s">
        <v>33</v>
      </c>
      <c r="C68" s="79" t="s">
        <v>35</v>
      </c>
      <c r="D68" s="79"/>
      <c r="E68" s="32"/>
    </row>
    <row r="69" spans="1:5" x14ac:dyDescent="0.3">
      <c r="A69" s="39"/>
      <c r="B69" s="83" t="s">
        <v>80</v>
      </c>
      <c r="C69" s="83"/>
      <c r="D69" s="83"/>
      <c r="E69" s="32"/>
    </row>
    <row r="70" spans="1:5" x14ac:dyDescent="0.3">
      <c r="A70" s="59" t="s">
        <v>81</v>
      </c>
      <c r="B70" s="11" t="s">
        <v>14</v>
      </c>
      <c r="C70" s="11" t="s">
        <v>14</v>
      </c>
      <c r="D70" s="61">
        <f>B17</f>
        <v>5</v>
      </c>
      <c r="E70" s="32"/>
    </row>
    <row r="71" spans="1:5" x14ac:dyDescent="0.3">
      <c r="A71" s="1" t="s">
        <v>79</v>
      </c>
      <c r="B71" s="11" t="s">
        <v>14</v>
      </c>
      <c r="C71" s="11" t="s">
        <v>14</v>
      </c>
      <c r="D71" s="61">
        <f>D62-D70</f>
        <v>64.537127487786094</v>
      </c>
      <c r="E71" s="32"/>
    </row>
    <row r="72" spans="1:5" x14ac:dyDescent="0.3">
      <c r="A72" s="77" t="s">
        <v>87</v>
      </c>
      <c r="B72" s="77"/>
      <c r="C72" s="77"/>
      <c r="D72" s="77"/>
      <c r="E72" s="47"/>
    </row>
    <row r="73" spans="1:5" x14ac:dyDescent="0.3">
      <c r="A73" s="60"/>
      <c r="B73" s="60"/>
      <c r="C73" s="60"/>
      <c r="D73" s="60"/>
      <c r="E73" s="33"/>
    </row>
    <row r="74" spans="1:5" x14ac:dyDescent="0.3">
      <c r="A74" s="60"/>
      <c r="B74" s="60"/>
      <c r="C74" s="60"/>
      <c r="D74" s="60"/>
      <c r="E74" s="33"/>
    </row>
    <row r="75" spans="1:5" x14ac:dyDescent="0.3">
      <c r="A75" s="60"/>
      <c r="B75" s="60"/>
      <c r="C75" s="60"/>
      <c r="D75" s="60"/>
      <c r="E75" s="33"/>
    </row>
  </sheetData>
  <mergeCells count="29">
    <mergeCell ref="C66:D66"/>
    <mergeCell ref="C67:D67"/>
    <mergeCell ref="C68:D68"/>
    <mergeCell ref="B69:D69"/>
    <mergeCell ref="A72:D72"/>
    <mergeCell ref="C65:D65"/>
    <mergeCell ref="B40:D40"/>
    <mergeCell ref="B43:D43"/>
    <mergeCell ref="B48:D48"/>
    <mergeCell ref="C53:D53"/>
    <mergeCell ref="C54:D54"/>
    <mergeCell ref="C55:D55"/>
    <mergeCell ref="C56:D56"/>
    <mergeCell ref="B57:D57"/>
    <mergeCell ref="B60:D60"/>
    <mergeCell ref="B63:D63"/>
    <mergeCell ref="C64:D64"/>
    <mergeCell ref="C39:D39"/>
    <mergeCell ref="A1:D1"/>
    <mergeCell ref="A2:D2"/>
    <mergeCell ref="B18:D18"/>
    <mergeCell ref="B31:D31"/>
    <mergeCell ref="C32:D32"/>
    <mergeCell ref="C33:D33"/>
    <mergeCell ref="C34:D34"/>
    <mergeCell ref="C35:D35"/>
    <mergeCell ref="C36:D36"/>
    <mergeCell ref="C37:D37"/>
    <mergeCell ref="C38:D38"/>
  </mergeCells>
  <printOptions gridLines="1"/>
  <pageMargins left="0.7" right="0.7" top="0.75" bottom="0.75" header="0.3" footer="0.3"/>
  <pageSetup scale="6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workbookViewId="0">
      <selection activeCell="I15" sqref="I15"/>
    </sheetView>
  </sheetViews>
  <sheetFormatPr defaultColWidth="8.88671875" defaultRowHeight="14.4" x14ac:dyDescent="0.3"/>
  <cols>
    <col min="1" max="1" width="33.44140625" customWidth="1"/>
    <col min="2" max="2" width="21.6640625" customWidth="1"/>
    <col min="3" max="3" width="20.44140625" customWidth="1"/>
    <col min="4" max="4" width="37.6640625" customWidth="1"/>
    <col min="5" max="5" width="15" customWidth="1"/>
  </cols>
  <sheetData>
    <row r="1" spans="1:5" ht="17.399999999999999" x14ac:dyDescent="0.3">
      <c r="A1" s="90" t="s">
        <v>0</v>
      </c>
      <c r="B1" s="91"/>
      <c r="C1" s="91"/>
      <c r="D1" s="91"/>
    </row>
    <row r="2" spans="1:5" ht="15.6" x14ac:dyDescent="0.3">
      <c r="A2" s="92" t="s">
        <v>52</v>
      </c>
      <c r="B2" s="92"/>
      <c r="C2" s="92"/>
      <c r="D2" s="92"/>
    </row>
    <row r="3" spans="1:5" ht="15.6" x14ac:dyDescent="0.3">
      <c r="A3" s="1" t="s">
        <v>57</v>
      </c>
      <c r="B3" s="4" t="s">
        <v>60</v>
      </c>
      <c r="C3" s="66"/>
      <c r="D3" s="4" t="s">
        <v>3</v>
      </c>
    </row>
    <row r="4" spans="1:5" x14ac:dyDescent="0.3">
      <c r="A4" s="1" t="s">
        <v>1</v>
      </c>
      <c r="B4" s="2">
        <v>7064</v>
      </c>
      <c r="C4" s="3" t="s">
        <v>2</v>
      </c>
      <c r="D4" s="5" t="s">
        <v>6</v>
      </c>
    </row>
    <row r="5" spans="1:5" x14ac:dyDescent="0.3">
      <c r="A5" s="1" t="s">
        <v>4</v>
      </c>
      <c r="B5" s="50">
        <f>$B$4*303.7+79</f>
        <v>2145415.7999999998</v>
      </c>
      <c r="C5" s="3" t="s">
        <v>5</v>
      </c>
      <c r="D5" s="64" t="s">
        <v>9</v>
      </c>
      <c r="E5" s="49"/>
    </row>
    <row r="6" spans="1:5" x14ac:dyDescent="0.3">
      <c r="A6" s="1" t="s">
        <v>7</v>
      </c>
      <c r="B6" s="6">
        <v>33</v>
      </c>
      <c r="C6" s="3" t="s">
        <v>8</v>
      </c>
      <c r="D6" s="74" t="s">
        <v>92</v>
      </c>
    </row>
    <row r="7" spans="1:5" x14ac:dyDescent="0.3">
      <c r="A7" s="1" t="s">
        <v>10</v>
      </c>
      <c r="B7" s="8">
        <f>B8/B6</f>
        <v>22.727272727272727</v>
      </c>
      <c r="C7" s="3" t="s">
        <v>11</v>
      </c>
    </row>
    <row r="8" spans="1:5" x14ac:dyDescent="0.3">
      <c r="A8" s="1" t="s">
        <v>53</v>
      </c>
      <c r="B8" s="6">
        <v>750</v>
      </c>
      <c r="C8" s="3" t="s">
        <v>12</v>
      </c>
    </row>
    <row r="9" spans="1:5" x14ac:dyDescent="0.3">
      <c r="A9" s="1" t="s">
        <v>54</v>
      </c>
      <c r="B9" s="10">
        <f>B8*0.000000001/B5*1000000000000</f>
        <v>0.34958258441091006</v>
      </c>
      <c r="C9" s="3" t="s">
        <v>13</v>
      </c>
    </row>
    <row r="10" spans="1:5" x14ac:dyDescent="0.3">
      <c r="A10" s="1" t="s">
        <v>58</v>
      </c>
      <c r="B10" s="4" t="s">
        <v>91</v>
      </c>
      <c r="C10" s="3"/>
      <c r="D10" s="51"/>
    </row>
    <row r="11" spans="1:5" x14ac:dyDescent="0.3">
      <c r="A11" s="1" t="s">
        <v>68</v>
      </c>
      <c r="B11" s="4">
        <v>1</v>
      </c>
      <c r="C11" s="3"/>
      <c r="D11" s="70"/>
    </row>
    <row r="12" spans="1:5" x14ac:dyDescent="0.3">
      <c r="A12" s="1" t="s">
        <v>55</v>
      </c>
      <c r="B12" s="2">
        <v>1</v>
      </c>
      <c r="C12" s="3" t="s">
        <v>14</v>
      </c>
      <c r="D12" s="70"/>
    </row>
    <row r="13" spans="1:5" x14ac:dyDescent="0.3">
      <c r="A13" s="1" t="s">
        <v>59</v>
      </c>
      <c r="B13" s="4" t="s">
        <v>62</v>
      </c>
      <c r="C13" s="3"/>
      <c r="D13" s="70"/>
    </row>
    <row r="14" spans="1:5" x14ac:dyDescent="0.3">
      <c r="A14" s="1" t="s">
        <v>69</v>
      </c>
      <c r="B14" s="4">
        <v>10</v>
      </c>
      <c r="C14" s="3"/>
      <c r="D14" s="51"/>
    </row>
    <row r="15" spans="1:5" x14ac:dyDescent="0.3">
      <c r="A15" s="1" t="s">
        <v>15</v>
      </c>
      <c r="B15" s="13">
        <v>10</v>
      </c>
      <c r="C15" s="3" t="s">
        <v>14</v>
      </c>
      <c r="D15" s="12"/>
    </row>
    <row r="16" spans="1:5" x14ac:dyDescent="0.3">
      <c r="A16" s="1" t="s">
        <v>16</v>
      </c>
      <c r="B16" s="10">
        <f>(D21*20+D25*B25)/D30</f>
        <v>6</v>
      </c>
      <c r="C16" s="11" t="s">
        <v>17</v>
      </c>
      <c r="D16" s="14"/>
    </row>
    <row r="17" spans="1:4" x14ac:dyDescent="0.3">
      <c r="A17" s="1" t="s">
        <v>56</v>
      </c>
      <c r="B17" s="10">
        <v>5</v>
      </c>
      <c r="C17" s="11" t="s">
        <v>11</v>
      </c>
      <c r="D17" s="14"/>
    </row>
    <row r="18" spans="1:4" x14ac:dyDescent="0.3">
      <c r="A18" s="15"/>
      <c r="B18" s="83" t="s">
        <v>65</v>
      </c>
      <c r="C18" s="82"/>
      <c r="D18" s="82"/>
    </row>
    <row r="19" spans="1:4" x14ac:dyDescent="0.3">
      <c r="A19" s="15"/>
      <c r="B19" s="62" t="s">
        <v>82</v>
      </c>
      <c r="C19" s="62" t="s">
        <v>83</v>
      </c>
      <c r="D19" s="63" t="s">
        <v>84</v>
      </c>
    </row>
    <row r="20" spans="1:4" x14ac:dyDescent="0.3">
      <c r="A20" s="17" t="s">
        <v>18</v>
      </c>
      <c r="B20" s="18" t="s">
        <v>14</v>
      </c>
      <c r="C20" s="18" t="s">
        <v>14</v>
      </c>
      <c r="D20" s="19">
        <f>D30-SUM(D21:D29)</f>
        <v>27.923144688316356</v>
      </c>
    </row>
    <row r="21" spans="1:4" x14ac:dyDescent="0.3">
      <c r="A21" s="20" t="s">
        <v>19</v>
      </c>
      <c r="B21" s="18">
        <v>10</v>
      </c>
      <c r="C21" s="18">
        <v>1</v>
      </c>
      <c r="D21" s="21">
        <f t="shared" ref="D21:D27" si="0">$D$30/(B21/C21)</f>
        <v>7.5</v>
      </c>
    </row>
    <row r="22" spans="1:4" x14ac:dyDescent="0.3">
      <c r="A22" s="20" t="s">
        <v>20</v>
      </c>
      <c r="B22" s="18">
        <v>100</v>
      </c>
      <c r="C22" s="18">
        <v>5</v>
      </c>
      <c r="D22" s="21">
        <f t="shared" si="0"/>
        <v>3.75</v>
      </c>
    </row>
    <row r="23" spans="1:4" x14ac:dyDescent="0.3">
      <c r="A23" s="20" t="s">
        <v>49</v>
      </c>
      <c r="B23" s="18">
        <v>10</v>
      </c>
      <c r="C23" s="18">
        <v>0.2</v>
      </c>
      <c r="D23" s="21">
        <f t="shared" si="0"/>
        <v>1.5</v>
      </c>
    </row>
    <row r="24" spans="1:4" x14ac:dyDescent="0.3">
      <c r="A24" s="20" t="s">
        <v>50</v>
      </c>
      <c r="B24" s="18">
        <v>50</v>
      </c>
      <c r="C24" s="18">
        <v>0.5</v>
      </c>
      <c r="D24" s="21">
        <f t="shared" si="0"/>
        <v>0.75</v>
      </c>
    </row>
    <row r="25" spans="1:4" x14ac:dyDescent="0.3">
      <c r="A25" s="20" t="s">
        <v>21</v>
      </c>
      <c r="B25" s="9">
        <v>50</v>
      </c>
      <c r="C25" s="9">
        <v>4</v>
      </c>
      <c r="D25" s="21">
        <f t="shared" si="0"/>
        <v>6</v>
      </c>
    </row>
    <row r="26" spans="1:4" x14ac:dyDescent="0.3">
      <c r="A26" s="55" t="s">
        <v>85</v>
      </c>
      <c r="B26" s="18">
        <f>B11</f>
        <v>1</v>
      </c>
      <c r="C26" s="22">
        <f>$B$9*$B$12/D30</f>
        <v>4.6611011254788009E-3</v>
      </c>
      <c r="D26" s="21">
        <f t="shared" si="0"/>
        <v>0.34958258441091006</v>
      </c>
    </row>
    <row r="27" spans="1:4" x14ac:dyDescent="0.3">
      <c r="A27" s="1" t="s">
        <v>86</v>
      </c>
      <c r="B27" s="18">
        <f>B6</f>
        <v>33</v>
      </c>
      <c r="C27" s="18">
        <f>1000/100</f>
        <v>10</v>
      </c>
      <c r="D27" s="21">
        <f t="shared" si="0"/>
        <v>22.72727272727273</v>
      </c>
    </row>
    <row r="28" spans="1:4" x14ac:dyDescent="0.3">
      <c r="A28" s="23" t="s">
        <v>22</v>
      </c>
      <c r="B28" s="24">
        <v>2.5</v>
      </c>
      <c r="C28" s="25">
        <v>2.5000000000000001E-2</v>
      </c>
      <c r="D28" s="19">
        <f>$D$30/(B28/C28)</f>
        <v>0.75</v>
      </c>
    </row>
    <row r="29" spans="1:4" x14ac:dyDescent="0.3">
      <c r="A29" s="23" t="s">
        <v>23</v>
      </c>
      <c r="B29" s="25">
        <v>40</v>
      </c>
      <c r="C29" s="25">
        <f>B29*5/100</f>
        <v>2</v>
      </c>
      <c r="D29" s="21">
        <f>$D$30/(B29/C29)</f>
        <v>3.75</v>
      </c>
    </row>
    <row r="30" spans="1:4" x14ac:dyDescent="0.3">
      <c r="A30" s="20" t="s">
        <v>24</v>
      </c>
      <c r="B30" s="18" t="s">
        <v>14</v>
      </c>
      <c r="C30" s="18" t="s">
        <v>14</v>
      </c>
      <c r="D30" s="16">
        <f>B8/1000*100</f>
        <v>75</v>
      </c>
    </row>
    <row r="31" spans="1:4" x14ac:dyDescent="0.3">
      <c r="A31" s="20"/>
      <c r="B31" s="86" t="s">
        <v>64</v>
      </c>
      <c r="C31" s="93"/>
      <c r="D31" s="93"/>
    </row>
    <row r="32" spans="1:4" x14ac:dyDescent="0.3">
      <c r="A32" s="20"/>
      <c r="B32" s="57" t="s">
        <v>25</v>
      </c>
      <c r="C32" s="78" t="s">
        <v>26</v>
      </c>
      <c r="D32" s="78"/>
    </row>
    <row r="33" spans="1:9" x14ac:dyDescent="0.3">
      <c r="A33" s="20"/>
      <c r="B33" s="65" t="s">
        <v>27</v>
      </c>
      <c r="C33" s="84" t="s">
        <v>28</v>
      </c>
      <c r="D33" s="84"/>
      <c r="F33" s="52"/>
      <c r="G33" s="52"/>
      <c r="H33" s="52"/>
      <c r="I33" s="52"/>
    </row>
    <row r="34" spans="1:9" x14ac:dyDescent="0.3">
      <c r="A34" s="20"/>
      <c r="B34" s="29" t="s">
        <v>29</v>
      </c>
      <c r="C34" s="79" t="s">
        <v>30</v>
      </c>
      <c r="D34" s="84"/>
      <c r="F34" s="52"/>
      <c r="G34" s="52"/>
      <c r="H34" s="52"/>
      <c r="I34" s="52"/>
    </row>
    <row r="35" spans="1:9" x14ac:dyDescent="0.3">
      <c r="A35" s="30"/>
      <c r="B35" s="31" t="s">
        <v>31</v>
      </c>
      <c r="C35" s="87" t="s">
        <v>32</v>
      </c>
      <c r="D35" s="87"/>
      <c r="F35" s="52"/>
      <c r="G35" s="52"/>
      <c r="H35" s="52"/>
      <c r="I35" s="52"/>
    </row>
    <row r="36" spans="1:9" x14ac:dyDescent="0.3">
      <c r="A36" s="30"/>
      <c r="B36" s="31" t="s">
        <v>33</v>
      </c>
      <c r="C36" s="88" t="s">
        <v>34</v>
      </c>
      <c r="D36" s="89"/>
      <c r="F36" s="52"/>
      <c r="G36" s="52"/>
      <c r="H36" s="52"/>
      <c r="I36" s="52"/>
    </row>
    <row r="37" spans="1:9" x14ac:dyDescent="0.3">
      <c r="A37" s="30"/>
      <c r="B37" s="31" t="s">
        <v>27</v>
      </c>
      <c r="C37" s="88" t="s">
        <v>28</v>
      </c>
      <c r="D37" s="89"/>
    </row>
    <row r="38" spans="1:9" x14ac:dyDescent="0.3">
      <c r="A38" s="30"/>
      <c r="B38" s="31" t="s">
        <v>31</v>
      </c>
      <c r="C38" s="88" t="s">
        <v>32</v>
      </c>
      <c r="D38" s="89"/>
    </row>
    <row r="39" spans="1:9" x14ac:dyDescent="0.3">
      <c r="A39" s="17"/>
      <c r="B39" s="31" t="s">
        <v>33</v>
      </c>
      <c r="C39" s="87" t="s">
        <v>35</v>
      </c>
      <c r="D39" s="87"/>
      <c r="E39" s="32"/>
    </row>
    <row r="40" spans="1:9" x14ac:dyDescent="0.3">
      <c r="A40" s="17"/>
      <c r="B40" s="83" t="s">
        <v>72</v>
      </c>
      <c r="C40" s="83"/>
      <c r="D40" s="83"/>
      <c r="E40" s="32"/>
    </row>
    <row r="41" spans="1:9" x14ac:dyDescent="0.3">
      <c r="A41" s="59" t="s">
        <v>77</v>
      </c>
      <c r="B41" s="54" t="s">
        <v>14</v>
      </c>
      <c r="C41" s="54" t="s">
        <v>14</v>
      </c>
      <c r="D41" s="75">
        <f>B17</f>
        <v>5</v>
      </c>
      <c r="E41" s="32"/>
    </row>
    <row r="42" spans="1:9" x14ac:dyDescent="0.3">
      <c r="A42" s="1" t="s">
        <v>75</v>
      </c>
      <c r="B42" s="54" t="s">
        <v>14</v>
      </c>
      <c r="C42" s="54" t="s">
        <v>14</v>
      </c>
      <c r="D42" s="56">
        <f>D30-D41</f>
        <v>70</v>
      </c>
      <c r="E42" s="32"/>
    </row>
    <row r="43" spans="1:9" x14ac:dyDescent="0.3">
      <c r="A43" s="15"/>
      <c r="B43" s="82" t="s">
        <v>36</v>
      </c>
      <c r="C43" s="82"/>
      <c r="D43" s="82"/>
      <c r="E43" s="34"/>
    </row>
    <row r="44" spans="1:9" x14ac:dyDescent="0.3">
      <c r="A44" s="35" t="s">
        <v>37</v>
      </c>
      <c r="B44" s="18" t="s">
        <v>14</v>
      </c>
      <c r="C44" s="18" t="s">
        <v>14</v>
      </c>
      <c r="D44" s="19">
        <f>D47-D46-D45</f>
        <v>3.75</v>
      </c>
      <c r="E44" s="11"/>
    </row>
    <row r="45" spans="1:9" x14ac:dyDescent="0.3">
      <c r="A45" s="35" t="s">
        <v>38</v>
      </c>
      <c r="B45" s="18">
        <v>10</v>
      </c>
      <c r="C45" s="18">
        <v>1</v>
      </c>
      <c r="D45" s="21">
        <f>C45*D47/B45</f>
        <v>0.5</v>
      </c>
      <c r="E45" s="3"/>
    </row>
    <row r="46" spans="1:9" x14ac:dyDescent="0.3">
      <c r="A46" s="35" t="s">
        <v>39</v>
      </c>
      <c r="B46" s="18">
        <v>100</v>
      </c>
      <c r="C46" s="18">
        <v>15</v>
      </c>
      <c r="D46" s="21">
        <f>C46*D47/B46</f>
        <v>0.75</v>
      </c>
      <c r="E46" s="3"/>
    </row>
    <row r="47" spans="1:9" x14ac:dyDescent="0.3">
      <c r="A47" s="35" t="s">
        <v>24</v>
      </c>
      <c r="B47" s="18" t="s">
        <v>14</v>
      </c>
      <c r="C47" s="18" t="s">
        <v>14</v>
      </c>
      <c r="D47" s="36">
        <v>5</v>
      </c>
      <c r="E47" s="3"/>
    </row>
    <row r="48" spans="1:9" x14ac:dyDescent="0.3">
      <c r="A48" s="37"/>
      <c r="B48" s="86" t="s">
        <v>73</v>
      </c>
      <c r="C48" s="86"/>
      <c r="D48" s="86"/>
      <c r="E48" s="38"/>
    </row>
    <row r="49" spans="1:5" x14ac:dyDescent="0.3">
      <c r="A49" s="39" t="s">
        <v>41</v>
      </c>
      <c r="B49" s="10">
        <v>5</v>
      </c>
      <c r="C49" s="10">
        <v>9.6000000000000002E-2</v>
      </c>
      <c r="D49" s="40">
        <f>(C49*D42+C49*D50)/(B49-C49)</f>
        <v>1.397864373873249</v>
      </c>
      <c r="E49" s="16"/>
    </row>
    <row r="50" spans="1:5" x14ac:dyDescent="0.3">
      <c r="A50" s="39" t="s">
        <v>42</v>
      </c>
      <c r="B50" s="10">
        <f>C46</f>
        <v>15</v>
      </c>
      <c r="C50" s="10">
        <v>0.28999999999999998</v>
      </c>
      <c r="D50" s="41">
        <f>C50*D42*(1+(C49/(B49-C49)))/(B50-C50-((C50*C49)/(B49-C49)))</f>
        <v>1.4075717653584796</v>
      </c>
      <c r="E50" s="3"/>
    </row>
    <row r="51" spans="1:5" x14ac:dyDescent="0.3">
      <c r="A51" s="35" t="s">
        <v>43</v>
      </c>
      <c r="B51" s="10">
        <v>20</v>
      </c>
      <c r="C51" s="42">
        <f>B51/(D52/D51)</f>
        <v>0.37933289731850867</v>
      </c>
      <c r="D51" s="43">
        <f>D50</f>
        <v>1.4075717653584796</v>
      </c>
      <c r="E51" s="3"/>
    </row>
    <row r="52" spans="1:5" x14ac:dyDescent="0.3">
      <c r="A52" s="39" t="s">
        <v>79</v>
      </c>
      <c r="B52" s="10" t="s">
        <v>14</v>
      </c>
      <c r="C52" s="10" t="s">
        <v>14</v>
      </c>
      <c r="D52" s="26">
        <f>D42+D49+D50+D51</f>
        <v>74.213007904590214</v>
      </c>
      <c r="E52" s="3"/>
    </row>
    <row r="53" spans="1:5" x14ac:dyDescent="0.3">
      <c r="A53" s="39"/>
      <c r="B53" s="57" t="s">
        <v>25</v>
      </c>
      <c r="C53" s="78" t="s">
        <v>26</v>
      </c>
      <c r="D53" s="78"/>
      <c r="E53" s="3"/>
    </row>
    <row r="54" spans="1:5" x14ac:dyDescent="0.3">
      <c r="A54" s="39"/>
      <c r="B54" s="64" t="s">
        <v>44</v>
      </c>
      <c r="C54" s="79" t="s">
        <v>30</v>
      </c>
      <c r="D54" s="79"/>
      <c r="E54" s="3"/>
    </row>
    <row r="55" spans="1:5" x14ac:dyDescent="0.3">
      <c r="A55" s="39"/>
      <c r="B55" s="64" t="s">
        <v>45</v>
      </c>
      <c r="C55" s="80" t="s">
        <v>46</v>
      </c>
      <c r="D55" s="81"/>
      <c r="E55" s="3"/>
    </row>
    <row r="56" spans="1:5" x14ac:dyDescent="0.3">
      <c r="A56" s="39"/>
      <c r="B56" s="64" t="s">
        <v>33</v>
      </c>
      <c r="C56" s="79" t="s">
        <v>35</v>
      </c>
      <c r="D56" s="79"/>
      <c r="E56" s="32"/>
    </row>
    <row r="57" spans="1:5" x14ac:dyDescent="0.3">
      <c r="A57" s="39"/>
      <c r="B57" s="83" t="s">
        <v>76</v>
      </c>
      <c r="C57" s="83"/>
      <c r="D57" s="83"/>
      <c r="E57" s="32"/>
    </row>
    <row r="58" spans="1:5" x14ac:dyDescent="0.3">
      <c r="A58" s="59" t="s">
        <v>78</v>
      </c>
      <c r="B58" s="54" t="s">
        <v>14</v>
      </c>
      <c r="C58" s="54" t="s">
        <v>14</v>
      </c>
      <c r="D58" s="75">
        <f>B17</f>
        <v>5</v>
      </c>
      <c r="E58" s="32"/>
    </row>
    <row r="59" spans="1:5" x14ac:dyDescent="0.3">
      <c r="A59" s="1" t="s">
        <v>79</v>
      </c>
      <c r="B59" s="54" t="s">
        <v>14</v>
      </c>
      <c r="C59" s="54" t="s">
        <v>14</v>
      </c>
      <c r="D59" s="56">
        <f>D52-D58</f>
        <v>69.213007904590214</v>
      </c>
      <c r="E59" s="32"/>
    </row>
    <row r="60" spans="1:5" x14ac:dyDescent="0.3">
      <c r="A60" s="15"/>
      <c r="B60" s="82" t="s">
        <v>40</v>
      </c>
      <c r="C60" s="83"/>
      <c r="D60" s="83"/>
      <c r="E60" s="44"/>
    </row>
    <row r="61" spans="1:5" x14ac:dyDescent="0.3">
      <c r="A61" s="17" t="s">
        <v>51</v>
      </c>
      <c r="B61" s="10">
        <f>B14</f>
        <v>10</v>
      </c>
      <c r="C61" s="10">
        <f>B9*B15/D30</f>
        <v>4.6611011254788011E-2</v>
      </c>
      <c r="D61" s="41">
        <f>C61*D59/(B61-C61)</f>
        <v>0.32411958319588263</v>
      </c>
      <c r="E61" s="16"/>
    </row>
    <row r="62" spans="1:5" x14ac:dyDescent="0.3">
      <c r="A62" s="1" t="s">
        <v>79</v>
      </c>
      <c r="B62" s="10" t="s">
        <v>14</v>
      </c>
      <c r="C62" s="10" t="s">
        <v>14</v>
      </c>
      <c r="D62" s="26">
        <f>D59+D61</f>
        <v>69.537127487786094</v>
      </c>
      <c r="E62" s="10"/>
    </row>
    <row r="63" spans="1:5" x14ac:dyDescent="0.3">
      <c r="A63" s="45"/>
      <c r="B63" s="82" t="s">
        <v>47</v>
      </c>
      <c r="C63" s="83"/>
      <c r="D63" s="83"/>
      <c r="E63" s="3"/>
    </row>
    <row r="64" spans="1:5" x14ac:dyDescent="0.3">
      <c r="A64" s="1"/>
      <c r="B64" s="57" t="s">
        <v>25</v>
      </c>
      <c r="C64" s="78" t="s">
        <v>26</v>
      </c>
      <c r="D64" s="78"/>
      <c r="E64" s="10"/>
    </row>
    <row r="65" spans="1:5" x14ac:dyDescent="0.3">
      <c r="A65" s="1"/>
      <c r="B65" s="64" t="s">
        <v>27</v>
      </c>
      <c r="C65" s="79" t="s">
        <v>28</v>
      </c>
      <c r="D65" s="79"/>
      <c r="E65" s="10"/>
    </row>
    <row r="66" spans="1:5" x14ac:dyDescent="0.3">
      <c r="A66" s="1"/>
      <c r="B66" s="64" t="s">
        <v>29</v>
      </c>
      <c r="C66" s="84" t="s">
        <v>48</v>
      </c>
      <c r="D66" s="79"/>
      <c r="E66" s="10"/>
    </row>
    <row r="67" spans="1:5" x14ac:dyDescent="0.3">
      <c r="A67" s="1"/>
      <c r="B67" s="64" t="s">
        <v>31</v>
      </c>
      <c r="C67" s="85" t="s">
        <v>32</v>
      </c>
      <c r="D67" s="85"/>
      <c r="E67" s="46"/>
    </row>
    <row r="68" spans="1:5" x14ac:dyDescent="0.3">
      <c r="A68" s="39"/>
      <c r="B68" s="64" t="s">
        <v>33</v>
      </c>
      <c r="C68" s="79" t="s">
        <v>35</v>
      </c>
      <c r="D68" s="79"/>
      <c r="E68" s="32"/>
    </row>
    <row r="69" spans="1:5" x14ac:dyDescent="0.3">
      <c r="A69" s="39"/>
      <c r="B69" s="83" t="s">
        <v>80</v>
      </c>
      <c r="C69" s="83"/>
      <c r="D69" s="83"/>
      <c r="E69" s="32"/>
    </row>
    <row r="70" spans="1:5" x14ac:dyDescent="0.3">
      <c r="A70" s="59" t="s">
        <v>81</v>
      </c>
      <c r="B70" s="11" t="s">
        <v>14</v>
      </c>
      <c r="C70" s="11" t="s">
        <v>14</v>
      </c>
      <c r="D70" s="76">
        <f>B17</f>
        <v>5</v>
      </c>
      <c r="E70" s="32"/>
    </row>
    <row r="71" spans="1:5" x14ac:dyDescent="0.3">
      <c r="A71" s="1" t="s">
        <v>79</v>
      </c>
      <c r="B71" s="11" t="s">
        <v>14</v>
      </c>
      <c r="C71" s="11" t="s">
        <v>14</v>
      </c>
      <c r="D71" s="61">
        <f>D62-D70</f>
        <v>64.537127487786094</v>
      </c>
      <c r="E71" s="32"/>
    </row>
    <row r="72" spans="1:5" x14ac:dyDescent="0.3">
      <c r="A72" s="77" t="s">
        <v>87</v>
      </c>
      <c r="B72" s="77"/>
      <c r="C72" s="77"/>
      <c r="D72" s="77"/>
      <c r="E72" s="47"/>
    </row>
    <row r="73" spans="1:5" x14ac:dyDescent="0.3">
      <c r="A73" s="60"/>
      <c r="B73" s="60"/>
      <c r="C73" s="60"/>
      <c r="D73" s="60"/>
      <c r="E73" s="33"/>
    </row>
    <row r="74" spans="1:5" x14ac:dyDescent="0.3">
      <c r="A74" s="60"/>
      <c r="B74" s="60"/>
      <c r="C74" s="60"/>
      <c r="D74" s="60"/>
      <c r="E74" s="33"/>
    </row>
    <row r="75" spans="1:5" x14ac:dyDescent="0.3">
      <c r="A75" s="60"/>
      <c r="B75" s="60"/>
      <c r="C75" s="60"/>
      <c r="D75" s="60"/>
      <c r="E75" s="33"/>
    </row>
  </sheetData>
  <mergeCells count="29">
    <mergeCell ref="C68:D68"/>
    <mergeCell ref="B69:D69"/>
    <mergeCell ref="A72:D72"/>
    <mergeCell ref="B60:D60"/>
    <mergeCell ref="B63:D63"/>
    <mergeCell ref="C64:D64"/>
    <mergeCell ref="C65:D65"/>
    <mergeCell ref="C66:D66"/>
    <mergeCell ref="C67:D67"/>
    <mergeCell ref="B57:D57"/>
    <mergeCell ref="C36:D36"/>
    <mergeCell ref="C37:D37"/>
    <mergeCell ref="C38:D38"/>
    <mergeCell ref="C39:D39"/>
    <mergeCell ref="B40:D40"/>
    <mergeCell ref="B43:D43"/>
    <mergeCell ref="B48:D48"/>
    <mergeCell ref="C53:D53"/>
    <mergeCell ref="C54:D54"/>
    <mergeCell ref="C55:D55"/>
    <mergeCell ref="C56:D56"/>
    <mergeCell ref="C33:D33"/>
    <mergeCell ref="C34:D34"/>
    <mergeCell ref="C35:D35"/>
    <mergeCell ref="A1:D1"/>
    <mergeCell ref="A2:D2"/>
    <mergeCell ref="B18:D18"/>
    <mergeCell ref="B31:D31"/>
    <mergeCell ref="C32:D32"/>
  </mergeCells>
  <phoneticPr fontId="10" type="noConversion"/>
  <printOptions gridLines="1"/>
  <pageMargins left="0.7" right="0.7" top="0.75" bottom="0.75" header="0.3" footer="0.3"/>
  <pageSetup scale="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abSelected="1" workbookViewId="0">
      <selection activeCell="F18" sqref="F18"/>
    </sheetView>
  </sheetViews>
  <sheetFormatPr defaultColWidth="8.88671875" defaultRowHeight="14.4" x14ac:dyDescent="0.3"/>
  <cols>
    <col min="1" max="1" width="33.44140625" customWidth="1"/>
    <col min="2" max="2" width="21.6640625" customWidth="1"/>
    <col min="3" max="3" width="20.44140625" customWidth="1"/>
    <col min="4" max="4" width="37.6640625" customWidth="1"/>
    <col min="5" max="5" width="15" customWidth="1"/>
  </cols>
  <sheetData>
    <row r="1" spans="1:5" ht="17.399999999999999" x14ac:dyDescent="0.3">
      <c r="A1" s="90" t="s">
        <v>0</v>
      </c>
      <c r="B1" s="91"/>
      <c r="C1" s="91"/>
      <c r="D1" s="91"/>
    </row>
    <row r="2" spans="1:5" ht="15.6" x14ac:dyDescent="0.3">
      <c r="A2" s="92" t="s">
        <v>52</v>
      </c>
      <c r="B2" s="92"/>
      <c r="C2" s="92"/>
      <c r="D2" s="92"/>
    </row>
    <row r="3" spans="1:5" ht="15.6" x14ac:dyDescent="0.3">
      <c r="A3" s="1" t="s">
        <v>57</v>
      </c>
      <c r="B3" s="4" t="s">
        <v>60</v>
      </c>
      <c r="C3" s="73"/>
      <c r="D3" s="4" t="s">
        <v>3</v>
      </c>
    </row>
    <row r="4" spans="1:5" x14ac:dyDescent="0.3">
      <c r="A4" s="1" t="s">
        <v>1</v>
      </c>
      <c r="B4" s="2">
        <v>7064</v>
      </c>
      <c r="C4" s="3" t="s">
        <v>2</v>
      </c>
      <c r="D4" s="5" t="s">
        <v>6</v>
      </c>
    </row>
    <row r="5" spans="1:5" x14ac:dyDescent="0.3">
      <c r="A5" s="1" t="s">
        <v>4</v>
      </c>
      <c r="B5" s="50">
        <f>$B$4*303.7+79</f>
        <v>2145415.7999999998</v>
      </c>
      <c r="C5" s="3" t="s">
        <v>5</v>
      </c>
      <c r="D5" s="71" t="s">
        <v>9</v>
      </c>
      <c r="E5" s="49"/>
    </row>
    <row r="6" spans="1:5" x14ac:dyDescent="0.3">
      <c r="A6" s="1" t="s">
        <v>7</v>
      </c>
      <c r="B6" s="6">
        <v>33</v>
      </c>
      <c r="C6" s="3" t="s">
        <v>8</v>
      </c>
      <c r="D6" s="74" t="s">
        <v>92</v>
      </c>
    </row>
    <row r="7" spans="1:5" x14ac:dyDescent="0.3">
      <c r="A7" s="1" t="s">
        <v>10</v>
      </c>
      <c r="B7" s="8">
        <f>B8/B6</f>
        <v>22.727272727272727</v>
      </c>
      <c r="C7" s="3" t="s">
        <v>11</v>
      </c>
    </row>
    <row r="8" spans="1:5" x14ac:dyDescent="0.3">
      <c r="A8" s="1" t="s">
        <v>53</v>
      </c>
      <c r="B8" s="6">
        <v>750</v>
      </c>
      <c r="C8" s="3" t="s">
        <v>12</v>
      </c>
    </row>
    <row r="9" spans="1:5" x14ac:dyDescent="0.3">
      <c r="A9" s="1" t="s">
        <v>54</v>
      </c>
      <c r="B9" s="10">
        <f>B8*0.000000001/B5*1000000000000</f>
        <v>0.34958258441091006</v>
      </c>
      <c r="C9" s="3" t="s">
        <v>13</v>
      </c>
    </row>
    <row r="10" spans="1:5" x14ac:dyDescent="0.3">
      <c r="A10" s="1" t="s">
        <v>58</v>
      </c>
      <c r="B10" s="4" t="s">
        <v>91</v>
      </c>
      <c r="C10" s="3"/>
      <c r="D10" s="51"/>
    </row>
    <row r="11" spans="1:5" x14ac:dyDescent="0.3">
      <c r="A11" s="1" t="s">
        <v>68</v>
      </c>
      <c r="B11" s="4">
        <v>1</v>
      </c>
      <c r="C11" s="3"/>
      <c r="D11" s="70"/>
    </row>
    <row r="12" spans="1:5" x14ac:dyDescent="0.3">
      <c r="A12" s="1" t="s">
        <v>55</v>
      </c>
      <c r="B12" s="2">
        <v>1</v>
      </c>
      <c r="C12" s="3" t="s">
        <v>14</v>
      </c>
      <c r="D12" s="70"/>
    </row>
    <row r="13" spans="1:5" x14ac:dyDescent="0.3">
      <c r="A13" s="1" t="s">
        <v>59</v>
      </c>
      <c r="B13" s="4" t="s">
        <v>62</v>
      </c>
      <c r="C13" s="3"/>
      <c r="D13" s="70"/>
    </row>
    <row r="14" spans="1:5" x14ac:dyDescent="0.3">
      <c r="A14" s="1" t="s">
        <v>69</v>
      </c>
      <c r="B14" s="4">
        <v>10</v>
      </c>
      <c r="C14" s="3"/>
      <c r="D14" s="51"/>
    </row>
    <row r="15" spans="1:5" x14ac:dyDescent="0.3">
      <c r="A15" s="1" t="s">
        <v>15</v>
      </c>
      <c r="B15" s="13">
        <v>10</v>
      </c>
      <c r="C15" s="3" t="s">
        <v>14</v>
      </c>
      <c r="D15" s="12"/>
    </row>
    <row r="16" spans="1:5" x14ac:dyDescent="0.3">
      <c r="A16" s="1" t="s">
        <v>16</v>
      </c>
      <c r="B16" s="10" t="e">
        <f>(#REF!*20+#REF!*#REF!)/D25</f>
        <v>#REF!</v>
      </c>
      <c r="C16" s="11" t="s">
        <v>17</v>
      </c>
      <c r="D16" s="14"/>
    </row>
    <row r="17" spans="1:9" x14ac:dyDescent="0.3">
      <c r="A17" s="1" t="s">
        <v>56</v>
      </c>
      <c r="B17" s="10">
        <v>5</v>
      </c>
      <c r="C17" s="11" t="s">
        <v>11</v>
      </c>
      <c r="D17" s="14"/>
    </row>
    <row r="18" spans="1:9" x14ac:dyDescent="0.3">
      <c r="A18" s="15"/>
      <c r="B18" s="83" t="s">
        <v>65</v>
      </c>
      <c r="C18" s="82"/>
      <c r="D18" s="82"/>
    </row>
    <row r="19" spans="1:9" x14ac:dyDescent="0.3">
      <c r="A19" s="15"/>
      <c r="B19" s="62" t="s">
        <v>82</v>
      </c>
      <c r="C19" s="62" t="s">
        <v>83</v>
      </c>
      <c r="D19" s="63" t="s">
        <v>84</v>
      </c>
    </row>
    <row r="20" spans="1:9" x14ac:dyDescent="0.3">
      <c r="A20" s="17" t="s">
        <v>18</v>
      </c>
      <c r="B20" s="18" t="s">
        <v>14</v>
      </c>
      <c r="C20" s="18" t="s">
        <v>14</v>
      </c>
      <c r="D20" s="19">
        <f>D25-SUM(D21:D24)</f>
        <v>27.923144688316356</v>
      </c>
    </row>
    <row r="21" spans="1:9" x14ac:dyDescent="0.3">
      <c r="A21" s="17" t="s">
        <v>94</v>
      </c>
      <c r="B21" s="18"/>
      <c r="C21" s="18"/>
      <c r="D21" s="19">
        <v>19.5</v>
      </c>
    </row>
    <row r="22" spans="1:9" x14ac:dyDescent="0.3">
      <c r="A22" s="55" t="s">
        <v>85</v>
      </c>
      <c r="B22" s="18">
        <f>B11</f>
        <v>1</v>
      </c>
      <c r="C22" s="22">
        <f>$B$9*$B$12/D25</f>
        <v>4.6611011254788009E-3</v>
      </c>
      <c r="D22" s="21">
        <f>$D$25/(B22/C22)</f>
        <v>0.34958258441091006</v>
      </c>
    </row>
    <row r="23" spans="1:9" x14ac:dyDescent="0.3">
      <c r="A23" s="1" t="s">
        <v>86</v>
      </c>
      <c r="B23" s="18">
        <f>B6</f>
        <v>33</v>
      </c>
      <c r="C23" s="18">
        <f>1000/100</f>
        <v>10</v>
      </c>
      <c r="D23" s="21">
        <f>$D$25/(B23/C23)</f>
        <v>22.72727272727273</v>
      </c>
    </row>
    <row r="24" spans="1:9" x14ac:dyDescent="0.3">
      <c r="A24" s="1" t="s">
        <v>93</v>
      </c>
      <c r="B24" s="18"/>
      <c r="C24" s="18"/>
      <c r="D24" s="19">
        <v>4.5</v>
      </c>
    </row>
    <row r="25" spans="1:9" x14ac:dyDescent="0.3">
      <c r="A25" s="20" t="s">
        <v>24</v>
      </c>
      <c r="B25" s="18" t="s">
        <v>14</v>
      </c>
      <c r="C25" s="18" t="s">
        <v>14</v>
      </c>
      <c r="D25" s="16">
        <f>B8/1000*100</f>
        <v>75</v>
      </c>
    </row>
    <row r="26" spans="1:9" x14ac:dyDescent="0.3">
      <c r="A26" s="20"/>
      <c r="B26" s="86" t="s">
        <v>64</v>
      </c>
      <c r="C26" s="93"/>
      <c r="D26" s="93"/>
    </row>
    <row r="27" spans="1:9" x14ac:dyDescent="0.3">
      <c r="A27" s="20"/>
      <c r="B27" s="57" t="s">
        <v>25</v>
      </c>
      <c r="C27" s="78" t="s">
        <v>26</v>
      </c>
      <c r="D27" s="78"/>
    </row>
    <row r="28" spans="1:9" x14ac:dyDescent="0.3">
      <c r="A28" s="20"/>
      <c r="B28" s="72" t="s">
        <v>27</v>
      </c>
      <c r="C28" s="84" t="s">
        <v>28</v>
      </c>
      <c r="D28" s="84"/>
      <c r="F28" s="52"/>
      <c r="G28" s="52"/>
      <c r="H28" s="52"/>
      <c r="I28" s="52"/>
    </row>
    <row r="29" spans="1:9" x14ac:dyDescent="0.3">
      <c r="A29" s="20"/>
      <c r="B29" s="29" t="s">
        <v>29</v>
      </c>
      <c r="C29" s="79" t="s">
        <v>30</v>
      </c>
      <c r="D29" s="84"/>
      <c r="F29" s="52"/>
      <c r="G29" s="52"/>
      <c r="H29" s="52"/>
      <c r="I29" s="52"/>
    </row>
    <row r="30" spans="1:9" x14ac:dyDescent="0.3">
      <c r="A30" s="30"/>
      <c r="B30" s="31" t="s">
        <v>31</v>
      </c>
      <c r="C30" s="87" t="s">
        <v>32</v>
      </c>
      <c r="D30" s="87"/>
      <c r="F30" s="52"/>
      <c r="G30" s="52"/>
      <c r="H30" s="52"/>
      <c r="I30" s="52"/>
    </row>
    <row r="31" spans="1:9" x14ac:dyDescent="0.3">
      <c r="A31" s="30"/>
      <c r="B31" s="31" t="s">
        <v>33</v>
      </c>
      <c r="C31" s="88" t="s">
        <v>34</v>
      </c>
      <c r="D31" s="89"/>
      <c r="F31" s="52"/>
      <c r="G31" s="52"/>
      <c r="H31" s="52"/>
      <c r="I31" s="52"/>
    </row>
    <row r="32" spans="1:9" x14ac:dyDescent="0.3">
      <c r="A32" s="30"/>
      <c r="B32" s="31" t="s">
        <v>27</v>
      </c>
      <c r="C32" s="88" t="s">
        <v>28</v>
      </c>
      <c r="D32" s="89"/>
    </row>
    <row r="33" spans="1:5" x14ac:dyDescent="0.3">
      <c r="A33" s="30"/>
      <c r="B33" s="31" t="s">
        <v>31</v>
      </c>
      <c r="C33" s="88" t="s">
        <v>32</v>
      </c>
      <c r="D33" s="89"/>
    </row>
    <row r="34" spans="1:5" x14ac:dyDescent="0.3">
      <c r="A34" s="17"/>
      <c r="B34" s="31" t="s">
        <v>33</v>
      </c>
      <c r="C34" s="87" t="s">
        <v>35</v>
      </c>
      <c r="D34" s="87"/>
      <c r="E34" s="32"/>
    </row>
    <row r="35" spans="1:5" x14ac:dyDescent="0.3">
      <c r="A35" s="17"/>
      <c r="B35" s="83" t="s">
        <v>72</v>
      </c>
      <c r="C35" s="83"/>
      <c r="D35" s="83"/>
      <c r="E35" s="32"/>
    </row>
    <row r="36" spans="1:5" x14ac:dyDescent="0.3">
      <c r="A36" s="59" t="s">
        <v>77</v>
      </c>
      <c r="B36" s="54" t="s">
        <v>14</v>
      </c>
      <c r="C36" s="54" t="s">
        <v>14</v>
      </c>
      <c r="D36" s="75">
        <f>B17</f>
        <v>5</v>
      </c>
      <c r="E36" s="32"/>
    </row>
    <row r="37" spans="1:5" x14ac:dyDescent="0.3">
      <c r="A37" s="1" t="s">
        <v>75</v>
      </c>
      <c r="B37" s="54" t="s">
        <v>14</v>
      </c>
      <c r="C37" s="54" t="s">
        <v>14</v>
      </c>
      <c r="D37" s="56">
        <f>D25-D36</f>
        <v>70</v>
      </c>
      <c r="E37" s="32"/>
    </row>
    <row r="38" spans="1:5" x14ac:dyDescent="0.3">
      <c r="A38" s="15"/>
      <c r="B38" s="82" t="s">
        <v>36</v>
      </c>
      <c r="C38" s="82"/>
      <c r="D38" s="82"/>
      <c r="E38" s="34"/>
    </row>
    <row r="39" spans="1:5" x14ac:dyDescent="0.3">
      <c r="A39" s="39" t="s">
        <v>95</v>
      </c>
      <c r="B39" s="10"/>
      <c r="C39" s="10"/>
      <c r="D39" s="41">
        <f>2.96</f>
        <v>2.96</v>
      </c>
      <c r="E39" s="3"/>
    </row>
    <row r="40" spans="1:5" x14ac:dyDescent="0.3">
      <c r="A40" s="39" t="s">
        <v>79</v>
      </c>
      <c r="B40" s="10" t="s">
        <v>14</v>
      </c>
      <c r="C40" s="10" t="s">
        <v>14</v>
      </c>
      <c r="D40" s="26">
        <f>D37+D39</f>
        <v>72.959999999999994</v>
      </c>
      <c r="E40" s="3"/>
    </row>
    <row r="41" spans="1:5" x14ac:dyDescent="0.3">
      <c r="A41" s="39"/>
      <c r="B41" s="57" t="s">
        <v>25</v>
      </c>
      <c r="C41" s="78" t="s">
        <v>26</v>
      </c>
      <c r="D41" s="78"/>
      <c r="E41" s="3"/>
    </row>
    <row r="42" spans="1:5" x14ac:dyDescent="0.3">
      <c r="A42" s="39"/>
      <c r="B42" s="71" t="s">
        <v>44</v>
      </c>
      <c r="C42" s="79" t="s">
        <v>30</v>
      </c>
      <c r="D42" s="79"/>
      <c r="E42" s="3"/>
    </row>
    <row r="43" spans="1:5" x14ac:dyDescent="0.3">
      <c r="A43" s="39"/>
      <c r="B43" s="71" t="s">
        <v>45</v>
      </c>
      <c r="C43" s="80" t="s">
        <v>46</v>
      </c>
      <c r="D43" s="81"/>
      <c r="E43" s="3"/>
    </row>
    <row r="44" spans="1:5" x14ac:dyDescent="0.3">
      <c r="A44" s="39"/>
      <c r="B44" s="71" t="s">
        <v>33</v>
      </c>
      <c r="C44" s="79" t="s">
        <v>35</v>
      </c>
      <c r="D44" s="79"/>
      <c r="E44" s="32"/>
    </row>
    <row r="45" spans="1:5" x14ac:dyDescent="0.3">
      <c r="A45" s="39"/>
      <c r="B45" s="83" t="s">
        <v>76</v>
      </c>
      <c r="C45" s="83"/>
      <c r="D45" s="83"/>
      <c r="E45" s="32"/>
    </row>
    <row r="46" spans="1:5" x14ac:dyDescent="0.3">
      <c r="A46" s="59" t="s">
        <v>78</v>
      </c>
      <c r="B46" s="54" t="s">
        <v>14</v>
      </c>
      <c r="C46" s="54" t="s">
        <v>14</v>
      </c>
      <c r="D46" s="75">
        <f>B17</f>
        <v>5</v>
      </c>
      <c r="E46" s="32"/>
    </row>
    <row r="47" spans="1:5" x14ac:dyDescent="0.3">
      <c r="A47" s="1" t="s">
        <v>79</v>
      </c>
      <c r="B47" s="54" t="s">
        <v>14</v>
      </c>
      <c r="C47" s="54" t="s">
        <v>14</v>
      </c>
      <c r="D47" s="56">
        <f>D40-D46</f>
        <v>67.959999999999994</v>
      </c>
      <c r="E47" s="32"/>
    </row>
    <row r="48" spans="1:5" x14ac:dyDescent="0.3">
      <c r="A48" s="15"/>
      <c r="B48" s="82" t="s">
        <v>40</v>
      </c>
      <c r="C48" s="83"/>
      <c r="D48" s="83"/>
      <c r="E48" s="44"/>
    </row>
    <row r="49" spans="1:5" x14ac:dyDescent="0.3">
      <c r="A49" s="17" t="s">
        <v>51</v>
      </c>
      <c r="B49" s="10">
        <f>B14</f>
        <v>10</v>
      </c>
      <c r="C49" s="10">
        <f>B9*B15/D25</f>
        <v>4.6611011254788011E-2</v>
      </c>
      <c r="D49" s="41">
        <f>C49*D47/(B49-C49)</f>
        <v>0.31825183648074534</v>
      </c>
      <c r="E49" s="16"/>
    </row>
    <row r="50" spans="1:5" x14ac:dyDescent="0.3">
      <c r="A50" s="1" t="s">
        <v>79</v>
      </c>
      <c r="B50" s="10" t="s">
        <v>14</v>
      </c>
      <c r="C50" s="10" t="s">
        <v>14</v>
      </c>
      <c r="D50" s="26">
        <f>D47+D49</f>
        <v>68.278251836480734</v>
      </c>
      <c r="E50" s="10"/>
    </row>
    <row r="51" spans="1:5" x14ac:dyDescent="0.3">
      <c r="A51" s="45"/>
      <c r="B51" s="82" t="s">
        <v>47</v>
      </c>
      <c r="C51" s="83"/>
      <c r="D51" s="83"/>
      <c r="E51" s="3"/>
    </row>
    <row r="52" spans="1:5" x14ac:dyDescent="0.3">
      <c r="A52" s="1"/>
      <c r="B52" s="57" t="s">
        <v>25</v>
      </c>
      <c r="C52" s="78" t="s">
        <v>26</v>
      </c>
      <c r="D52" s="78"/>
      <c r="E52" s="10"/>
    </row>
    <row r="53" spans="1:5" x14ac:dyDescent="0.3">
      <c r="A53" s="1"/>
      <c r="B53" s="71" t="s">
        <v>27</v>
      </c>
      <c r="C53" s="79" t="s">
        <v>28</v>
      </c>
      <c r="D53" s="79"/>
      <c r="E53" s="10"/>
    </row>
    <row r="54" spans="1:5" x14ac:dyDescent="0.3">
      <c r="A54" s="1"/>
      <c r="B54" s="71" t="s">
        <v>29</v>
      </c>
      <c r="C54" s="84" t="s">
        <v>48</v>
      </c>
      <c r="D54" s="79"/>
      <c r="E54" s="10"/>
    </row>
    <row r="55" spans="1:5" x14ac:dyDescent="0.3">
      <c r="A55" s="1"/>
      <c r="B55" s="71" t="s">
        <v>31</v>
      </c>
      <c r="C55" s="85" t="s">
        <v>32</v>
      </c>
      <c r="D55" s="85"/>
      <c r="E55" s="46"/>
    </row>
    <row r="56" spans="1:5" x14ac:dyDescent="0.3">
      <c r="A56" s="39"/>
      <c r="B56" s="71" t="s">
        <v>33</v>
      </c>
      <c r="C56" s="79" t="s">
        <v>35</v>
      </c>
      <c r="D56" s="79"/>
      <c r="E56" s="32"/>
    </row>
    <row r="57" spans="1:5" x14ac:dyDescent="0.3">
      <c r="A57" s="39"/>
      <c r="B57" s="83" t="s">
        <v>80</v>
      </c>
      <c r="C57" s="83"/>
      <c r="D57" s="83"/>
      <c r="E57" s="32"/>
    </row>
    <row r="58" spans="1:5" x14ac:dyDescent="0.3">
      <c r="A58" s="59" t="s">
        <v>81</v>
      </c>
      <c r="B58" s="11" t="s">
        <v>14</v>
      </c>
      <c r="C58" s="11" t="s">
        <v>14</v>
      </c>
      <c r="D58" s="76">
        <f>B17</f>
        <v>5</v>
      </c>
      <c r="E58" s="32"/>
    </row>
    <row r="59" spans="1:5" x14ac:dyDescent="0.3">
      <c r="A59" s="1" t="s">
        <v>79</v>
      </c>
      <c r="B59" s="11" t="s">
        <v>14</v>
      </c>
      <c r="C59" s="11" t="s">
        <v>14</v>
      </c>
      <c r="D59" s="61">
        <f>D50-D58</f>
        <v>63.278251836480734</v>
      </c>
      <c r="E59" s="32"/>
    </row>
    <row r="60" spans="1:5" x14ac:dyDescent="0.3">
      <c r="A60" s="77" t="s">
        <v>87</v>
      </c>
      <c r="B60" s="77"/>
      <c r="C60" s="77"/>
      <c r="D60" s="77"/>
      <c r="E60" s="47"/>
    </row>
    <row r="61" spans="1:5" x14ac:dyDescent="0.3">
      <c r="A61" s="60"/>
      <c r="B61" s="60"/>
      <c r="C61" s="60"/>
      <c r="D61" s="60"/>
      <c r="E61" s="33"/>
    </row>
    <row r="62" spans="1:5" x14ac:dyDescent="0.3">
      <c r="A62" s="60"/>
      <c r="B62" s="60"/>
      <c r="C62" s="60"/>
      <c r="D62" s="60"/>
      <c r="E62" s="33"/>
    </row>
    <row r="63" spans="1:5" x14ac:dyDescent="0.3">
      <c r="A63" s="60"/>
      <c r="B63" s="60"/>
      <c r="C63" s="60"/>
      <c r="D63" s="60"/>
      <c r="E63" s="33"/>
    </row>
  </sheetData>
  <mergeCells count="28">
    <mergeCell ref="C54:D54"/>
    <mergeCell ref="C55:D55"/>
    <mergeCell ref="C56:D56"/>
    <mergeCell ref="B57:D57"/>
    <mergeCell ref="A60:D60"/>
    <mergeCell ref="C44:D44"/>
    <mergeCell ref="B45:D45"/>
    <mergeCell ref="B48:D48"/>
    <mergeCell ref="B51:D51"/>
    <mergeCell ref="C52:D52"/>
    <mergeCell ref="C53:D53"/>
    <mergeCell ref="B35:D35"/>
    <mergeCell ref="B38:D38"/>
    <mergeCell ref="C41:D41"/>
    <mergeCell ref="C42:D42"/>
    <mergeCell ref="C43:D43"/>
    <mergeCell ref="C29:D29"/>
    <mergeCell ref="C30:D30"/>
    <mergeCell ref="C31:D31"/>
    <mergeCell ref="C32:D32"/>
    <mergeCell ref="C33:D33"/>
    <mergeCell ref="C34:D34"/>
    <mergeCell ref="A1:D1"/>
    <mergeCell ref="A2:D2"/>
    <mergeCell ref="B18:D18"/>
    <mergeCell ref="B26:D26"/>
    <mergeCell ref="C27:D27"/>
    <mergeCell ref="C28:D28"/>
  </mergeCells>
  <printOptions gridLines="1"/>
  <pageMargins left="0.7" right="0.7" top="0.75" bottom="0.75" header="0.3" footer="0.3"/>
  <pageSetup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Combinatorial</vt:lpstr>
      <vt:lpstr>Combinatorial (no delay) (2)</vt:lpstr>
      <vt:lpstr>For Robot</vt:lpstr>
      <vt:lpstr>Sheet2</vt:lpstr>
      <vt:lpstr>For Robot (w Mastermixes)</vt:lpstr>
      <vt:lpstr>Combinatorial!Print_Area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dbroe_000</dc:creator>
  <cp:lastModifiedBy>Annie Mao</cp:lastModifiedBy>
  <cp:lastPrinted>2016-11-15T16:28:49Z</cp:lastPrinted>
  <dcterms:created xsi:type="dcterms:W3CDTF">2016-02-24T15:28:57Z</dcterms:created>
  <dcterms:modified xsi:type="dcterms:W3CDTF">2016-11-15T19:43:55Z</dcterms:modified>
</cp:coreProperties>
</file>