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ily\Desktop\普物實驗\實驗\"/>
    </mc:Choice>
  </mc:AlternateContent>
  <bookViews>
    <workbookView xWindow="0" yWindow="0" windowWidth="14390" windowHeight="3990"/>
  </bookViews>
  <sheets>
    <sheet name="1" sheetId="2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" i="2" l="1"/>
  <c r="E3" i="2" l="1"/>
  <c r="K3" i="2"/>
  <c r="L3" i="2" s="1"/>
  <c r="E4" i="2"/>
  <c r="K4" i="2"/>
  <c r="L4" i="2"/>
  <c r="E5" i="2"/>
  <c r="K5" i="2"/>
  <c r="L5" i="2"/>
  <c r="E6" i="2"/>
  <c r="K6" i="2"/>
  <c r="L6" i="2"/>
  <c r="E7" i="2"/>
  <c r="K7" i="2"/>
  <c r="L7" i="2" s="1"/>
  <c r="E8" i="2"/>
  <c r="K8" i="2"/>
  <c r="L8" i="2"/>
  <c r="E9" i="2"/>
  <c r="K9" i="2"/>
  <c r="L9" i="2"/>
  <c r="N56" i="2" l="1"/>
  <c r="N57" i="2"/>
  <c r="F53" i="2"/>
  <c r="M57" i="2"/>
  <c r="M56" i="2"/>
  <c r="F54" i="2"/>
  <c r="E38" i="2"/>
  <c r="D24" i="2"/>
  <c r="D25" i="2"/>
  <c r="D26" i="2"/>
  <c r="D23" i="2"/>
  <c r="G51" i="2"/>
  <c r="L57" i="2" s="1"/>
  <c r="H36" i="2"/>
  <c r="G21" i="2"/>
  <c r="D12" i="2"/>
  <c r="K57" i="2"/>
  <c r="K56" i="2"/>
  <c r="D54" i="2"/>
  <c r="J57" i="2"/>
  <c r="J56" i="2"/>
  <c r="E54" i="2"/>
  <c r="E53" i="2"/>
  <c r="D51" i="2"/>
  <c r="L40" i="2"/>
  <c r="M40" i="2" s="1"/>
  <c r="L39" i="2"/>
  <c r="M39" i="2" s="1"/>
  <c r="L38" i="2"/>
  <c r="M38" i="2" s="1"/>
  <c r="D38" i="2"/>
  <c r="D39" i="2" s="1"/>
  <c r="D36" i="2"/>
  <c r="J26" i="2"/>
  <c r="K26" i="2" s="1"/>
  <c r="J25" i="2"/>
  <c r="K25" i="2" s="1"/>
  <c r="J24" i="2"/>
  <c r="K24" i="2" s="1"/>
  <c r="J23" i="2"/>
  <c r="K23" i="2" s="1"/>
  <c r="D21" i="2"/>
  <c r="D17" i="2"/>
  <c r="D15" i="2"/>
  <c r="D10" i="2"/>
  <c r="D9" i="2"/>
  <c r="D8" i="2"/>
  <c r="D7" i="2"/>
  <c r="D6" i="2"/>
  <c r="D5" i="2"/>
  <c r="D4" i="2"/>
  <c r="D3" i="2"/>
  <c r="D16" i="2" l="1"/>
  <c r="D57" i="2" s="1"/>
  <c r="L56" i="2"/>
  <c r="K36" i="2"/>
  <c r="N38" i="2"/>
  <c r="D61" i="2"/>
  <c r="D60" i="2"/>
  <c r="D40" i="2"/>
  <c r="D56" i="2" l="1"/>
  <c r="E40" i="2"/>
  <c r="N40" i="2" s="1"/>
  <c r="O40" i="2" s="1"/>
  <c r="E39" i="2"/>
  <c r="N39" i="2" s="1"/>
  <c r="O39" i="2" s="1"/>
  <c r="D18" i="2"/>
  <c r="F38" i="2"/>
  <c r="F39" i="2" l="1"/>
  <c r="F40" i="2"/>
</calcChain>
</file>

<file path=xl/sharedStrings.xml><?xml version="1.0" encoding="utf-8"?>
<sst xmlns="http://schemas.openxmlformats.org/spreadsheetml/2006/main" count="93" uniqueCount="63">
  <si>
    <t>B</t>
    <phoneticPr fontId="1" type="noConversion"/>
  </si>
  <si>
    <t>ta(s)</t>
    <phoneticPr fontId="1" type="noConversion"/>
  </si>
  <si>
    <t>t5(s)</t>
    <phoneticPr fontId="1" type="noConversion"/>
  </si>
  <si>
    <t>t1(s)</t>
  </si>
  <si>
    <t>t2(s)</t>
  </si>
  <si>
    <t>t3(s)</t>
  </si>
  <si>
    <t>t4(s)</t>
  </si>
  <si>
    <t>角位移=</t>
    <phoneticPr fontId="1" type="noConversion"/>
  </si>
  <si>
    <t>α(1/t^2)</t>
  </si>
  <si>
    <t>α(1/t^2)</t>
    <phoneticPr fontId="1" type="noConversion"/>
  </si>
  <si>
    <t>m</t>
    <phoneticPr fontId="1" type="noConversion"/>
  </si>
  <si>
    <t>重量(g)</t>
    <phoneticPr fontId="1" type="noConversion"/>
  </si>
  <si>
    <t>力矩(N*m)</t>
    <phoneticPr fontId="1" type="noConversion"/>
  </si>
  <si>
    <t>C</t>
    <phoneticPr fontId="1" type="noConversion"/>
  </si>
  <si>
    <t>圓盤</t>
    <phoneticPr fontId="1" type="noConversion"/>
  </si>
  <si>
    <t>圓盤+圓環</t>
    <phoneticPr fontId="1" type="noConversion"/>
  </si>
  <si>
    <t>2圓盤</t>
    <phoneticPr fontId="1" type="noConversion"/>
  </si>
  <si>
    <t>轉動體</t>
    <phoneticPr fontId="1" type="noConversion"/>
  </si>
  <si>
    <t>I(kg*m^2)</t>
    <phoneticPr fontId="1" type="noConversion"/>
  </si>
  <si>
    <t>t1(s)</t>
    <phoneticPr fontId="1" type="noConversion"/>
  </si>
  <si>
    <t>D</t>
    <phoneticPr fontId="1" type="noConversion"/>
  </si>
  <si>
    <t>圓盤+1kg圓柱_(d/2)</t>
    <phoneticPr fontId="1" type="noConversion"/>
  </si>
  <si>
    <t>圓盤+250g圓柱_(d)</t>
    <phoneticPr fontId="1" type="noConversion"/>
  </si>
  <si>
    <t>理想I(1kg圓柱)=</t>
    <phoneticPr fontId="1" type="noConversion"/>
  </si>
  <si>
    <t>理想I(250g圓柱)=</t>
    <phoneticPr fontId="1" type="noConversion"/>
  </si>
  <si>
    <t>1kg圓柱</t>
    <phoneticPr fontId="1" type="noConversion"/>
  </si>
  <si>
    <t>250g圓柱</t>
    <phoneticPr fontId="1" type="noConversion"/>
  </si>
  <si>
    <t>重量(kg)</t>
    <phoneticPr fontId="1" type="noConversion"/>
  </si>
  <si>
    <t>半徑(m)</t>
    <phoneticPr fontId="1" type="noConversion"/>
  </si>
  <si>
    <t>d(m)</t>
    <phoneticPr fontId="1" type="noConversion"/>
  </si>
  <si>
    <t>kg*m^2</t>
    <phoneticPr fontId="1" type="noConversion"/>
  </si>
  <si>
    <t>圈數</t>
    <phoneticPr fontId="1" type="noConversion"/>
  </si>
  <si>
    <t>θ</t>
    <phoneticPr fontId="1" type="noConversion"/>
  </si>
  <si>
    <t>2θ</t>
    <phoneticPr fontId="1" type="noConversion"/>
  </si>
  <si>
    <t>t1</t>
    <phoneticPr fontId="1" type="noConversion"/>
  </si>
  <si>
    <t>t2</t>
    <phoneticPr fontId="1" type="noConversion"/>
  </si>
  <si>
    <t>t3</t>
  </si>
  <si>
    <t>t4</t>
  </si>
  <si>
    <t>t5</t>
  </si>
  <si>
    <t>ta=</t>
    <phoneticPr fontId="1" type="noConversion"/>
  </si>
  <si>
    <t>ta^2=</t>
    <phoneticPr fontId="1" type="noConversion"/>
  </si>
  <si>
    <t>m(秤盤)=</t>
    <phoneticPr fontId="1" type="noConversion"/>
  </si>
  <si>
    <t>kg</t>
    <phoneticPr fontId="1" type="noConversion"/>
  </si>
  <si>
    <t>m(圓盤)=</t>
    <phoneticPr fontId="1" type="noConversion"/>
  </si>
  <si>
    <t>r(尼龍線)=</t>
    <phoneticPr fontId="1" type="noConversion"/>
  </si>
  <si>
    <t>r(圓盤)=</t>
    <phoneticPr fontId="1" type="noConversion"/>
  </si>
  <si>
    <t>α=</t>
    <phoneticPr fontId="1" type="noConversion"/>
  </si>
  <si>
    <t>1/t^2</t>
    <phoneticPr fontId="1" type="noConversion"/>
  </si>
  <si>
    <t>I(圓盤)=</t>
    <phoneticPr fontId="1" type="noConversion"/>
  </si>
  <si>
    <t>I(支架)=</t>
    <phoneticPr fontId="1" type="noConversion"/>
  </si>
  <si>
    <t>理想I(支架)=</t>
    <phoneticPr fontId="1" type="noConversion"/>
  </si>
  <si>
    <t>百分誤差(%)=</t>
    <phoneticPr fontId="1" type="noConversion"/>
  </si>
  <si>
    <t>%</t>
    <phoneticPr fontId="1" type="noConversion"/>
  </si>
  <si>
    <t>A</t>
    <phoneticPr fontId="1" type="noConversion"/>
  </si>
  <si>
    <t>I*^-1(kg*m^2)^-1</t>
    <phoneticPr fontId="1" type="noConversion"/>
  </si>
  <si>
    <t>I*(kg*m^2)</t>
    <phoneticPr fontId="1" type="noConversion"/>
  </si>
  <si>
    <t>τ=</t>
    <phoneticPr fontId="1" type="noConversion"/>
  </si>
  <si>
    <t>r=</t>
    <phoneticPr fontId="1" type="noConversion"/>
  </si>
  <si>
    <t>總重=</t>
    <phoneticPr fontId="1" type="noConversion"/>
  </si>
  <si>
    <t>N*m</t>
  </si>
  <si>
    <t>I**α(N*m)</t>
    <phoneticPr fontId="1" type="noConversion"/>
  </si>
  <si>
    <t>I(圓盤+支架)(kg*m^2)</t>
    <phoneticPr fontId="1" type="noConversion"/>
  </si>
  <si>
    <t>I(圓柱)(kg*m^2)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</si>
</sst>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"/>
    <numFmt numFmtId="177" formatCode="0.000000"/>
    <numFmt numFmtId="178" formatCode="0.0000000"/>
    <numFmt numFmtId="179" formatCode="0.000"/>
    <numFmt numFmtId="180" formatCode="0.000_ "/>
    <numFmt numFmtId="181" formatCode="0.00000"/>
    <numFmt numFmtId="182" formatCode="0.000000000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3" fillId="0" borderId="0" xfId="0" applyFont="1">
      <alignment vertical="center"/>
    </xf>
    <xf numFmtId="18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實驗</a:t>
            </a:r>
            <a:r>
              <a:rPr lang="en-US" altLang="zh-TW">
                <a:latin typeface="Times New Roman" panose="02020603050405020304" pitchFamily="18" charset="0"/>
                <a:ea typeface="標楷體" panose="03000509000000000000" pitchFamily="65" charset="-120"/>
                <a:cs typeface="Times New Roman" panose="02020603050405020304" pitchFamily="18" charset="0"/>
              </a:rPr>
              <a:t>A</a:t>
            </a:r>
            <a:endParaRPr lang="zh-TW" altLang="en-US">
              <a:latin typeface="Times New Roman" panose="02020603050405020304" pitchFamily="18" charset="0"/>
              <a:ea typeface="標楷體" panose="03000509000000000000" pitchFamily="65" charset="-120"/>
              <a:cs typeface="Times New Roman" panose="02020603050405020304" pitchFamily="18" charset="0"/>
            </a:endParaRP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[1]工作表1!$K$2:$K$8</c:f>
              <c:numCache>
                <c:formatCode>General</c:formatCode>
                <c:ptCount val="7"/>
                <c:pt idx="0">
                  <c:v>9.523396</c:v>
                </c:pt>
                <c:pt idx="1">
                  <c:v>23.367556000000004</c:v>
                </c:pt>
                <c:pt idx="2">
                  <c:v>50.694400000000002</c:v>
                </c:pt>
                <c:pt idx="3">
                  <c:v>83.539599999999979</c:v>
                </c:pt>
                <c:pt idx="4">
                  <c:v>123.21</c:v>
                </c:pt>
                <c:pt idx="5">
                  <c:v>199.09209999999999</c:v>
                </c:pt>
                <c:pt idx="6">
                  <c:v>274.23360000000008</c:v>
                </c:pt>
              </c:numCache>
            </c:numRef>
          </c:xVal>
          <c:yVal>
            <c:numRef>
              <c:f>[1]工作表1!$D$2:$D$8</c:f>
              <c:numCache>
                <c:formatCode>General</c:formatCode>
                <c:ptCount val="7"/>
                <c:pt idx="0">
                  <c:v>1.5707963267948966</c:v>
                </c:pt>
                <c:pt idx="1">
                  <c:v>3.1415926535897931</c:v>
                </c:pt>
                <c:pt idx="2">
                  <c:v>6.2831853071795862</c:v>
                </c:pt>
                <c:pt idx="3">
                  <c:v>9.4247779607693793</c:v>
                </c:pt>
                <c:pt idx="4">
                  <c:v>12.566370614359172</c:v>
                </c:pt>
                <c:pt idx="5">
                  <c:v>18.849555921538759</c:v>
                </c:pt>
                <c:pt idx="6">
                  <c:v>25.132741228718345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275-43E3-8770-AFBCCAD8C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5000240"/>
        <c:axId val="-1725004048"/>
      </c:scatterChart>
      <c:valAx>
        <c:axId val="-172500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725004048"/>
        <c:crosses val="autoZero"/>
        <c:crossBetween val="midCat"/>
      </c:valAx>
      <c:valAx>
        <c:axId val="-172500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725000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實驗</a:t>
            </a:r>
            <a:r>
              <a:rPr lang="en-US" altLang="zh-TW"/>
              <a:t>C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'1'!$F$38:$F$40</c:f>
              <c:numCache>
                <c:formatCode>0.000000</c:formatCode>
                <c:ptCount val="3"/>
                <c:pt idx="0">
                  <c:v>84.139833303351907</c:v>
                </c:pt>
                <c:pt idx="1">
                  <c:v>32.965246473479795</c:v>
                </c:pt>
                <c:pt idx="2">
                  <c:v>43.224594153343801</c:v>
                </c:pt>
              </c:numCache>
            </c:numRef>
          </c:xVal>
          <c:yVal>
            <c:numRef>
              <c:f>'1'!$M$38:$M$40</c:f>
              <c:numCache>
                <c:formatCode>General</c:formatCode>
                <c:ptCount val="3"/>
                <c:pt idx="0">
                  <c:v>0.29889857990397023</c:v>
                </c:pt>
                <c:pt idx="1">
                  <c:v>0.12894353451857163</c:v>
                </c:pt>
                <c:pt idx="2">
                  <c:v>0.16974971765534072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E6E-43D1-87BF-5F87D01C0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4999152"/>
        <c:axId val="-1724998608"/>
      </c:scatterChart>
      <c:valAx>
        <c:axId val="-172499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4998608"/>
        <c:crosses val="autoZero"/>
        <c:crossBetween val="midCat"/>
      </c:valAx>
      <c:valAx>
        <c:axId val="-172499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499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實驗</a:t>
            </a:r>
            <a:r>
              <a:rPr lang="en-US" altLang="zh-TW"/>
              <a:t>B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'1'!$K$23:$K$26</c:f>
              <c:numCache>
                <c:formatCode>General</c:formatCode>
                <c:ptCount val="4"/>
                <c:pt idx="0">
                  <c:v>0.10199148295072781</c:v>
                </c:pt>
                <c:pt idx="1">
                  <c:v>0.18543817329453816</c:v>
                </c:pt>
                <c:pt idx="2">
                  <c:v>0.29889857990397023</c:v>
                </c:pt>
                <c:pt idx="3">
                  <c:v>0.3939312988013749</c:v>
                </c:pt>
              </c:numCache>
            </c:numRef>
          </c:xVal>
          <c:yVal>
            <c:numRef>
              <c:f>'1'!$D$23:$D$26</c:f>
              <c:numCache>
                <c:formatCode>General</c:formatCode>
                <c:ptCount val="4"/>
                <c:pt idx="0">
                  <c:v>1.0423125000000001E-3</c:v>
                </c:pt>
                <c:pt idx="1">
                  <c:v>2.0846250000000001E-3</c:v>
                </c:pt>
                <c:pt idx="2">
                  <c:v>3.1269375000000004E-3</c:v>
                </c:pt>
                <c:pt idx="3">
                  <c:v>4.1692500000000002E-3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D1B-4E28-AF21-F71B9EB53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24998064"/>
        <c:axId val="-1725005136"/>
      </c:scatterChart>
      <c:valAx>
        <c:axId val="-172499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5005136"/>
        <c:crosses val="autoZero"/>
        <c:crossBetween val="midCat"/>
      </c:valAx>
      <c:valAx>
        <c:axId val="-172500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-172499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381001</xdr:colOff>
      <xdr:row>1</xdr:row>
      <xdr:rowOff>195263</xdr:rowOff>
    </xdr:from>
    <xdr:to>
      <xdr:col>17</xdr:col>
      <xdr:colOff>47625</xdr:colOff>
      <xdr:row>12</xdr:row>
      <xdr:rowOff>57151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xmlns="" id="{7C795BDD-199C-47AF-A22E-27E6A5C0E8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72993</xdr:colOff>
      <xdr:row>26</xdr:row>
      <xdr:rowOff>84612</xdr:rowOff>
    </xdr:from>
    <xdr:ext cx="4765707" cy="4528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xmlns="" id="{D0CEF467-1A8C-4BED-84CA-F4E15A74F8D9}"/>
                </a:ext>
              </a:extLst>
            </xdr:cNvPr>
            <xdr:cNvSpPr txBox="1"/>
          </xdr:nvSpPr>
          <xdr:spPr>
            <a:xfrm>
              <a:off x="1025493" y="5532912"/>
              <a:ext cx="4765707" cy="45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y</m:t>
                  </m:r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 = 0.0105</m:t>
                  </m:r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x</m:t>
                  </m:r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 + 3</m:t>
                  </m:r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E</m:t>
                  </m:r>
                  <m:r>
                    <m:rPr>
                      <m:nor/>
                    </m:rPr>
                    <a:rPr lang="en-US" altLang="zh-TW" sz="1400" baseline="0">
                      <a:effectLst/>
                    </a:rPr>
                    <m:t>−05</m:t>
                  </m:r>
                </m:oMath>
              </a14:m>
              <a:r>
                <a:rPr lang="zh-TW" altLang="en-US" sz="1400"/>
                <a:t> </a:t>
              </a:r>
              <a:endParaRPr lang="en-US" altLang="zh-TW" sz="1400"/>
            </a:p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US" altLang="zh-TW" sz="1400" i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</m:t>
                  </m:r>
                  <m:r>
                    <a:rPr lang="en-US" altLang="zh-TW" sz="1400" i="1" baseline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m:rPr>
                      <m:nor/>
                    </m:rPr>
                    <a:rPr lang="en-US" altLang="zh-TW" sz="14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3</m:t>
                  </m:r>
                  <m:r>
                    <m:rPr>
                      <m:nor/>
                    </m:rPr>
                    <a:rPr lang="en-US" altLang="zh-TW" sz="14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altLang="zh-TW" sz="1400" i="1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</m:t>
                  </m:r>
                  <m:r>
                    <m:rPr>
                      <m:nor/>
                    </m:rPr>
                    <a:rPr lang="en-US" altLang="zh-TW" sz="14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05</m:t>
                  </m:r>
                </m:oMath>
              </a14:m>
              <a:r>
                <a:rPr lang="en-US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TW" altLang="en-US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此數極小可視為</a:t>
              </a:r>
              <a:r>
                <a:rPr lang="en-US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，因此接近正比</a:t>
              </a:r>
              <a:r>
                <a:rPr lang="zh-TW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TW" altLang="en-US" sz="1400"/>
            </a:p>
          </xdr:txBody>
        </xdr:sp>
      </mc:Choice>
      <mc:Fallback xmlns="">
        <xdr:sp macro="" textlink="">
          <xdr:nvSpPr>
            <xdr:cNvPr id="3" name="文字方塊 2">
              <a:extLst>
                <a:ext uri="{FF2B5EF4-FFF2-40B4-BE49-F238E27FC236}">
                  <a16:creationId xmlns:a16="http://schemas.microsoft.com/office/drawing/2014/main" id="{D0CEF467-1A8C-4BED-84CA-F4E15A74F8D9}"/>
                </a:ext>
              </a:extLst>
            </xdr:cNvPr>
            <xdr:cNvSpPr txBox="1"/>
          </xdr:nvSpPr>
          <xdr:spPr>
            <a:xfrm>
              <a:off x="1025493" y="5532912"/>
              <a:ext cx="4765707" cy="4528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altLang="zh-TW" sz="1400" i="0" baseline="0">
                  <a:effectLst/>
                  <a:latin typeface="Cambria Math" panose="02040503050406030204" pitchFamily="18" charset="0"/>
                </a:rPr>
                <a:t>"y = 0.0</a:t>
              </a:r>
              <a:r>
                <a:rPr lang="en-US" altLang="zh-TW" sz="1400" b="0" i="0" baseline="0">
                  <a:effectLst/>
                  <a:latin typeface="Cambria Math" panose="02040503050406030204" pitchFamily="18" charset="0"/>
                </a:rPr>
                <a:t>105</a:t>
              </a:r>
              <a:r>
                <a:rPr lang="en-US" altLang="zh-TW" sz="1400" i="0" baseline="0">
                  <a:effectLst/>
                  <a:latin typeface="Cambria Math" panose="02040503050406030204" pitchFamily="18" charset="0"/>
                </a:rPr>
                <a:t>x + 3E−05</a:t>
              </a:r>
              <a:r>
                <a:rPr lang="zh-TW" altLang="en-US" sz="1400" i="0" baseline="0">
                  <a:effectLst/>
                </a:rPr>
                <a:t>"</a:t>
              </a:r>
              <a:r>
                <a:rPr lang="zh-TW" altLang="en-US" sz="1400"/>
                <a:t> </a:t>
              </a:r>
              <a:endParaRPr lang="en-US" altLang="zh-TW" sz="1400"/>
            </a:p>
            <a:p>
              <a:r>
                <a:rPr lang="en-US" altLang="zh-TW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"("3E−05</a:t>
              </a:r>
              <a:r>
                <a:rPr lang="zh-TW" alt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zh-TW" altLang="en-US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此數極小可視為</a:t>
              </a:r>
              <a:r>
                <a:rPr lang="en-US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</a:t>
              </a:r>
              <a:r>
                <a:rPr lang="zh-TW" altLang="en-US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，因此接近正比</a:t>
              </a:r>
              <a:r>
                <a:rPr lang="zh-TW" altLang="zh-TW" sz="14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2</xdr:col>
      <xdr:colOff>38068</xdr:colOff>
      <xdr:row>40</xdr:row>
      <xdr:rowOff>157637</xdr:rowOff>
    </xdr:from>
    <xdr:ext cx="1800257" cy="233654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292403A0-9A25-4867-8120-CDC63484934B}"/>
            </a:ext>
          </a:extLst>
        </xdr:cNvPr>
        <xdr:cNvSpPr txBox="1"/>
      </xdr:nvSpPr>
      <xdr:spPr>
        <a:xfrm>
          <a:off x="990568" y="8539637"/>
          <a:ext cx="1800257" cy="2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zh-TW" sz="1400"/>
            <a:t>I*=I+I(</a:t>
          </a:r>
          <a:r>
            <a:rPr lang="zh-TW" altLang="en-US" sz="1400"/>
            <a:t>支架</a:t>
          </a:r>
          <a:r>
            <a:rPr lang="en-US" altLang="zh-TW" sz="1400"/>
            <a:t>)</a:t>
          </a:r>
          <a:endParaRPr lang="zh-TW" altLang="en-US" sz="1400"/>
        </a:p>
      </xdr:txBody>
    </xdr:sp>
    <xdr:clientData/>
  </xdr:oneCellAnchor>
  <xdr:oneCellAnchor>
    <xdr:from>
      <xdr:col>2</xdr:col>
      <xdr:colOff>66675</xdr:colOff>
      <xdr:row>57</xdr:row>
      <xdr:rowOff>190500</xdr:rowOff>
    </xdr:from>
    <xdr:ext cx="2057400" cy="233654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932B0D48-6632-4963-8968-973F1A3A0460}"/>
            </a:ext>
          </a:extLst>
        </xdr:cNvPr>
        <xdr:cNvSpPr txBox="1"/>
      </xdr:nvSpPr>
      <xdr:spPr>
        <a:xfrm>
          <a:off x="1019175" y="12344400"/>
          <a:ext cx="2057400" cy="2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zh-TW" sz="1400">
              <a:latin typeface="+mj-lt"/>
            </a:rPr>
            <a:t>I*=I(</a:t>
          </a:r>
          <a:r>
            <a:rPr lang="zh-TW" altLang="en-US" sz="1400">
              <a:latin typeface="+mj-lt"/>
            </a:rPr>
            <a:t>圓盤</a:t>
          </a:r>
          <a:r>
            <a:rPr lang="en-US" altLang="zh-TW" sz="1400">
              <a:latin typeface="+mj-lt"/>
            </a:rPr>
            <a:t>)+I(</a:t>
          </a:r>
          <a:r>
            <a:rPr lang="zh-TW" altLang="en-US" sz="1400">
              <a:latin typeface="+mj-lt"/>
            </a:rPr>
            <a:t>支架</a:t>
          </a:r>
          <a:r>
            <a:rPr lang="en-US" altLang="zh-TW" sz="1400">
              <a:latin typeface="+mj-lt"/>
            </a:rPr>
            <a:t>)+I(</a:t>
          </a:r>
          <a:r>
            <a:rPr lang="zh-TW" altLang="en-US" sz="1400">
              <a:latin typeface="+mj-lt"/>
            </a:rPr>
            <a:t>圓柱</a:t>
          </a:r>
          <a:r>
            <a:rPr lang="en-US" altLang="zh-TW" sz="1400">
              <a:latin typeface="+mj-lt"/>
            </a:rPr>
            <a:t>)</a:t>
          </a:r>
          <a:endParaRPr lang="zh-TW" altLang="en-US" sz="1400">
            <a:latin typeface="+mj-lt"/>
          </a:endParaRPr>
        </a:p>
      </xdr:txBody>
    </xdr:sp>
    <xdr:clientData/>
  </xdr:oneCellAnchor>
  <xdr:twoCellAnchor>
    <xdr:from>
      <xdr:col>16</xdr:col>
      <xdr:colOff>28575</xdr:colOff>
      <xdr:row>33</xdr:row>
      <xdr:rowOff>0</xdr:rowOff>
    </xdr:from>
    <xdr:to>
      <xdr:col>22</xdr:col>
      <xdr:colOff>266700</xdr:colOff>
      <xdr:row>42</xdr:row>
      <xdr:rowOff>180975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xmlns="" id="{8F12EBB7-D697-4829-B95A-0A0CA5FDD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1047750</xdr:colOff>
      <xdr:row>40</xdr:row>
      <xdr:rowOff>161925</xdr:rowOff>
    </xdr:from>
    <xdr:ext cx="16002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xmlns="" id="{AF7B7D6B-C652-4E5E-85A1-1C7CE2DA9B41}"/>
                </a:ext>
              </a:extLst>
            </xdr:cNvPr>
            <xdr:cNvSpPr txBox="1"/>
          </xdr:nvSpPr>
          <xdr:spPr>
            <a:xfrm>
              <a:off x="2000250" y="8543925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l-GR" altLang="zh-TW" sz="1400" i="1">
                        <a:latin typeface="Cambria Math" panose="02040503050406030204" pitchFamily="18" charset="0"/>
                      </a:rPr>
                      <m:t>τ</m:t>
                    </m:r>
                    <m:r>
                      <a:rPr lang="en-US" altLang="zh-TW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zh-TW" sz="1400" b="0" i="1">
                        <a:latin typeface="Cambria Math" panose="02040503050406030204" pitchFamily="18" charset="0"/>
                      </a:rPr>
                      <m:t>𝑟𝑚𝑔</m:t>
                    </m:r>
                  </m:oMath>
                </m:oMathPara>
              </a14:m>
              <a:endParaRPr lang="zh-TW" altLang="en-US" sz="1400"/>
            </a:p>
          </xdr:txBody>
        </xdr:sp>
      </mc:Choice>
      <mc:Fallback xmlns="">
        <xdr:sp macro="" textlink="">
          <xdr:nvSpPr>
            <xdr:cNvPr id="8" name="文字方塊 7">
              <a:extLst>
                <a:ext uri="{FF2B5EF4-FFF2-40B4-BE49-F238E27FC236}">
                  <a16:creationId xmlns:a16="http://schemas.microsoft.com/office/drawing/2014/main" id="{AF7B7D6B-C652-4E5E-85A1-1C7CE2DA9B41}"/>
                </a:ext>
              </a:extLst>
            </xdr:cNvPr>
            <xdr:cNvSpPr txBox="1"/>
          </xdr:nvSpPr>
          <xdr:spPr>
            <a:xfrm>
              <a:off x="2000250" y="8543925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TW" sz="1400" i="0">
                  <a:latin typeface="Cambria Math" panose="02040503050406030204" pitchFamily="18" charset="0"/>
                </a:rPr>
                <a:t>τ</a:t>
              </a:r>
              <a:r>
                <a:rPr lang="en-US" altLang="zh-TW" sz="1400" b="0" i="0">
                  <a:latin typeface="Cambria Math" panose="02040503050406030204" pitchFamily="18" charset="0"/>
                </a:rPr>
                <a:t>=𝑟𝑚𝑔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41</xdr:row>
      <xdr:rowOff>0</xdr:rowOff>
    </xdr:from>
    <xdr:ext cx="16002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字方塊 8">
              <a:extLst>
                <a:ext uri="{FF2B5EF4-FFF2-40B4-BE49-F238E27FC236}">
                  <a16:creationId xmlns:a16="http://schemas.microsoft.com/office/drawing/2014/main" xmlns="" id="{261E37AC-073A-4126-93C9-C43A3E5F8FDB}"/>
                </a:ext>
              </a:extLst>
            </xdr:cNvPr>
            <xdr:cNvSpPr txBox="1"/>
          </xdr:nvSpPr>
          <xdr:spPr>
            <a:xfrm>
              <a:off x="4019550" y="85915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altLang="zh-TW" sz="1400" i="1">
                      <a:latin typeface="Cambria Math" panose="02040503050406030204" pitchFamily="18" charset="0"/>
                    </a:rPr>
                    <m:t>τ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𝑟𝑚𝑔</m:t>
                  </m:r>
                </m:oMath>
              </a14:m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Choice>
      <mc:Fallback xmlns="">
        <xdr:sp macro="" textlink="">
          <xdr:nvSpPr>
            <xdr:cNvPr id="9" name="文字方塊 8">
              <a:extLst>
                <a:ext uri="{FF2B5EF4-FFF2-40B4-BE49-F238E27FC236}">
                  <a16:creationId xmlns:a16="http://schemas.microsoft.com/office/drawing/2014/main" id="{261E37AC-073A-4126-93C9-C43A3E5F8FDB}"/>
                </a:ext>
              </a:extLst>
            </xdr:cNvPr>
            <xdr:cNvSpPr txBox="1"/>
          </xdr:nvSpPr>
          <xdr:spPr>
            <a:xfrm>
              <a:off x="4019550" y="85915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TW" sz="1400" i="0">
                  <a:latin typeface="Cambria Math" panose="02040503050406030204" pitchFamily="18" charset="0"/>
                </a:rPr>
                <a:t>τ</a:t>
              </a:r>
              <a:r>
                <a:rPr lang="en-US" altLang="zh-TW" sz="1400" b="0" i="0">
                  <a:latin typeface="Cambria Math" panose="02040503050406030204" pitchFamily="18" charset="0"/>
                </a:rPr>
                <a:t>=𝑟𝑚𝑔</a:t>
              </a:r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4</xdr:col>
      <xdr:colOff>0</xdr:colOff>
      <xdr:row>58</xdr:row>
      <xdr:rowOff>0</xdr:rowOff>
    </xdr:from>
    <xdr:ext cx="16002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xmlns="" id="{A3AA30D3-ADEC-4F22-8A02-B761A2D8484E}"/>
                </a:ext>
              </a:extLst>
            </xdr:cNvPr>
            <xdr:cNvSpPr txBox="1"/>
          </xdr:nvSpPr>
          <xdr:spPr>
            <a:xfrm>
              <a:off x="4019550" y="123634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altLang="zh-TW" sz="1400" i="1">
                      <a:latin typeface="Cambria Math" panose="02040503050406030204" pitchFamily="18" charset="0"/>
                    </a:rPr>
                    <m:t>τ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𝑟𝑚𝑔</m:t>
                  </m:r>
                </m:oMath>
              </a14:m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Choice>
      <mc:Fallback xmlns="">
        <xdr:sp macro="" textlink="">
          <xdr:nvSpPr>
            <xdr:cNvPr id="10" name="文字方塊 9">
              <a:extLst>
                <a:ext uri="{FF2B5EF4-FFF2-40B4-BE49-F238E27FC236}">
                  <a16:creationId xmlns:a16="http://schemas.microsoft.com/office/drawing/2014/main" id="{A3AA30D3-ADEC-4F22-8A02-B761A2D8484E}"/>
                </a:ext>
              </a:extLst>
            </xdr:cNvPr>
            <xdr:cNvSpPr txBox="1"/>
          </xdr:nvSpPr>
          <xdr:spPr>
            <a:xfrm>
              <a:off x="4019550" y="123634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TW" sz="1400" i="0">
                  <a:latin typeface="Cambria Math" panose="02040503050406030204" pitchFamily="18" charset="0"/>
                </a:rPr>
                <a:t>τ</a:t>
              </a:r>
              <a:r>
                <a:rPr lang="en-US" altLang="zh-TW" sz="1400" b="0" i="0">
                  <a:latin typeface="Cambria Math" panose="02040503050406030204" pitchFamily="18" charset="0"/>
                </a:rPr>
                <a:t>=𝑟𝑚𝑔</a:t>
              </a:r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5</xdr:col>
      <xdr:colOff>0</xdr:colOff>
      <xdr:row>11</xdr:row>
      <xdr:rowOff>0</xdr:rowOff>
    </xdr:from>
    <xdr:ext cx="16002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字方塊 10">
              <a:extLst>
                <a:ext uri="{FF2B5EF4-FFF2-40B4-BE49-F238E27FC236}">
                  <a16:creationId xmlns:a16="http://schemas.microsoft.com/office/drawing/2014/main" xmlns="" id="{BC33A216-C2ED-41E1-B5FD-111A0BD5618D}"/>
                </a:ext>
              </a:extLst>
            </xdr:cNvPr>
            <xdr:cNvSpPr txBox="1"/>
          </xdr:nvSpPr>
          <xdr:spPr>
            <a:xfrm>
              <a:off x="4848225" y="23050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l-GR" altLang="zh-TW" sz="1400" i="1">
                      <a:latin typeface="Cambria Math" panose="02040503050406030204" pitchFamily="18" charset="0"/>
                    </a:rPr>
                    <m:t>τ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=</m:t>
                  </m:r>
                  <m:r>
                    <a:rPr lang="en-US" altLang="zh-TW" sz="1400" b="0" i="1">
                      <a:latin typeface="Cambria Math" panose="02040503050406030204" pitchFamily="18" charset="0"/>
                    </a:rPr>
                    <m:t>𝑟𝑚𝑔</m:t>
                  </m:r>
                </m:oMath>
              </a14:m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Choice>
      <mc:Fallback xmlns="">
        <xdr:sp macro="" textlink="">
          <xdr:nvSpPr>
            <xdr:cNvPr id="11" name="文字方塊 10">
              <a:extLst>
                <a:ext uri="{FF2B5EF4-FFF2-40B4-BE49-F238E27FC236}">
                  <a16:creationId xmlns:a16="http://schemas.microsoft.com/office/drawing/2014/main" id="{BC33A216-C2ED-41E1-B5FD-111A0BD5618D}"/>
                </a:ext>
              </a:extLst>
            </xdr:cNvPr>
            <xdr:cNvSpPr txBox="1"/>
          </xdr:nvSpPr>
          <xdr:spPr>
            <a:xfrm>
              <a:off x="4848225" y="2305050"/>
              <a:ext cx="16002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altLang="zh-TW" sz="1400" i="0">
                  <a:latin typeface="Cambria Math" panose="02040503050406030204" pitchFamily="18" charset="0"/>
                </a:rPr>
                <a:t>τ</a:t>
              </a:r>
              <a:r>
                <a:rPr lang="en-US" altLang="zh-TW" sz="1400" b="0" i="0">
                  <a:latin typeface="Cambria Math" panose="02040503050406030204" pitchFamily="18" charset="0"/>
                </a:rPr>
                <a:t>=𝑟𝑚𝑔</a:t>
              </a:r>
              <a:r>
                <a:rPr lang="en-US" altLang="zh-TW" sz="1400"/>
                <a:t>=I**</a:t>
              </a:r>
              <a:r>
                <a:rPr lang="el-GR" altLang="zh-TW" sz="1400"/>
                <a:t>α</a:t>
              </a:r>
              <a:endParaRPr lang="zh-TW" altLang="en-US" sz="1400"/>
            </a:p>
          </xdr:txBody>
        </xdr:sp>
      </mc:Fallback>
    </mc:AlternateContent>
    <xdr:clientData/>
  </xdr:oneCellAnchor>
  <xdr:oneCellAnchor>
    <xdr:from>
      <xdr:col>5</xdr:col>
      <xdr:colOff>28575</xdr:colOff>
      <xdr:row>10</xdr:row>
      <xdr:rowOff>9525</xdr:rowOff>
    </xdr:from>
    <xdr:ext cx="1800257" cy="233654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xmlns="" id="{00F49676-FD00-40E0-9F72-FBFE15DEDC11}"/>
            </a:ext>
          </a:extLst>
        </xdr:cNvPr>
        <xdr:cNvSpPr txBox="1"/>
      </xdr:nvSpPr>
      <xdr:spPr>
        <a:xfrm>
          <a:off x="4876800" y="2105025"/>
          <a:ext cx="1800257" cy="2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altLang="zh-TW" sz="1400"/>
            <a:t>I*=I+I(</a:t>
          </a:r>
          <a:r>
            <a:rPr lang="zh-TW" altLang="en-US" sz="1400"/>
            <a:t>支架</a:t>
          </a:r>
          <a:r>
            <a:rPr lang="en-US" altLang="zh-TW" sz="1400"/>
            <a:t>)</a:t>
          </a:r>
          <a:endParaRPr lang="zh-TW" altLang="en-US" sz="1400"/>
        </a:p>
      </xdr:txBody>
    </xdr:sp>
    <xdr:clientData/>
  </xdr:oneCellAnchor>
  <xdr:twoCellAnchor>
    <xdr:from>
      <xdr:col>11</xdr:col>
      <xdr:colOff>1133474</xdr:colOff>
      <xdr:row>20</xdr:row>
      <xdr:rowOff>9525</xdr:rowOff>
    </xdr:from>
    <xdr:to>
      <xdr:col>17</xdr:col>
      <xdr:colOff>190499</xdr:colOff>
      <xdr:row>30</xdr:row>
      <xdr:rowOff>76200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xmlns="" id="{79F481F0-85A8-45C6-8A95-840485C34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%20name/Desktop/&#27963;&#38913;&#31807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1"/>
      <sheetName val="工作表2"/>
      <sheetName val="工作表3"/>
    </sheetNames>
    <sheetDataSet>
      <sheetData sheetId="0">
        <row r="2">
          <cell r="D2">
            <v>1.5707963267948966</v>
          </cell>
          <cell r="K2">
            <v>9.523396</v>
          </cell>
        </row>
        <row r="3">
          <cell r="D3">
            <v>3.1415926535897931</v>
          </cell>
          <cell r="K3">
            <v>23.367556000000004</v>
          </cell>
        </row>
        <row r="4">
          <cell r="D4">
            <v>6.2831853071795862</v>
          </cell>
          <cell r="K4">
            <v>50.694400000000002</v>
          </cell>
        </row>
        <row r="5">
          <cell r="D5">
            <v>9.4247779607693793</v>
          </cell>
          <cell r="K5">
            <v>83.539599999999979</v>
          </cell>
        </row>
        <row r="6">
          <cell r="D6">
            <v>12.566370614359172</v>
          </cell>
          <cell r="K6">
            <v>123.21</v>
          </cell>
        </row>
        <row r="7">
          <cell r="D7">
            <v>18.849555921538759</v>
          </cell>
          <cell r="K7">
            <v>199.09209999999999</v>
          </cell>
        </row>
        <row r="8">
          <cell r="D8">
            <v>25.132741228718345</v>
          </cell>
          <cell r="K8">
            <v>274.23360000000008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abSelected="1" topLeftCell="A49" workbookViewId="0">
      <selection activeCell="M56" sqref="M56"/>
    </sheetView>
  </sheetViews>
  <sheetFormatPr defaultColWidth="9.6328125" defaultRowHeight="17" x14ac:dyDescent="0.4"/>
  <cols>
    <col min="1" max="1" width="9.6328125" customWidth="1"/>
    <col min="2" max="2" width="2.90625" style="6" bestFit="1" customWidth="1"/>
    <col min="3" max="3" width="19.08984375" bestFit="1" customWidth="1"/>
    <col min="4" max="4" width="21.08984375" customWidth="1"/>
    <col min="5" max="5" width="10.90625" customWidth="1"/>
    <col min="6" max="6" width="16.36328125" customWidth="1"/>
    <col min="7" max="8" width="9" customWidth="1"/>
    <col min="9" max="10" width="6" customWidth="1"/>
    <col min="11" max="11" width="12.7265625" customWidth="1"/>
    <col min="12" max="12" width="15" bestFit="1" customWidth="1"/>
    <col min="13" max="13" width="15.453125" bestFit="1" customWidth="1"/>
    <col min="14" max="14" width="12.7265625" bestFit="1" customWidth="1"/>
    <col min="15" max="15" width="13.7265625" bestFit="1" customWidth="1"/>
  </cols>
  <sheetData>
    <row r="1" spans="2:13" x14ac:dyDescent="0.4">
      <c r="B1" s="6" t="s">
        <v>53</v>
      </c>
    </row>
    <row r="2" spans="2:13" x14ac:dyDescent="0.4">
      <c r="C2" s="6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s="6" t="s">
        <v>39</v>
      </c>
      <c r="L2" s="6" t="s">
        <v>40</v>
      </c>
    </row>
    <row r="3" spans="2:13" x14ac:dyDescent="0.4">
      <c r="C3" s="6">
        <v>0.125</v>
      </c>
      <c r="D3" s="7">
        <f t="shared" ref="D3:D9" si="0">PI()*C3*2</f>
        <v>0.78539816339744828</v>
      </c>
      <c r="E3" s="7">
        <f t="shared" ref="E3:E9" si="1">2*D3</f>
        <v>1.5707963267948966</v>
      </c>
      <c r="F3" s="1">
        <v>3.16</v>
      </c>
      <c r="G3" s="1">
        <v>2.91</v>
      </c>
      <c r="H3" s="1">
        <v>3.09</v>
      </c>
      <c r="I3" s="1">
        <v>3.09</v>
      </c>
      <c r="J3" s="1">
        <v>3.18</v>
      </c>
      <c r="K3" s="1">
        <f>AVERAGE(F3:J3)</f>
        <v>3.0859999999999999</v>
      </c>
      <c r="L3" s="8">
        <f>K3^2</f>
        <v>9.523396</v>
      </c>
    </row>
    <row r="4" spans="2:13" x14ac:dyDescent="0.4">
      <c r="C4" s="6">
        <v>0.25</v>
      </c>
      <c r="D4" s="7">
        <f t="shared" si="0"/>
        <v>1.5707963267948966</v>
      </c>
      <c r="E4" s="7">
        <f t="shared" si="1"/>
        <v>3.1415926535897931</v>
      </c>
      <c r="F4" s="1">
        <v>4.78</v>
      </c>
      <c r="G4" s="1">
        <v>4.91</v>
      </c>
      <c r="H4" s="1">
        <v>4.82</v>
      </c>
      <c r="I4" s="1">
        <v>4.78</v>
      </c>
      <c r="J4" s="1">
        <v>4.88</v>
      </c>
      <c r="K4" s="1">
        <f t="shared" ref="K4:K9" si="2">AVERAGE(F4:J4)</f>
        <v>4.8340000000000005</v>
      </c>
      <c r="L4" s="8">
        <f>K4^2</f>
        <v>23.367556000000004</v>
      </c>
      <c r="M4" s="1"/>
    </row>
    <row r="5" spans="2:13" x14ac:dyDescent="0.4">
      <c r="C5" s="6">
        <v>0.5</v>
      </c>
      <c r="D5" s="7">
        <f t="shared" si="0"/>
        <v>3.1415926535897931</v>
      </c>
      <c r="E5" s="7">
        <f t="shared" si="1"/>
        <v>6.2831853071795862</v>
      </c>
      <c r="F5" s="1">
        <v>7.13</v>
      </c>
      <c r="G5" s="1">
        <v>7.15</v>
      </c>
      <c r="H5" s="1">
        <v>7.07</v>
      </c>
      <c r="I5" s="1">
        <v>7.19</v>
      </c>
      <c r="J5" s="1">
        <v>7.06</v>
      </c>
      <c r="K5" s="1">
        <f t="shared" si="2"/>
        <v>7.12</v>
      </c>
      <c r="L5" s="8">
        <f>K5^2</f>
        <v>50.694400000000002</v>
      </c>
    </row>
    <row r="6" spans="2:13" x14ac:dyDescent="0.4">
      <c r="C6" s="6">
        <v>0.75</v>
      </c>
      <c r="D6" s="7">
        <f t="shared" si="0"/>
        <v>4.7123889803846897</v>
      </c>
      <c r="E6" s="7">
        <f t="shared" si="1"/>
        <v>9.4247779607693793</v>
      </c>
      <c r="F6" s="1">
        <v>9</v>
      </c>
      <c r="G6" s="1">
        <v>9.19</v>
      </c>
      <c r="H6" s="1">
        <v>9.1999999999999993</v>
      </c>
      <c r="I6" s="1">
        <v>9.06</v>
      </c>
      <c r="J6" s="1">
        <v>9.25</v>
      </c>
      <c r="K6" s="1">
        <f t="shared" si="2"/>
        <v>9.1399999999999988</v>
      </c>
      <c r="L6" s="8">
        <f>K6^2</f>
        <v>83.539599999999979</v>
      </c>
    </row>
    <row r="7" spans="2:13" x14ac:dyDescent="0.4">
      <c r="C7" s="6">
        <v>1</v>
      </c>
      <c r="D7" s="7">
        <f t="shared" si="0"/>
        <v>6.2831853071795862</v>
      </c>
      <c r="E7" s="7">
        <f t="shared" si="1"/>
        <v>12.566370614359172</v>
      </c>
      <c r="F7" s="1">
        <v>11.15</v>
      </c>
      <c r="G7" s="1">
        <v>10.95</v>
      </c>
      <c r="H7" s="1">
        <v>11.06</v>
      </c>
      <c r="I7" s="1">
        <v>11.22</v>
      </c>
      <c r="J7" s="1">
        <v>11.12</v>
      </c>
      <c r="K7" s="1">
        <f t="shared" si="2"/>
        <v>11.1</v>
      </c>
      <c r="L7" s="8">
        <f t="shared" ref="L7:L9" si="3">K7^2</f>
        <v>123.21</v>
      </c>
    </row>
    <row r="8" spans="2:13" x14ac:dyDescent="0.4">
      <c r="C8" s="6">
        <v>1.5</v>
      </c>
      <c r="D8" s="7">
        <f t="shared" si="0"/>
        <v>9.4247779607693793</v>
      </c>
      <c r="E8" s="7">
        <f t="shared" si="1"/>
        <v>18.849555921538759</v>
      </c>
      <c r="F8" s="1">
        <v>14.16</v>
      </c>
      <c r="G8" s="1">
        <v>14</v>
      </c>
      <c r="H8" s="1">
        <v>14.19</v>
      </c>
      <c r="I8" s="1">
        <v>13.92</v>
      </c>
      <c r="J8" s="1">
        <v>14.28</v>
      </c>
      <c r="K8" s="1">
        <f t="shared" si="2"/>
        <v>14.11</v>
      </c>
      <c r="L8" s="8">
        <f t="shared" si="3"/>
        <v>199.09209999999999</v>
      </c>
    </row>
    <row r="9" spans="2:13" x14ac:dyDescent="0.4">
      <c r="C9" s="6">
        <v>2</v>
      </c>
      <c r="D9" s="7">
        <f t="shared" si="0"/>
        <v>12.566370614359172</v>
      </c>
      <c r="E9" s="7">
        <f t="shared" si="1"/>
        <v>25.132741228718345</v>
      </c>
      <c r="F9" s="1">
        <v>16.399999999999999</v>
      </c>
      <c r="G9" s="1">
        <v>16.440000000000001</v>
      </c>
      <c r="H9" s="1">
        <v>16.84</v>
      </c>
      <c r="I9" s="1">
        <v>16.649999999999999</v>
      </c>
      <c r="J9" s="1">
        <v>16.47</v>
      </c>
      <c r="K9" s="1">
        <f t="shared" si="2"/>
        <v>16.560000000000002</v>
      </c>
      <c r="L9" s="8">
        <f t="shared" si="3"/>
        <v>274.23360000000008</v>
      </c>
    </row>
    <row r="10" spans="2:13" x14ac:dyDescent="0.4">
      <c r="C10" s="6" t="s">
        <v>41</v>
      </c>
      <c r="D10">
        <f>10/1000</f>
        <v>0.01</v>
      </c>
      <c r="E10" s="7" t="s">
        <v>42</v>
      </c>
      <c r="H10" s="1"/>
      <c r="I10" s="1"/>
      <c r="J10" s="1"/>
      <c r="K10" s="1"/>
      <c r="L10" s="1"/>
      <c r="M10" s="6"/>
    </row>
    <row r="11" spans="2:13" x14ac:dyDescent="0.4">
      <c r="C11" s="6" t="s">
        <v>43</v>
      </c>
      <c r="D11">
        <v>1</v>
      </c>
      <c r="E11" s="7" t="s">
        <v>42</v>
      </c>
      <c r="H11" s="12"/>
      <c r="I11" s="1"/>
      <c r="J11" s="1"/>
      <c r="K11" s="1"/>
      <c r="L11" s="1"/>
      <c r="M11" s="6"/>
    </row>
    <row r="12" spans="2:13" x14ac:dyDescent="0.4">
      <c r="C12" s="6" t="s">
        <v>44</v>
      </c>
      <c r="D12">
        <f>2.125/2/100</f>
        <v>1.0625000000000001E-2</v>
      </c>
      <c r="E12" s="7" t="s">
        <v>10</v>
      </c>
      <c r="H12" s="1"/>
      <c r="I12" s="12"/>
      <c r="J12" s="1"/>
      <c r="K12" s="1"/>
      <c r="L12" s="1"/>
    </row>
    <row r="13" spans="2:13" x14ac:dyDescent="0.4">
      <c r="C13" t="s">
        <v>45</v>
      </c>
      <c r="D13" s="1">
        <v>0.15</v>
      </c>
      <c r="E13" s="7" t="s">
        <v>10</v>
      </c>
      <c r="F13" s="1"/>
      <c r="H13" s="1"/>
      <c r="I13" s="1"/>
      <c r="J13" s="1"/>
      <c r="K13" s="1"/>
      <c r="L13" s="1"/>
    </row>
    <row r="14" spans="2:13" x14ac:dyDescent="0.4">
      <c r="C14" s="6" t="s">
        <v>46</v>
      </c>
      <c r="D14">
        <v>8.77E-2</v>
      </c>
      <c r="E14" t="s">
        <v>47</v>
      </c>
      <c r="H14" s="1"/>
      <c r="I14" s="2"/>
      <c r="J14" s="1"/>
      <c r="K14" s="1"/>
      <c r="L14" s="1"/>
    </row>
    <row r="15" spans="2:13" x14ac:dyDescent="0.4">
      <c r="C15" s="6" t="s">
        <v>48</v>
      </c>
      <c r="D15" s="9">
        <f>(D11*D13^2)/2</f>
        <v>1.125E-2</v>
      </c>
      <c r="E15" s="7" t="s">
        <v>30</v>
      </c>
      <c r="F15" s="9"/>
      <c r="H15" s="1"/>
      <c r="J15" s="1"/>
      <c r="K15" s="1"/>
      <c r="L15" s="1"/>
    </row>
    <row r="16" spans="2:13" x14ac:dyDescent="0.4">
      <c r="C16" s="6" t="s">
        <v>49</v>
      </c>
      <c r="D16" s="4">
        <f>((D10*9.81*D12)/D14)-D15</f>
        <v>6.3497719498289799E-4</v>
      </c>
      <c r="E16" s="7" t="s">
        <v>30</v>
      </c>
      <c r="F16" s="4"/>
      <c r="H16" s="1"/>
    </row>
    <row r="17" spans="2:11" x14ac:dyDescent="0.4">
      <c r="C17" s="6" t="s">
        <v>50</v>
      </c>
      <c r="D17">
        <f>6330*10^-7</f>
        <v>6.3299999999999999E-4</v>
      </c>
      <c r="E17" s="7" t="s">
        <v>30</v>
      </c>
    </row>
    <row r="18" spans="2:11" x14ac:dyDescent="0.4">
      <c r="C18" s="6" t="s">
        <v>51</v>
      </c>
      <c r="D18">
        <f>ABS(D16-D17)/D17*100</f>
        <v>0.31235307786698313</v>
      </c>
      <c r="E18" s="7" t="s">
        <v>52</v>
      </c>
    </row>
    <row r="19" spans="2:11" x14ac:dyDescent="0.4">
      <c r="C19" s="6"/>
    </row>
    <row r="20" spans="2:11" x14ac:dyDescent="0.4">
      <c r="B20" t="s">
        <v>0</v>
      </c>
    </row>
    <row r="21" spans="2:11" x14ac:dyDescent="0.4">
      <c r="B21"/>
      <c r="C21" t="s">
        <v>7</v>
      </c>
      <c r="D21">
        <f>PI()*2</f>
        <v>6.2831853071795862</v>
      </c>
      <c r="F21" t="s">
        <v>57</v>
      </c>
      <c r="G21" s="4">
        <f>2.125/2/100</f>
        <v>1.0625000000000001E-2</v>
      </c>
      <c r="H21" t="s">
        <v>10</v>
      </c>
    </row>
    <row r="22" spans="2:11" x14ac:dyDescent="0.4">
      <c r="B22"/>
      <c r="C22" t="s">
        <v>11</v>
      </c>
      <c r="D22" t="s">
        <v>12</v>
      </c>
      <c r="E22" t="s">
        <v>3</v>
      </c>
      <c r="F22" t="s">
        <v>4</v>
      </c>
      <c r="G22" t="s">
        <v>5</v>
      </c>
      <c r="H22" t="s">
        <v>6</v>
      </c>
      <c r="I22" t="s">
        <v>2</v>
      </c>
      <c r="J22" t="s">
        <v>1</v>
      </c>
      <c r="K22" s="3" t="s">
        <v>9</v>
      </c>
    </row>
    <row r="23" spans="2:11" x14ac:dyDescent="0.4">
      <c r="B23"/>
      <c r="C23">
        <v>10</v>
      </c>
      <c r="D23">
        <f>$G$21*(C23*9.81/1000)</f>
        <v>1.0423125000000001E-3</v>
      </c>
      <c r="E23" s="1">
        <v>11.15</v>
      </c>
      <c r="F23" s="1">
        <v>10.95</v>
      </c>
      <c r="G23" s="1">
        <v>11.06</v>
      </c>
      <c r="H23" s="1">
        <v>11.22</v>
      </c>
      <c r="I23" s="1">
        <v>11.12</v>
      </c>
      <c r="J23" s="1">
        <f>AVERAGE(E23:I23)</f>
        <v>11.1</v>
      </c>
      <c r="K23">
        <f>PI()*2*2/(J23)^2</f>
        <v>0.10199148295072781</v>
      </c>
    </row>
    <row r="24" spans="2:11" x14ac:dyDescent="0.4">
      <c r="B24"/>
      <c r="C24">
        <v>20</v>
      </c>
      <c r="D24">
        <f t="shared" ref="D24:D26" si="4">$G$21*(C24*9.81/1000)</f>
        <v>2.0846250000000001E-3</v>
      </c>
      <c r="E24" s="1">
        <v>7.97</v>
      </c>
      <c r="F24" s="1">
        <v>7.78</v>
      </c>
      <c r="G24" s="1">
        <v>7.82</v>
      </c>
      <c r="H24" s="1">
        <v>7.97</v>
      </c>
      <c r="I24" s="1">
        <v>9.6199999999999992</v>
      </c>
      <c r="J24" s="1">
        <f t="shared" ref="J24:J26" si="5">AVERAGE(E24:I24)</f>
        <v>8.2319999999999993</v>
      </c>
      <c r="K24">
        <f>PI()*2*2/(J24)^2</f>
        <v>0.18543817329453816</v>
      </c>
    </row>
    <row r="25" spans="2:11" x14ac:dyDescent="0.4">
      <c r="B25"/>
      <c r="C25">
        <v>30</v>
      </c>
      <c r="D25">
        <f t="shared" si="4"/>
        <v>3.1269375000000004E-3</v>
      </c>
      <c r="E25" s="1">
        <v>6.4</v>
      </c>
      <c r="F25" s="1">
        <v>6.57</v>
      </c>
      <c r="G25" s="1">
        <v>6.5</v>
      </c>
      <c r="H25" s="1">
        <v>6.57</v>
      </c>
      <c r="I25" s="1">
        <v>6.38</v>
      </c>
      <c r="J25" s="1">
        <f t="shared" si="5"/>
        <v>6.484</v>
      </c>
      <c r="K25">
        <f>PI()*2*2/(J25)^2</f>
        <v>0.29889857990397023</v>
      </c>
    </row>
    <row r="26" spans="2:11" x14ac:dyDescent="0.4">
      <c r="B26"/>
      <c r="C26">
        <v>40</v>
      </c>
      <c r="D26">
        <f t="shared" si="4"/>
        <v>4.1692500000000002E-3</v>
      </c>
      <c r="E26" s="1">
        <v>5.59</v>
      </c>
      <c r="F26" s="1">
        <v>5.75</v>
      </c>
      <c r="G26" s="1">
        <v>5.72</v>
      </c>
      <c r="H26" s="1">
        <v>5.56</v>
      </c>
      <c r="I26" s="1">
        <v>5.62</v>
      </c>
      <c r="J26" s="1">
        <f t="shared" si="5"/>
        <v>5.6479999999999997</v>
      </c>
      <c r="K26">
        <f>PI()*2*2/(J26)^2</f>
        <v>0.3939312988013749</v>
      </c>
    </row>
    <row r="27" spans="2:11" x14ac:dyDescent="0.4">
      <c r="B27"/>
    </row>
    <row r="28" spans="2:11" x14ac:dyDescent="0.4">
      <c r="B28"/>
    </row>
    <row r="29" spans="2:11" x14ac:dyDescent="0.4">
      <c r="B29"/>
    </row>
    <row r="30" spans="2:11" x14ac:dyDescent="0.4">
      <c r="B30"/>
    </row>
    <row r="31" spans="2:11" x14ac:dyDescent="0.4">
      <c r="B31"/>
    </row>
    <row r="32" spans="2:11" x14ac:dyDescent="0.4">
      <c r="B32"/>
    </row>
    <row r="33" spans="2:15" x14ac:dyDescent="0.4">
      <c r="B33"/>
    </row>
    <row r="34" spans="2:15" x14ac:dyDescent="0.4">
      <c r="B34"/>
    </row>
    <row r="35" spans="2:15" x14ac:dyDescent="0.4">
      <c r="B35" t="s">
        <v>13</v>
      </c>
    </row>
    <row r="36" spans="2:15" x14ac:dyDescent="0.4">
      <c r="B36"/>
      <c r="C36" t="s">
        <v>58</v>
      </c>
      <c r="D36">
        <f>(20+10)/1000</f>
        <v>0.03</v>
      </c>
      <c r="E36" t="s">
        <v>42</v>
      </c>
      <c r="G36" t="s">
        <v>57</v>
      </c>
      <c r="H36">
        <f>2.125/2/100</f>
        <v>1.0625000000000001E-2</v>
      </c>
      <c r="I36" t="s">
        <v>10</v>
      </c>
      <c r="J36" s="10" t="s">
        <v>56</v>
      </c>
      <c r="K36" s="4">
        <f>$H$36*$D$36*9.81</f>
        <v>3.1269375000000004E-3</v>
      </c>
      <c r="L36" t="s">
        <v>59</v>
      </c>
    </row>
    <row r="37" spans="2:15" x14ac:dyDescent="0.4">
      <c r="B37"/>
      <c r="C37" t="s">
        <v>17</v>
      </c>
      <c r="D37" t="s">
        <v>18</v>
      </c>
      <c r="E37" t="s">
        <v>55</v>
      </c>
      <c r="F37" t="s">
        <v>54</v>
      </c>
      <c r="G37" t="s">
        <v>19</v>
      </c>
      <c r="H37" t="s">
        <v>4</v>
      </c>
      <c r="I37" t="s">
        <v>5</v>
      </c>
      <c r="J37" t="s">
        <v>6</v>
      </c>
      <c r="K37" t="s">
        <v>2</v>
      </c>
      <c r="L37" t="s">
        <v>1</v>
      </c>
      <c r="M37" s="3" t="s">
        <v>9</v>
      </c>
      <c r="N37" t="s">
        <v>60</v>
      </c>
      <c r="O37" s="6" t="s">
        <v>51</v>
      </c>
    </row>
    <row r="38" spans="2:15" x14ac:dyDescent="0.4">
      <c r="B38"/>
      <c r="C38" t="s">
        <v>14</v>
      </c>
      <c r="D38" s="4">
        <f>1*0.15^2/2</f>
        <v>1.125E-2</v>
      </c>
      <c r="E38" s="4">
        <f>$D$16+D38</f>
        <v>1.1884977194982898E-2</v>
      </c>
      <c r="F38" s="4">
        <f>1/E38</f>
        <v>84.139833303351907</v>
      </c>
      <c r="G38" s="1">
        <v>6.4</v>
      </c>
      <c r="H38" s="1">
        <v>6.57</v>
      </c>
      <c r="I38" s="1">
        <v>6.5</v>
      </c>
      <c r="J38" s="1">
        <v>6.57</v>
      </c>
      <c r="K38" s="1">
        <v>6.38</v>
      </c>
      <c r="L38" s="1">
        <f>AVERAGE(G38:K38)</f>
        <v>6.484</v>
      </c>
      <c r="M38">
        <f>PI()*2*2/(L38)^2</f>
        <v>0.29889857990397023</v>
      </c>
      <c r="N38">
        <f>E38*M38</f>
        <v>3.5524028057714596E-3</v>
      </c>
      <c r="O38">
        <f>ABS($K$36-N38)/$K$36*100</f>
        <v>13.606453783341021</v>
      </c>
    </row>
    <row r="39" spans="2:15" x14ac:dyDescent="0.4">
      <c r="B39"/>
      <c r="C39" t="s">
        <v>15</v>
      </c>
      <c r="D39" s="4">
        <f>D38+1*(0.12^2+0.15^2)/2</f>
        <v>2.9700000000000001E-2</v>
      </c>
      <c r="E39" s="4">
        <f t="shared" ref="E39:E40" si="6">$D$16+D39</f>
        <v>3.0334977194982897E-2</v>
      </c>
      <c r="F39" s="4">
        <f>1/E39</f>
        <v>32.965246473479795</v>
      </c>
      <c r="G39" s="1">
        <v>9.81</v>
      </c>
      <c r="H39" s="1">
        <v>9.9</v>
      </c>
      <c r="I39" s="1">
        <v>10.029999999999999</v>
      </c>
      <c r="J39" s="1">
        <v>9.8699999999999992</v>
      </c>
      <c r="K39" s="1">
        <v>9.75</v>
      </c>
      <c r="L39" s="1">
        <f>AVERAGE(G39:K39)</f>
        <v>9.8719999999999999</v>
      </c>
      <c r="M39">
        <f>PI()*2*2/(L39)^2</f>
        <v>0.12894353451857163</v>
      </c>
      <c r="N39">
        <f>E39*M39</f>
        <v>3.9114991790613601E-3</v>
      </c>
      <c r="O39">
        <f t="shared" ref="O39:O40" si="7">ABS($K$36-N39)/$K$36*100</f>
        <v>25.090417671007479</v>
      </c>
    </row>
    <row r="40" spans="2:15" x14ac:dyDescent="0.4">
      <c r="B40"/>
      <c r="C40" t="s">
        <v>16</v>
      </c>
      <c r="D40" s="4">
        <f>D38*2</f>
        <v>2.2499999999999999E-2</v>
      </c>
      <c r="E40" s="4">
        <f t="shared" si="6"/>
        <v>2.3134977194982899E-2</v>
      </c>
      <c r="F40" s="4">
        <f t="shared" ref="F40" si="8">1/E40</f>
        <v>43.224594153343801</v>
      </c>
      <c r="G40" s="1">
        <v>8.81</v>
      </c>
      <c r="H40" s="1">
        <v>8.69</v>
      </c>
      <c r="I40" s="1">
        <v>8.56</v>
      </c>
      <c r="J40" s="1">
        <v>8.56</v>
      </c>
      <c r="K40" s="1">
        <v>8.4</v>
      </c>
      <c r="L40" s="1">
        <f>AVERAGE(G40:K40)</f>
        <v>8.604000000000001</v>
      </c>
      <c r="M40">
        <f>PI()*2*2/(L40)^2</f>
        <v>0.16974971765534072</v>
      </c>
      <c r="N40">
        <f>E40*M40</f>
        <v>3.9271558468110934E-3</v>
      </c>
      <c r="O40">
        <f t="shared" si="7"/>
        <v>25.591120603181</v>
      </c>
    </row>
    <row r="41" spans="2:15" x14ac:dyDescent="0.4">
      <c r="B41"/>
      <c r="E41" s="4"/>
      <c r="F41" s="4"/>
    </row>
    <row r="42" spans="2:15" x14ac:dyDescent="0.4">
      <c r="B42"/>
    </row>
    <row r="43" spans="2:15" x14ac:dyDescent="0.4">
      <c r="B43"/>
    </row>
    <row r="44" spans="2:15" x14ac:dyDescent="0.4">
      <c r="B44"/>
    </row>
    <row r="45" spans="2:15" x14ac:dyDescent="0.4">
      <c r="B45"/>
    </row>
    <row r="46" spans="2:15" x14ac:dyDescent="0.4">
      <c r="B46"/>
    </row>
    <row r="47" spans="2:15" x14ac:dyDescent="0.4">
      <c r="B47"/>
    </row>
    <row r="48" spans="2:15" x14ac:dyDescent="0.4">
      <c r="B48"/>
    </row>
    <row r="49" spans="2:14" x14ac:dyDescent="0.4">
      <c r="B49"/>
    </row>
    <row r="50" spans="2:14" x14ac:dyDescent="0.4">
      <c r="B50" t="s">
        <v>20</v>
      </c>
    </row>
    <row r="51" spans="2:14" x14ac:dyDescent="0.4">
      <c r="B51"/>
      <c r="C51" t="s">
        <v>58</v>
      </c>
      <c r="D51">
        <f>(20+10)/1000</f>
        <v>0.03</v>
      </c>
      <c r="E51" t="s">
        <v>42</v>
      </c>
      <c r="F51" t="s">
        <v>57</v>
      </c>
      <c r="G51">
        <f>2.125/2/100</f>
        <v>1.0625000000000001E-2</v>
      </c>
      <c r="H51" t="s">
        <v>10</v>
      </c>
    </row>
    <row r="52" spans="2:14" x14ac:dyDescent="0.4">
      <c r="B52"/>
      <c r="D52" t="s">
        <v>27</v>
      </c>
      <c r="E52" t="s">
        <v>28</v>
      </c>
      <c r="F52" t="s">
        <v>29</v>
      </c>
    </row>
    <row r="53" spans="2:14" x14ac:dyDescent="0.4">
      <c r="B53"/>
      <c r="C53" t="s">
        <v>25</v>
      </c>
      <c r="D53">
        <v>1</v>
      </c>
      <c r="E53" s="2">
        <f>11/4/100</f>
        <v>2.75E-2</v>
      </c>
      <c r="F53">
        <f>15/100</f>
        <v>0.15</v>
      </c>
    </row>
    <row r="54" spans="2:14" x14ac:dyDescent="0.4">
      <c r="B54"/>
      <c r="C54" t="s">
        <v>26</v>
      </c>
      <c r="D54">
        <f>250/1000</f>
        <v>0.25</v>
      </c>
      <c r="E54" s="2">
        <f>3/2/100</f>
        <v>1.4999999999999999E-2</v>
      </c>
      <c r="F54">
        <f>15/100</f>
        <v>0.15</v>
      </c>
    </row>
    <row r="55" spans="2:14" x14ac:dyDescent="0.4">
      <c r="B55"/>
      <c r="C55" t="s">
        <v>17</v>
      </c>
      <c r="D55" t="s">
        <v>61</v>
      </c>
      <c r="E55" t="s">
        <v>19</v>
      </c>
      <c r="F55" t="s">
        <v>4</v>
      </c>
      <c r="G55" t="s">
        <v>5</v>
      </c>
      <c r="H55" t="s">
        <v>6</v>
      </c>
      <c r="I55" t="s">
        <v>2</v>
      </c>
      <c r="J55" t="s">
        <v>1</v>
      </c>
      <c r="K55" t="s">
        <v>8</v>
      </c>
      <c r="L55" t="s">
        <v>55</v>
      </c>
      <c r="M55" t="s">
        <v>62</v>
      </c>
      <c r="N55" s="6" t="s">
        <v>51</v>
      </c>
    </row>
    <row r="56" spans="2:14" x14ac:dyDescent="0.4">
      <c r="B56"/>
      <c r="C56" t="s">
        <v>21</v>
      </c>
      <c r="D56" s="5">
        <f>(1*0.15^2/2)+$D$16</f>
        <v>1.1884977194982898E-2</v>
      </c>
      <c r="E56">
        <v>8.7799999999999994</v>
      </c>
      <c r="F56">
        <v>8.44</v>
      </c>
      <c r="G56">
        <v>8.3800000000000008</v>
      </c>
      <c r="H56">
        <v>8.4700000000000006</v>
      </c>
      <c r="I56">
        <v>8.65</v>
      </c>
      <c r="J56" s="1">
        <f>AVERAGE(E56:I56)</f>
        <v>8.5440000000000005</v>
      </c>
      <c r="K56">
        <f>PI()*2*2/J56^2</f>
        <v>0.17214221412960104</v>
      </c>
      <c r="L56" s="11">
        <f>($G$51*$D$51*9.81)/K56</f>
        <v>1.816485000968918E-2</v>
      </c>
      <c r="M56" s="11">
        <f>(L56-D56)</f>
        <v>6.2798728147062822E-3</v>
      </c>
      <c r="N56">
        <f>ABS(D60-M56)/D60*100</f>
        <v>4.610062504217094</v>
      </c>
    </row>
    <row r="57" spans="2:14" x14ac:dyDescent="0.4">
      <c r="B57"/>
      <c r="C57" t="s">
        <v>22</v>
      </c>
      <c r="D57" s="5">
        <f>(1*0.15^2/2)+$D$16</f>
        <v>1.1884977194982898E-2</v>
      </c>
      <c r="E57">
        <v>8.44</v>
      </c>
      <c r="F57" s="1">
        <v>8.4</v>
      </c>
      <c r="G57">
        <v>8.65</v>
      </c>
      <c r="H57" s="1">
        <v>8.5299999999999994</v>
      </c>
      <c r="I57">
        <v>8.5299999999999994</v>
      </c>
      <c r="J57" s="1">
        <f>AVERAGE(E57:I57)</f>
        <v>8.5100000000000016</v>
      </c>
      <c r="K57">
        <f>PI()*2*2/J57^2</f>
        <v>0.17352048139065213</v>
      </c>
      <c r="L57" s="11">
        <f>($G$51*$D$51*9.81)/K57</f>
        <v>1.8020567226068419E-2</v>
      </c>
      <c r="M57" s="11">
        <f>(L57-D57)</f>
        <v>6.1355900310855211E-3</v>
      </c>
      <c r="N57">
        <f>ABS(D61-M57)/D61*100</f>
        <v>8.5344836897383463</v>
      </c>
    </row>
    <row r="58" spans="2:14" x14ac:dyDescent="0.4">
      <c r="B58"/>
    </row>
    <row r="59" spans="2:14" x14ac:dyDescent="0.4">
      <c r="B59"/>
    </row>
    <row r="60" spans="2:14" x14ac:dyDescent="0.4">
      <c r="B60"/>
      <c r="C60" t="s">
        <v>23</v>
      </c>
      <c r="D60">
        <f>(D53*E53^2/2)+(D53*(F53/2)^2)</f>
        <v>6.0031249999999998E-3</v>
      </c>
      <c r="E60" t="s">
        <v>30</v>
      </c>
    </row>
    <row r="61" spans="2:14" x14ac:dyDescent="0.4">
      <c r="B61"/>
      <c r="C61" t="s">
        <v>24</v>
      </c>
      <c r="D61">
        <f>(D54*E54^2/2)+(D54*(F54)^2)</f>
        <v>5.6531250000000002E-3</v>
      </c>
      <c r="E61" t="s">
        <v>30</v>
      </c>
    </row>
    <row r="62" spans="2:14" x14ac:dyDescent="0.4">
      <c r="B62"/>
    </row>
    <row r="63" spans="2:14" x14ac:dyDescent="0.4">
      <c r="B63"/>
    </row>
    <row r="64" spans="2:14" x14ac:dyDescent="0.4">
      <c r="B6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Shan-Chi Yu</dc:creator>
  <cp:lastModifiedBy>張娟鳴</cp:lastModifiedBy>
  <dcterms:created xsi:type="dcterms:W3CDTF">2018-12-04T01:30:23Z</dcterms:created>
  <dcterms:modified xsi:type="dcterms:W3CDTF">2019-12-08T15:11:00Z</dcterms:modified>
</cp:coreProperties>
</file>