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\Desktop\普物實驗\"/>
    </mc:Choice>
  </mc:AlternateContent>
  <bookViews>
    <workbookView xWindow="0" yWindow="0" windowWidth="19200" windowHeight="7290"/>
  </bookViews>
  <sheets>
    <sheet name="楊氏係數測量" sheetId="1" r:id="rId1"/>
    <sheet name="扭擺" sheetId="2" r:id="rId2"/>
    <sheet name="討論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3" l="1"/>
  <c r="G13" i="3" s="1"/>
  <c r="H13" i="3" s="1"/>
  <c r="F14" i="3"/>
  <c r="G14" i="3" s="1"/>
  <c r="H14" i="3" s="1"/>
  <c r="F15" i="3"/>
  <c r="G15" i="3" s="1"/>
  <c r="H15" i="3" s="1"/>
  <c r="F16" i="3"/>
  <c r="G16" i="3" s="1"/>
  <c r="H16" i="3" s="1"/>
  <c r="F17" i="3"/>
  <c r="G17" i="3" s="1"/>
  <c r="H17" i="3" s="1"/>
  <c r="F18" i="3"/>
  <c r="G18" i="3" s="1"/>
  <c r="H18" i="3" s="1"/>
  <c r="F19" i="3"/>
  <c r="G19" i="3" s="1"/>
  <c r="H19" i="3" s="1"/>
  <c r="F20" i="3"/>
  <c r="G20" i="3" s="1"/>
  <c r="H20" i="3" s="1"/>
  <c r="F21" i="3"/>
  <c r="G21" i="3" s="1"/>
  <c r="H21" i="3" s="1"/>
  <c r="F22" i="3"/>
  <c r="G22" i="3" s="1"/>
  <c r="H22" i="3" s="1"/>
  <c r="F12" i="3"/>
  <c r="G12" i="3" s="1"/>
  <c r="H12" i="3" s="1"/>
  <c r="G36" i="2" l="1"/>
  <c r="G35" i="2"/>
  <c r="G34" i="2"/>
  <c r="G33" i="2"/>
  <c r="G32" i="2"/>
  <c r="G37" i="2" s="1"/>
  <c r="G26" i="2"/>
  <c r="G25" i="2"/>
  <c r="G24" i="2"/>
  <c r="G23" i="2"/>
  <c r="G22" i="2"/>
  <c r="G16" i="2"/>
  <c r="G15" i="2"/>
  <c r="G14" i="2"/>
  <c r="G13" i="2"/>
  <c r="G12" i="2"/>
  <c r="C22" i="2"/>
  <c r="C23" i="2"/>
  <c r="C24" i="2"/>
  <c r="C25" i="2"/>
  <c r="C26" i="2"/>
  <c r="C27" i="2"/>
  <c r="C36" i="2"/>
  <c r="C35" i="2"/>
  <c r="C34" i="2"/>
  <c r="C33" i="2"/>
  <c r="C32" i="2"/>
  <c r="C37" i="2" s="1"/>
  <c r="C16" i="2"/>
  <c r="C15" i="2"/>
  <c r="C14" i="2"/>
  <c r="C13" i="2"/>
  <c r="C17" i="2" s="1"/>
  <c r="C12" i="2"/>
  <c r="D3" i="2"/>
  <c r="D8" i="2" s="1"/>
  <c r="B38" i="2" l="1"/>
  <c r="F38" i="2"/>
  <c r="B18" i="2"/>
  <c r="G27" i="2"/>
  <c r="G17" i="2"/>
  <c r="F18" i="2" s="1"/>
  <c r="D5" i="2"/>
  <c r="B28" i="2" l="1"/>
  <c r="B39" i="2" s="1"/>
  <c r="B40" i="2" s="1"/>
  <c r="F28" i="2"/>
  <c r="F39" i="2" s="1"/>
  <c r="F40" i="2" s="1"/>
  <c r="E2" i="1"/>
  <c r="F4" i="1" s="1"/>
  <c r="O5" i="1"/>
  <c r="O6" i="1" s="1"/>
  <c r="L5" i="1"/>
  <c r="I19" i="1"/>
  <c r="J19" i="1"/>
  <c r="F32" i="1" s="1"/>
  <c r="G32" i="1" s="1"/>
  <c r="K19" i="1"/>
  <c r="H32" i="1" s="1"/>
  <c r="I32" i="1" s="1"/>
  <c r="L19" i="1"/>
  <c r="J32" i="1" s="1"/>
  <c r="K32" i="1" s="1"/>
  <c r="M19" i="1"/>
  <c r="L32" i="1" s="1"/>
  <c r="M32" i="1" s="1"/>
  <c r="I18" i="1"/>
  <c r="J18" i="1"/>
  <c r="F31" i="1" s="1"/>
  <c r="G31" i="1" s="1"/>
  <c r="K18" i="1"/>
  <c r="H31" i="1" s="1"/>
  <c r="I31" i="1" s="1"/>
  <c r="L18" i="1"/>
  <c r="J31" i="1" s="1"/>
  <c r="K31" i="1" s="1"/>
  <c r="M18" i="1"/>
  <c r="L31" i="1" s="1"/>
  <c r="M31" i="1" s="1"/>
  <c r="I17" i="1"/>
  <c r="J17" i="1"/>
  <c r="F30" i="1" s="1"/>
  <c r="G30" i="1" s="1"/>
  <c r="K17" i="1"/>
  <c r="H30" i="1" s="1"/>
  <c r="I30" i="1" s="1"/>
  <c r="L17" i="1"/>
  <c r="J30" i="1" s="1"/>
  <c r="K30" i="1" s="1"/>
  <c r="M17" i="1"/>
  <c r="L30" i="1" s="1"/>
  <c r="M30" i="1" s="1"/>
  <c r="I16" i="1"/>
  <c r="J16" i="1"/>
  <c r="F29" i="1" s="1"/>
  <c r="G29" i="1" s="1"/>
  <c r="K16" i="1"/>
  <c r="H29" i="1" s="1"/>
  <c r="I29" i="1" s="1"/>
  <c r="L16" i="1"/>
  <c r="J29" i="1" s="1"/>
  <c r="K29" i="1" s="1"/>
  <c r="M16" i="1"/>
  <c r="L29" i="1" s="1"/>
  <c r="M29" i="1" s="1"/>
  <c r="I15" i="1"/>
  <c r="J15" i="1"/>
  <c r="F28" i="1" s="1"/>
  <c r="G28" i="1" s="1"/>
  <c r="K15" i="1"/>
  <c r="H28" i="1" s="1"/>
  <c r="I28" i="1" s="1"/>
  <c r="L15" i="1"/>
  <c r="J28" i="1" s="1"/>
  <c r="K28" i="1" s="1"/>
  <c r="M15" i="1"/>
  <c r="L28" i="1" s="1"/>
  <c r="M28" i="1" s="1"/>
  <c r="I14" i="1"/>
  <c r="J14" i="1"/>
  <c r="F27" i="1" s="1"/>
  <c r="G27" i="1" s="1"/>
  <c r="K14" i="1"/>
  <c r="H27" i="1" s="1"/>
  <c r="I27" i="1" s="1"/>
  <c r="L14" i="1"/>
  <c r="J27" i="1" s="1"/>
  <c r="K27" i="1" s="1"/>
  <c r="M14" i="1"/>
  <c r="L27" i="1" s="1"/>
  <c r="M27" i="1" s="1"/>
  <c r="I13" i="1"/>
  <c r="J13" i="1"/>
  <c r="F26" i="1" s="1"/>
  <c r="G26" i="1" s="1"/>
  <c r="K13" i="1"/>
  <c r="H26" i="1" s="1"/>
  <c r="I26" i="1" s="1"/>
  <c r="L13" i="1"/>
  <c r="J26" i="1" s="1"/>
  <c r="K26" i="1" s="1"/>
  <c r="M13" i="1"/>
  <c r="L26" i="1" s="1"/>
  <c r="M26" i="1" s="1"/>
  <c r="I12" i="1"/>
  <c r="J12" i="1"/>
  <c r="F25" i="1" s="1"/>
  <c r="G25" i="1" s="1"/>
  <c r="K12" i="1"/>
  <c r="H25" i="1" s="1"/>
  <c r="I25" i="1" s="1"/>
  <c r="L12" i="1"/>
  <c r="J25" i="1" s="1"/>
  <c r="K25" i="1" s="1"/>
  <c r="M12" i="1"/>
  <c r="L25" i="1" s="1"/>
  <c r="M25" i="1" s="1"/>
  <c r="I11" i="1"/>
  <c r="J11" i="1"/>
  <c r="F24" i="1" s="1"/>
  <c r="G24" i="1" s="1"/>
  <c r="K11" i="1"/>
  <c r="H24" i="1" s="1"/>
  <c r="I24" i="1" s="1"/>
  <c r="L11" i="1"/>
  <c r="J24" i="1" s="1"/>
  <c r="K24" i="1" s="1"/>
  <c r="M11" i="1"/>
  <c r="L24" i="1" s="1"/>
  <c r="M24" i="1" s="1"/>
  <c r="I10" i="1"/>
  <c r="J10" i="1"/>
  <c r="F23" i="1" s="1"/>
  <c r="G23" i="1" s="1"/>
  <c r="K10" i="1"/>
  <c r="H23" i="1" s="1"/>
  <c r="I23" i="1" s="1"/>
  <c r="L10" i="1"/>
  <c r="J23" i="1" s="1"/>
  <c r="K23" i="1" s="1"/>
  <c r="M10" i="1"/>
  <c r="L23" i="1" s="1"/>
  <c r="M23" i="1" s="1"/>
  <c r="I9" i="1"/>
  <c r="J9" i="1"/>
  <c r="F22" i="1" s="1"/>
  <c r="G22" i="1" s="1"/>
  <c r="K9" i="1"/>
  <c r="H22" i="1" s="1"/>
  <c r="I22" i="1" s="1"/>
  <c r="L9" i="1"/>
  <c r="J22" i="1" s="1"/>
  <c r="K22" i="1" s="1"/>
  <c r="M9" i="1"/>
  <c r="L22" i="1" s="1"/>
  <c r="M22" i="1" s="1"/>
  <c r="H18" i="1"/>
  <c r="H19" i="1"/>
  <c r="H17" i="1"/>
  <c r="H16" i="1"/>
  <c r="H15" i="1"/>
  <c r="H14" i="1"/>
  <c r="H13" i="1"/>
  <c r="H12" i="1"/>
  <c r="B25" i="1" s="1"/>
  <c r="C25" i="1" s="1"/>
  <c r="H11" i="1"/>
  <c r="H10" i="1"/>
  <c r="H9" i="1"/>
  <c r="I5" i="1"/>
  <c r="E3" i="1"/>
  <c r="D30" i="1" l="1"/>
  <c r="E30" i="1" s="1"/>
  <c r="B22" i="1"/>
  <c r="C22" i="1" s="1"/>
  <c r="B26" i="1"/>
  <c r="C26" i="1" s="1"/>
  <c r="B30" i="1"/>
  <c r="C30" i="1" s="1"/>
  <c r="D23" i="1"/>
  <c r="E23" i="1" s="1"/>
  <c r="D27" i="1"/>
  <c r="E27" i="1" s="1"/>
  <c r="D31" i="1"/>
  <c r="E31" i="1" s="1"/>
  <c r="B29" i="1"/>
  <c r="C29" i="1" s="1"/>
  <c r="D22" i="1"/>
  <c r="E22" i="1" s="1"/>
  <c r="D26" i="1"/>
  <c r="E26" i="1" s="1"/>
  <c r="B23" i="1"/>
  <c r="C23" i="1" s="1"/>
  <c r="B27" i="1"/>
  <c r="C27" i="1" s="1"/>
  <c r="B32" i="1"/>
  <c r="C32" i="1" s="1"/>
  <c r="D24" i="1"/>
  <c r="E24" i="1" s="1"/>
  <c r="D28" i="1"/>
  <c r="E28" i="1" s="1"/>
  <c r="D32" i="1"/>
  <c r="E32" i="1" s="1"/>
  <c r="B24" i="1"/>
  <c r="C24" i="1" s="1"/>
  <c r="B28" i="1"/>
  <c r="C28" i="1" s="1"/>
  <c r="B31" i="1"/>
  <c r="C31" i="1" s="1"/>
  <c r="D25" i="1"/>
  <c r="E25" i="1" s="1"/>
  <c r="N25" i="1" s="1"/>
  <c r="D29" i="1"/>
  <c r="E29" i="1" s="1"/>
  <c r="N13" i="1"/>
  <c r="N17" i="1"/>
  <c r="N10" i="1"/>
  <c r="N14" i="1"/>
  <c r="N19" i="1"/>
  <c r="N9" i="1"/>
  <c r="N12" i="1"/>
  <c r="N16" i="1"/>
  <c r="N11" i="1"/>
  <c r="N15" i="1"/>
  <c r="N18" i="1"/>
  <c r="B35" i="1"/>
  <c r="O10" i="1"/>
  <c r="O19" i="1"/>
  <c r="O11" i="1"/>
  <c r="O15" i="1"/>
  <c r="O12" i="1"/>
  <c r="O14" i="1"/>
  <c r="O16" i="1"/>
  <c r="O9" i="1"/>
  <c r="O17" i="1"/>
  <c r="O13" i="1"/>
  <c r="O18" i="1"/>
  <c r="N28" i="1" l="1"/>
  <c r="O28" i="1"/>
  <c r="N22" i="1"/>
  <c r="O22" i="1"/>
  <c r="N24" i="1"/>
  <c r="O24" i="1"/>
  <c r="N32" i="1"/>
  <c r="O32" i="1"/>
  <c r="O27" i="1"/>
  <c r="N27" i="1"/>
  <c r="N29" i="1"/>
  <c r="O29" i="1"/>
  <c r="N30" i="1"/>
  <c r="O30" i="1"/>
  <c r="O25" i="1"/>
  <c r="O31" i="1"/>
  <c r="N31" i="1"/>
  <c r="O23" i="1"/>
  <c r="N23" i="1"/>
  <c r="O26" i="1"/>
  <c r="N26" i="1"/>
</calcChain>
</file>

<file path=xl/sharedStrings.xml><?xml version="1.0" encoding="utf-8"?>
<sst xmlns="http://schemas.openxmlformats.org/spreadsheetml/2006/main" count="111" uniqueCount="82">
  <si>
    <t>位置</t>
    <phoneticPr fontId="1" type="noConversion"/>
  </si>
  <si>
    <t>標準差</t>
    <phoneticPr fontId="1" type="noConversion"/>
  </si>
  <si>
    <r>
      <t>標準差</t>
    </r>
    <r>
      <rPr>
        <sz val="12"/>
        <color theme="1"/>
        <rFont val="新細明體"/>
        <family val="1"/>
        <charset val="136"/>
      </rPr>
      <t>：</t>
    </r>
    <phoneticPr fontId="1" type="noConversion"/>
  </si>
  <si>
    <t>平均</t>
    <phoneticPr fontId="1" type="noConversion"/>
  </si>
  <si>
    <t>R(平面鏡到米尺)(cm)</t>
    <phoneticPr fontId="1" type="noConversion"/>
  </si>
  <si>
    <t>米尺讀數1(cm)</t>
    <phoneticPr fontId="1" type="noConversion"/>
  </si>
  <si>
    <t>米尺讀數2(cm)</t>
  </si>
  <si>
    <t>米尺讀數3(cm)</t>
  </si>
  <si>
    <t>米尺讀數4(cm)</t>
  </si>
  <si>
    <t>米尺讀數5(cm)</t>
  </si>
  <si>
    <t>米尺讀數6(cm)</t>
  </si>
  <si>
    <t>平均</t>
    <phoneticPr fontId="1" type="noConversion"/>
  </si>
  <si>
    <t>金屬線原長(L0)(cm)</t>
    <phoneticPr fontId="1" type="noConversion"/>
  </si>
  <si>
    <t>圓柱直徑(cm)</t>
    <phoneticPr fontId="1" type="noConversion"/>
  </si>
  <si>
    <t>平均</t>
    <phoneticPr fontId="1" type="noConversion"/>
  </si>
  <si>
    <t>半徑(r )</t>
    <phoneticPr fontId="1" type="noConversion"/>
  </si>
  <si>
    <r>
      <t>平均值(cm)</t>
    </r>
    <r>
      <rPr>
        <sz val="12"/>
        <color theme="1"/>
        <rFont val="新細明體"/>
        <family val="1"/>
        <charset val="136"/>
      </rPr>
      <t>：</t>
    </r>
    <phoneticPr fontId="1" type="noConversion"/>
  </si>
  <si>
    <r>
      <t>金屬線截面積(cm^2)</t>
    </r>
    <r>
      <rPr>
        <sz val="12"/>
        <color theme="1"/>
        <rFont val="新細明體"/>
        <family val="1"/>
        <charset val="136"/>
      </rPr>
      <t>：</t>
    </r>
    <phoneticPr fontId="1" type="noConversion"/>
  </si>
  <si>
    <t>y=L0g/As=</t>
    <phoneticPr fontId="1" type="noConversion"/>
  </si>
  <si>
    <t>m-m0(g)</t>
    <phoneticPr fontId="1" type="noConversion"/>
  </si>
  <si>
    <t>s=</t>
    <phoneticPr fontId="1" type="noConversion"/>
  </si>
  <si>
    <t>平均間隔變化D(cm)</t>
    <phoneticPr fontId="1" type="noConversion"/>
  </si>
  <si>
    <t>金屬線直徑(mm)</t>
    <phoneticPr fontId="1" type="noConversion"/>
  </si>
  <si>
    <r>
      <t>1/2Mr</t>
    </r>
    <r>
      <rPr>
        <sz val="12"/>
        <color theme="1"/>
        <rFont val="新細明體"/>
        <family val="1"/>
        <charset val="136"/>
      </rPr>
      <t>²</t>
    </r>
    <r>
      <rPr>
        <sz val="12"/>
        <color theme="1"/>
        <rFont val="新細明體"/>
        <family val="2"/>
        <charset val="136"/>
      </rPr>
      <t>=</t>
    </r>
    <phoneticPr fontId="1" type="noConversion"/>
  </si>
  <si>
    <t>圓盤轉動慣量=</t>
    <phoneticPr fontId="1" type="noConversion"/>
  </si>
  <si>
    <t>圓盤+空心圓柱轉動慣量=</t>
    <phoneticPr fontId="1" type="noConversion"/>
  </si>
  <si>
    <t>圓盤I+空心圓柱I=</t>
    <phoneticPr fontId="1" type="noConversion"/>
  </si>
  <si>
    <r>
      <t>銅棒半徑(r1)(cm)</t>
    </r>
    <r>
      <rPr>
        <sz val="12"/>
        <color theme="1"/>
        <rFont val="新細明體"/>
        <family val="1"/>
        <charset val="136"/>
      </rPr>
      <t>：</t>
    </r>
    <phoneticPr fontId="1" type="noConversion"/>
  </si>
  <si>
    <t>不鏽鋼棒半徑(r2)(cm)：</t>
    <phoneticPr fontId="1" type="noConversion"/>
  </si>
  <si>
    <r>
      <t>1/2Mr</t>
    </r>
    <r>
      <rPr>
        <sz val="12"/>
        <color theme="1"/>
        <rFont val="新細明體"/>
        <family val="1"/>
        <charset val="136"/>
      </rPr>
      <t>²</t>
    </r>
    <r>
      <rPr>
        <sz val="12"/>
        <color theme="1"/>
        <rFont val="新細明體"/>
        <family val="2"/>
        <charset val="136"/>
      </rPr>
      <t>+1/2(M1</t>
    </r>
    <r>
      <rPr>
        <sz val="12"/>
        <color theme="1"/>
        <rFont val="新細明體"/>
        <family val="1"/>
        <charset val="136"/>
      </rPr>
      <t>²</t>
    </r>
    <r>
      <rPr>
        <sz val="12"/>
        <color theme="1"/>
        <rFont val="新細明體"/>
        <family val="2"/>
        <charset val="136"/>
      </rPr>
      <t>+M2</t>
    </r>
    <r>
      <rPr>
        <sz val="12"/>
        <color theme="1"/>
        <rFont val="新細明體"/>
        <family val="1"/>
        <charset val="136"/>
      </rPr>
      <t>²</t>
    </r>
    <r>
      <rPr>
        <sz val="12"/>
        <color theme="1"/>
        <rFont val="新細明體"/>
        <family val="2"/>
        <charset val="136"/>
      </rPr>
      <t>)=</t>
    </r>
    <phoneticPr fontId="1" type="noConversion"/>
  </si>
  <si>
    <t>圓盤+圓柱轉動慣量=圓盤I+圓柱I=</t>
    <phoneticPr fontId="1" type="noConversion"/>
  </si>
  <si>
    <r>
      <t>1/2Mr</t>
    </r>
    <r>
      <rPr>
        <sz val="12"/>
        <color theme="1"/>
        <rFont val="新細明體"/>
        <family val="1"/>
        <charset val="136"/>
      </rPr>
      <t>²</t>
    </r>
    <r>
      <rPr>
        <sz val="12"/>
        <color theme="1"/>
        <rFont val="新細明體"/>
        <family val="2"/>
        <charset val="136"/>
      </rPr>
      <t>+2(圓柱I+ML</t>
    </r>
    <r>
      <rPr>
        <sz val="12"/>
        <color theme="1"/>
        <rFont val="新細明體"/>
        <family val="1"/>
        <charset val="136"/>
      </rPr>
      <t>²)=</t>
    </r>
    <phoneticPr fontId="1" type="noConversion"/>
  </si>
  <si>
    <r>
      <t>1/2Mr²+2(1/2M'r'</t>
    </r>
    <r>
      <rPr>
        <sz val="12"/>
        <color theme="1"/>
        <rFont val="新細明體"/>
        <family val="1"/>
        <charset val="136"/>
      </rPr>
      <t>²</t>
    </r>
    <r>
      <rPr>
        <sz val="12"/>
        <color theme="1"/>
        <rFont val="新細明體"/>
        <family val="2"/>
        <charset val="136"/>
        <scheme val="minor"/>
      </rPr>
      <t>+ML²)=</t>
    </r>
    <phoneticPr fontId="1" type="noConversion"/>
  </si>
  <si>
    <t>十次的時間(s)</t>
    <phoneticPr fontId="1" type="noConversion"/>
  </si>
  <si>
    <t>銅棒：</t>
    <phoneticPr fontId="1" type="noConversion"/>
  </si>
  <si>
    <t>T</t>
    <phoneticPr fontId="1" type="noConversion"/>
  </si>
  <si>
    <r>
      <t>銅棒長度(兩格夾頭之間(銅棒有露出來的部分))(cm)</t>
    </r>
    <r>
      <rPr>
        <sz val="12"/>
        <color theme="1"/>
        <rFont val="新細明體"/>
        <family val="1"/>
        <charset val="136"/>
      </rPr>
      <t>：</t>
    </r>
    <phoneticPr fontId="1" type="noConversion"/>
  </si>
  <si>
    <t>不鏽鋼棒長度(兩格夾頭之間(銅棒有露出來的部分))(cm)：</t>
    <phoneticPr fontId="1" type="noConversion"/>
  </si>
  <si>
    <t>S=</t>
    <phoneticPr fontId="1" type="noConversion"/>
  </si>
  <si>
    <t>圓盤+空心圓柱</t>
    <phoneticPr fontId="1" type="noConversion"/>
  </si>
  <si>
    <t>圓盤</t>
    <phoneticPr fontId="1" type="noConversion"/>
  </si>
  <si>
    <t>圓盤+實心圓柱</t>
    <phoneticPr fontId="1" type="noConversion"/>
  </si>
  <si>
    <t>不鏽鋼：</t>
    <phoneticPr fontId="1" type="noConversion"/>
  </si>
  <si>
    <t>圓盤質量(g)</t>
    <phoneticPr fontId="1" type="noConversion"/>
  </si>
  <si>
    <t>半徑(cm)</t>
    <phoneticPr fontId="1" type="noConversion"/>
  </si>
  <si>
    <t>空心圓柱質量(g)</t>
    <phoneticPr fontId="1" type="noConversion"/>
  </si>
  <si>
    <t>實心圓柱質量(g)</t>
    <phoneticPr fontId="1" type="noConversion"/>
  </si>
  <si>
    <t>外半徑(cm)</t>
    <phoneticPr fontId="1" type="noConversion"/>
  </si>
  <si>
    <t>半徑(cm)</t>
    <phoneticPr fontId="1" type="noConversion"/>
  </si>
  <si>
    <t>內半徑(cm)</t>
    <phoneticPr fontId="1" type="noConversion"/>
  </si>
  <si>
    <t>圓柱圓心與中心距離L(cm)</t>
    <phoneticPr fontId="1" type="noConversion"/>
  </si>
  <si>
    <t>S平均=</t>
    <phoneticPr fontId="1" type="noConversion"/>
  </si>
  <si>
    <t>S平均=</t>
    <phoneticPr fontId="1" type="noConversion"/>
  </si>
  <si>
    <r>
      <t>誤差(%)</t>
    </r>
    <r>
      <rPr>
        <sz val="12"/>
        <color theme="1"/>
        <rFont val="新細明體"/>
        <family val="1"/>
        <charset val="136"/>
      </rPr>
      <t>：</t>
    </r>
    <phoneticPr fontId="1" type="noConversion"/>
  </si>
  <si>
    <r>
      <t>誤差(%)</t>
    </r>
    <r>
      <rPr>
        <sz val="12"/>
        <color theme="1"/>
        <rFont val="新細明體"/>
        <family val="1"/>
        <charset val="136"/>
      </rPr>
      <t>：</t>
    </r>
    <phoneticPr fontId="1" type="noConversion"/>
  </si>
  <si>
    <r>
      <t>討論</t>
    </r>
    <r>
      <rPr>
        <sz val="12"/>
        <color theme="1"/>
        <rFont val="新細明體"/>
        <family val="1"/>
        <charset val="136"/>
      </rPr>
      <t>：</t>
    </r>
    <phoneticPr fontId="1" type="noConversion"/>
  </si>
  <si>
    <t>1.在測量楊氏係數的實驗時，我們犯了一些小疏失，第一個是我們應該把鏡子起始刻度對在10、11左右的位置，但實際上初始的位置是12和13，這可能是因為</t>
    <phoneticPr fontId="1" type="noConversion"/>
  </si>
  <si>
    <t>我們只有注意金屬線是否平直，但忽略了像是鏡子是否平整等細節；還有，望遠鏡旁邊的米尺有些鬆脫，這可能也是造成刻度無法對齊的原因。另外我們在放</t>
    <phoneticPr fontId="1" type="noConversion"/>
  </si>
  <si>
    <t>砝碼並紀錄讀數時，因為畫面會晃動，所以我們只能取看起來最接近平衡點的讀數，這也可能是造成誤差的原因。</t>
    <phoneticPr fontId="1" type="noConversion"/>
  </si>
  <si>
    <t>2.扭擺感覺就相對簡單，做出來的誤差也不大，但是我們在測量時，偶爾會有幾個週期比較長，一開始我們以為是數錯，後來發現可能是因為扭擺還有左右晃</t>
    <phoneticPr fontId="1" type="noConversion"/>
  </si>
  <si>
    <t>動的緣故；這會讓擺動的週期變長，所以後來當我們發現扭擺在左右晃動時，我們就會停止測量，並重新固定扭擺，好讓實驗再更精準些。</t>
    <phoneticPr fontId="1" type="noConversion"/>
  </si>
  <si>
    <t>間隔變化D(cm)</t>
    <phoneticPr fontId="1" type="noConversion"/>
  </si>
  <si>
    <t>間隔變化D(cm)</t>
    <phoneticPr fontId="1" type="noConversion"/>
  </si>
  <si>
    <t>θ</t>
    <phoneticPr fontId="1" type="noConversion"/>
  </si>
  <si>
    <t>△L</t>
    <phoneticPr fontId="1" type="noConversion"/>
  </si>
  <si>
    <t>s=7E-05</t>
    <phoneticPr fontId="1" type="noConversion"/>
  </si>
  <si>
    <t>然後，我們把相近的楊氏係數拿出來做分析，和平均值並沒有差太多。(也可能是數值接近平均值)</t>
    <phoneticPr fontId="1" type="noConversion"/>
  </si>
  <si>
    <t>以下是拿第二組和第四組分析的結果。</t>
    <phoneticPr fontId="1" type="noConversion"/>
  </si>
  <si>
    <t>△L1</t>
    <phoneticPr fontId="1" type="noConversion"/>
  </si>
  <si>
    <t>θ1</t>
    <phoneticPr fontId="1" type="noConversion"/>
  </si>
  <si>
    <t>θ2</t>
    <phoneticPr fontId="1" type="noConversion"/>
  </si>
  <si>
    <t>△L2</t>
    <phoneticPr fontId="1" type="noConversion"/>
  </si>
  <si>
    <t>θ3</t>
    <phoneticPr fontId="1" type="noConversion"/>
  </si>
  <si>
    <t>θ4</t>
    <phoneticPr fontId="1" type="noConversion"/>
  </si>
  <si>
    <t>θ5</t>
    <phoneticPr fontId="1" type="noConversion"/>
  </si>
  <si>
    <t>θ6</t>
    <phoneticPr fontId="1" type="noConversion"/>
  </si>
  <si>
    <t>△L6</t>
    <phoneticPr fontId="1" type="noConversion"/>
  </si>
  <si>
    <t>△L5</t>
    <phoneticPr fontId="1" type="noConversion"/>
  </si>
  <si>
    <t>△L4</t>
    <phoneticPr fontId="1" type="noConversion"/>
  </si>
  <si>
    <t>△L3</t>
    <phoneticPr fontId="1" type="noConversion"/>
  </si>
  <si>
    <r>
      <t>平均</t>
    </r>
    <r>
      <rPr>
        <sz val="12"/>
        <color theme="1"/>
        <rFont val="新細明體"/>
        <family val="1"/>
        <charset val="136"/>
      </rPr>
      <t>△L</t>
    </r>
    <phoneticPr fontId="1" type="noConversion"/>
  </si>
  <si>
    <t>標準差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</si>
</sst>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.000_);[Red]\(0.000\)"/>
    <numFmt numFmtId="178" formatCode="0.0000"/>
    <numFmt numFmtId="179" formatCode="0.0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7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△</a:t>
            </a:r>
            <a:r>
              <a:rPr lang="en-US" altLang="zh-TW"/>
              <a:t>L</a:t>
            </a:r>
          </a:p>
        </c:rich>
      </c:tx>
      <c:layout>
        <c:manualLayout>
          <c:xMode val="edge"/>
          <c:yMode val="edge"/>
          <c:x val="3.6270778652668409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楊氏係數測量!$N$21</c:f>
              <c:strCache>
                <c:ptCount val="1"/>
                <c:pt idx="0">
                  <c:v>平均△L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楊氏係數測量!$A$22:$A$32</c:f>
              <c:numCache>
                <c:formatCode>General</c:formatCode>
                <c:ptCount val="1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</c:numCache>
            </c:numRef>
          </c:xVal>
          <c:yVal>
            <c:numRef>
              <c:f>楊氏係數測量!$N$22:$N$32</c:f>
              <c:numCache>
                <c:formatCode>0.000_);[Red]\(0.000\)</c:formatCode>
                <c:ptCount val="11"/>
                <c:pt idx="0">
                  <c:v>0</c:v>
                </c:pt>
                <c:pt idx="1">
                  <c:v>1.472099946587979E-2</c:v>
                </c:pt>
                <c:pt idx="2">
                  <c:v>2.8191560847519313E-2</c:v>
                </c:pt>
                <c:pt idx="3">
                  <c:v>4.0741942483623679E-2</c:v>
                </c:pt>
                <c:pt idx="4">
                  <c:v>5.4069244960730199E-2</c:v>
                </c:pt>
                <c:pt idx="5">
                  <c:v>6.776428812101877E-2</c:v>
                </c:pt>
                <c:pt idx="6">
                  <c:v>8.127360288138559E-2</c:v>
                </c:pt>
                <c:pt idx="7">
                  <c:v>9.4469530362146073E-2</c:v>
                </c:pt>
                <c:pt idx="8">
                  <c:v>0.1075941323497842</c:v>
                </c:pt>
                <c:pt idx="9">
                  <c:v>0.12069969122828407</c:v>
                </c:pt>
                <c:pt idx="10">
                  <c:v>0.13376465795602874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097280"/>
        <c:axId val="1014084768"/>
      </c:scatterChart>
      <c:valAx>
        <c:axId val="101409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14084768"/>
        <c:crosses val="autoZero"/>
        <c:crossBetween val="midCat"/>
      </c:valAx>
      <c:valAx>
        <c:axId val="10140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1409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△L</a:t>
            </a:r>
          </a:p>
        </c:rich>
      </c:tx>
      <c:layout>
        <c:manualLayout>
          <c:xMode val="edge"/>
          <c:yMode val="edge"/>
          <c:x val="2.5159667541557303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討論!$H$11</c:f>
              <c:strCache>
                <c:ptCount val="1"/>
                <c:pt idx="0">
                  <c:v>△L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討論!$A$12:$A$22</c:f>
              <c:numCache>
                <c:formatCode>General</c:formatCode>
                <c:ptCount val="1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</c:numCache>
            </c:numRef>
          </c:xVal>
          <c:yVal>
            <c:numRef>
              <c:f>討論!$H$12:$H$22</c:f>
              <c:numCache>
                <c:formatCode>0.000</c:formatCode>
                <c:ptCount val="11"/>
                <c:pt idx="0">
                  <c:v>0</c:v>
                </c:pt>
                <c:pt idx="1">
                  <c:v>1.5182457086416919E-2</c:v>
                </c:pt>
                <c:pt idx="2">
                  <c:v>2.8500441577404619E-2</c:v>
                </c:pt>
                <c:pt idx="3">
                  <c:v>4.1203402913456505E-2</c:v>
                </c:pt>
                <c:pt idx="4">
                  <c:v>5.4984177320765416E-2</c:v>
                </c:pt>
                <c:pt idx="5">
                  <c:v>6.8673966194649563E-2</c:v>
                </c:pt>
                <c:pt idx="6">
                  <c:v>8.2251513163328155E-2</c:v>
                </c:pt>
                <c:pt idx="7">
                  <c:v>9.4922762755329682E-2</c:v>
                </c:pt>
                <c:pt idx="8">
                  <c:v>0.10724183470246429</c:v>
                </c:pt>
                <c:pt idx="9">
                  <c:v>0.12028193273130708</c:v>
                </c:pt>
                <c:pt idx="10">
                  <c:v>0.13292929198490988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E59-4BAD-9864-04D16948C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224272"/>
        <c:axId val="1066228624"/>
      </c:scatterChart>
      <c:valAx>
        <c:axId val="106622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66228624"/>
        <c:crosses val="autoZero"/>
        <c:crossBetween val="midCat"/>
      </c:valAx>
      <c:valAx>
        <c:axId val="106622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6622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111125</xdr:colOff>
      <xdr:row>19</xdr:row>
      <xdr:rowOff>19050</xdr:rowOff>
    </xdr:from>
    <xdr:to>
      <xdr:col>22</xdr:col>
      <xdr:colOff>415925</xdr:colOff>
      <xdr:row>31</xdr:row>
      <xdr:rowOff>171450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0.87986</cdr:x>
      <cdr:y>0.83796</cdr:y>
    </cdr:from>
    <cdr:to>
      <cdr:x>1</cdr:x>
      <cdr:y>1</cdr:y>
    </cdr:to>
    <cdr:sp macro="" textlink="">
      <cdr:nvSpPr>
        <cdr:cNvPr id="2" name="文字方塊 1"/>
        <cdr:cNvSpPr txBox="1"/>
      </cdr:nvSpPr>
      <cdr:spPr>
        <a:xfrm xmlns:a="http://schemas.openxmlformats.org/drawingml/2006/main">
          <a:off x="4022724" y="2298700"/>
          <a:ext cx="549275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TW" sz="1100"/>
            <a:t>m-m0</a:t>
          </a:r>
        </a:p>
        <a:p xmlns:a="http://schemas.openxmlformats.org/drawingml/2006/main">
          <a:endParaRPr lang="zh-TW" alt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180974</xdr:colOff>
      <xdr:row>10</xdr:row>
      <xdr:rowOff>0</xdr:rowOff>
    </xdr:from>
    <xdr:to>
      <xdr:col>14</xdr:col>
      <xdr:colOff>466725</xdr:colOff>
      <xdr:row>22</xdr:row>
      <xdr:rowOff>38100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0.88745</cdr:x>
      <cdr:y>0.8294</cdr:y>
    </cdr:from>
    <cdr:to>
      <cdr:x>1</cdr:x>
      <cdr:y>1</cdr:y>
    </cdr:to>
    <cdr:sp macro="" textlink="">
      <cdr:nvSpPr>
        <cdr:cNvPr id="2" name="文字方塊 1"/>
        <cdr:cNvSpPr txBox="1"/>
      </cdr:nvSpPr>
      <cdr:spPr>
        <a:xfrm xmlns:a="http://schemas.openxmlformats.org/drawingml/2006/main">
          <a:off x="3905251" y="2176463"/>
          <a:ext cx="495300" cy="447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TW" sz="1100"/>
            <a:t>m-m0</a:t>
          </a:r>
          <a:endParaRPr lang="zh-TW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22" workbookViewId="0">
      <selection activeCell="B35" sqref="B35"/>
    </sheetView>
  </sheetViews>
  <sheetFormatPr defaultRowHeight="17" x14ac:dyDescent="0.4"/>
  <cols>
    <col min="2" max="2" width="14.26953125" customWidth="1"/>
    <col min="3" max="3" width="14.7265625" customWidth="1"/>
    <col min="4" max="4" width="15" customWidth="1"/>
    <col min="5" max="5" width="15.26953125" customWidth="1"/>
    <col min="6" max="6" width="14.90625" customWidth="1"/>
    <col min="7" max="7" width="14.7265625" customWidth="1"/>
    <col min="8" max="8" width="14.90625" customWidth="1"/>
    <col min="11" max="11" width="8.7265625" customWidth="1"/>
    <col min="14" max="14" width="20.36328125" customWidth="1"/>
    <col min="15" max="15" width="18.26953125" customWidth="1"/>
  </cols>
  <sheetData>
    <row r="1" spans="1:17" x14ac:dyDescent="0.4">
      <c r="A1" t="s">
        <v>22</v>
      </c>
      <c r="H1" t="s">
        <v>4</v>
      </c>
      <c r="K1" t="s">
        <v>12</v>
      </c>
      <c r="N1" t="s">
        <v>13</v>
      </c>
    </row>
    <row r="2" spans="1:17" x14ac:dyDescent="0.4">
      <c r="A2" t="s">
        <v>0</v>
      </c>
      <c r="B2">
        <v>1</v>
      </c>
      <c r="C2">
        <v>2</v>
      </c>
      <c r="D2" t="s">
        <v>16</v>
      </c>
      <c r="E2" s="2">
        <f>AVERAGE(B3:C6)*0.1</f>
        <v>3.1174999999999998E-2</v>
      </c>
      <c r="H2">
        <v>1</v>
      </c>
      <c r="I2" s="1">
        <v>104.2</v>
      </c>
      <c r="K2">
        <v>1</v>
      </c>
      <c r="L2" s="1">
        <v>108.1</v>
      </c>
      <c r="N2">
        <v>1</v>
      </c>
      <c r="O2" s="2">
        <v>1.915</v>
      </c>
    </row>
    <row r="3" spans="1:17" x14ac:dyDescent="0.4">
      <c r="A3">
        <v>1</v>
      </c>
      <c r="B3" s="2">
        <v>0.31</v>
      </c>
      <c r="C3" s="2">
        <v>0.318</v>
      </c>
      <c r="D3" t="s">
        <v>2</v>
      </c>
      <c r="E3" s="3">
        <f>_xlfn.STDEV.P(B3:C6)</f>
        <v>3.5619517121937548E-3</v>
      </c>
      <c r="H3">
        <v>2</v>
      </c>
      <c r="I3" s="1">
        <v>103.9</v>
      </c>
      <c r="K3">
        <v>2</v>
      </c>
      <c r="L3" s="1">
        <v>108.05</v>
      </c>
      <c r="N3">
        <v>2</v>
      </c>
      <c r="O3" s="2">
        <v>1.905</v>
      </c>
    </row>
    <row r="4" spans="1:17" x14ac:dyDescent="0.4">
      <c r="A4">
        <v>2</v>
      </c>
      <c r="B4" s="2">
        <v>0.312</v>
      </c>
      <c r="C4" s="2">
        <v>0.30499999999999999</v>
      </c>
      <c r="D4" t="s">
        <v>17</v>
      </c>
      <c r="F4" s="5">
        <f>(E2/2)^2*PI()</f>
        <v>7.6331325791656403E-4</v>
      </c>
      <c r="H4">
        <v>3</v>
      </c>
      <c r="I4" s="1">
        <v>103.8</v>
      </c>
      <c r="K4">
        <v>3</v>
      </c>
      <c r="L4" s="1">
        <v>108.12</v>
      </c>
      <c r="N4">
        <v>3</v>
      </c>
      <c r="O4" s="2">
        <v>1.92</v>
      </c>
    </row>
    <row r="5" spans="1:17" x14ac:dyDescent="0.4">
      <c r="A5">
        <v>3</v>
      </c>
      <c r="B5" s="2">
        <v>0.315</v>
      </c>
      <c r="C5" s="2">
        <v>0.31</v>
      </c>
      <c r="H5" t="s">
        <v>3</v>
      </c>
      <c r="I5" s="1">
        <f>AVERAGE(I2:I4)</f>
        <v>103.96666666666668</v>
      </c>
      <c r="K5" t="s">
        <v>11</v>
      </c>
      <c r="L5" s="1">
        <f>AVERAGE(L2:L4)</f>
        <v>108.08999999999999</v>
      </c>
      <c r="N5" t="s">
        <v>14</v>
      </c>
      <c r="O5" s="2">
        <f>AVERAGE(O2:O4)</f>
        <v>1.9133333333333333</v>
      </c>
    </row>
    <row r="6" spans="1:17" x14ac:dyDescent="0.4">
      <c r="A6">
        <v>4</v>
      </c>
      <c r="B6" s="2">
        <v>0.312</v>
      </c>
      <c r="C6" s="2">
        <v>0.312</v>
      </c>
      <c r="N6" t="s">
        <v>15</v>
      </c>
      <c r="O6" s="2">
        <f>O5/2</f>
        <v>0.95666666666666667</v>
      </c>
    </row>
    <row r="8" spans="1:17" x14ac:dyDescent="0.4">
      <c r="A8" t="s">
        <v>19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61</v>
      </c>
      <c r="I8">
        <v>2</v>
      </c>
      <c r="J8">
        <v>3</v>
      </c>
      <c r="K8">
        <v>4</v>
      </c>
      <c r="L8">
        <v>5</v>
      </c>
      <c r="M8">
        <v>6</v>
      </c>
      <c r="N8" t="s">
        <v>21</v>
      </c>
      <c r="O8" t="s">
        <v>1</v>
      </c>
      <c r="P8" s="6"/>
      <c r="Q8" s="6"/>
    </row>
    <row r="9" spans="1:17" x14ac:dyDescent="0.4">
      <c r="A9">
        <v>0</v>
      </c>
      <c r="B9" s="1">
        <v>13</v>
      </c>
      <c r="C9" s="1">
        <v>12</v>
      </c>
      <c r="D9" s="1">
        <v>12</v>
      </c>
      <c r="E9" s="1">
        <v>12.1</v>
      </c>
      <c r="F9" s="1">
        <v>12.2</v>
      </c>
      <c r="G9" s="1">
        <v>12.6</v>
      </c>
      <c r="H9" s="1">
        <f>B9-B9</f>
        <v>0</v>
      </c>
      <c r="I9" s="1">
        <f t="shared" ref="I9:M9" si="0">C9-C9</f>
        <v>0</v>
      </c>
      <c r="J9" s="1">
        <f t="shared" si="0"/>
        <v>0</v>
      </c>
      <c r="K9" s="1">
        <f t="shared" si="0"/>
        <v>0</v>
      </c>
      <c r="L9" s="1">
        <f t="shared" si="0"/>
        <v>0</v>
      </c>
      <c r="M9" s="1">
        <f t="shared" si="0"/>
        <v>0</v>
      </c>
      <c r="N9" s="1">
        <f>AVERAGE(H9:M9)</f>
        <v>0</v>
      </c>
      <c r="O9" s="2">
        <f>_xlfn.STDEV.P(H9:M9)</f>
        <v>0</v>
      </c>
      <c r="P9" s="2"/>
      <c r="Q9" s="2"/>
    </row>
    <row r="10" spans="1:17" x14ac:dyDescent="0.4">
      <c r="A10">
        <v>200</v>
      </c>
      <c r="B10" s="1">
        <v>9.6</v>
      </c>
      <c r="C10" s="1">
        <v>8.6999999999999993</v>
      </c>
      <c r="D10" s="1">
        <v>9.1999999999999993</v>
      </c>
      <c r="E10" s="1">
        <v>8.8000000000000007</v>
      </c>
      <c r="F10" s="1">
        <v>9.1</v>
      </c>
      <c r="G10" s="1">
        <v>9.3000000000000007</v>
      </c>
      <c r="H10" s="1">
        <f>(B9-B10)</f>
        <v>3.4000000000000004</v>
      </c>
      <c r="I10" s="1">
        <f t="shared" ref="I10:M10" si="1">(C9-C10)</f>
        <v>3.3000000000000007</v>
      </c>
      <c r="J10" s="1">
        <f t="shared" si="1"/>
        <v>2.8000000000000007</v>
      </c>
      <c r="K10" s="1">
        <f t="shared" si="1"/>
        <v>3.2999999999999989</v>
      </c>
      <c r="L10" s="1">
        <f t="shared" si="1"/>
        <v>3.0999999999999996</v>
      </c>
      <c r="M10" s="1">
        <f t="shared" si="1"/>
        <v>3.2999999999999989</v>
      </c>
      <c r="N10" s="1">
        <f t="shared" ref="N10:N19" si="2">AVERAGE(H10:M10)</f>
        <v>3.1999999999999997</v>
      </c>
      <c r="O10" s="2">
        <f>_xlfn.STDEV.P(H10:M10)</f>
        <v>0.19999999999999973</v>
      </c>
      <c r="P10" s="2"/>
      <c r="Q10" s="2"/>
    </row>
    <row r="11" spans="1:17" x14ac:dyDescent="0.4">
      <c r="A11">
        <v>400</v>
      </c>
      <c r="B11" s="1">
        <v>6.6</v>
      </c>
      <c r="C11" s="1">
        <v>5.8</v>
      </c>
      <c r="D11" s="1">
        <v>6.1</v>
      </c>
      <c r="E11" s="1">
        <v>5.9</v>
      </c>
      <c r="F11" s="1">
        <v>6.3</v>
      </c>
      <c r="G11" s="1">
        <v>6.4</v>
      </c>
      <c r="H11" s="1">
        <f>(B9-B11)</f>
        <v>6.4</v>
      </c>
      <c r="I11" s="1">
        <f t="shared" ref="I11:M11" si="3">(C9-C11)</f>
        <v>6.2</v>
      </c>
      <c r="J11" s="1">
        <f t="shared" si="3"/>
        <v>5.9</v>
      </c>
      <c r="K11" s="1">
        <f t="shared" si="3"/>
        <v>6.1999999999999993</v>
      </c>
      <c r="L11" s="1">
        <f t="shared" si="3"/>
        <v>5.8999999999999995</v>
      </c>
      <c r="M11" s="1">
        <f t="shared" si="3"/>
        <v>6.1999999999999993</v>
      </c>
      <c r="N11" s="1">
        <f t="shared" si="2"/>
        <v>6.1333333333333329</v>
      </c>
      <c r="O11" s="2">
        <f>_xlfn.STDEV.P(H11:M11)</f>
        <v>0.1795054935711502</v>
      </c>
      <c r="P11" s="2"/>
      <c r="Q11" s="2"/>
    </row>
    <row r="12" spans="1:17" x14ac:dyDescent="0.4">
      <c r="A12">
        <v>600</v>
      </c>
      <c r="B12" s="1">
        <v>4</v>
      </c>
      <c r="C12" s="1">
        <v>2.95</v>
      </c>
      <c r="D12" s="1">
        <v>3.5</v>
      </c>
      <c r="E12" s="1">
        <v>3.2</v>
      </c>
      <c r="F12" s="1">
        <v>3.6</v>
      </c>
      <c r="G12" s="1">
        <v>3.4</v>
      </c>
      <c r="H12" s="1">
        <f>(B9-B12)</f>
        <v>9</v>
      </c>
      <c r="I12" s="1">
        <f t="shared" ref="I12:M12" si="4">(C9-C12)</f>
        <v>9.0500000000000007</v>
      </c>
      <c r="J12" s="1">
        <f t="shared" si="4"/>
        <v>8.5</v>
      </c>
      <c r="K12" s="1">
        <f t="shared" si="4"/>
        <v>8.8999999999999986</v>
      </c>
      <c r="L12" s="1">
        <f t="shared" si="4"/>
        <v>8.6</v>
      </c>
      <c r="M12" s="1">
        <f t="shared" si="4"/>
        <v>9.1999999999999993</v>
      </c>
      <c r="N12" s="1">
        <f t="shared" si="2"/>
        <v>8.875</v>
      </c>
      <c r="O12" s="2">
        <f>_xlfn.STDEV.P(H12:M12)</f>
        <v>0.24790791301072523</v>
      </c>
      <c r="P12" s="2"/>
      <c r="Q12" s="2"/>
    </row>
    <row r="13" spans="1:17" x14ac:dyDescent="0.4">
      <c r="A13">
        <v>800</v>
      </c>
      <c r="B13" s="1">
        <v>0.95</v>
      </c>
      <c r="C13" s="1">
        <v>0</v>
      </c>
      <c r="D13" s="1">
        <v>0.75</v>
      </c>
      <c r="E13" s="1">
        <v>0.1</v>
      </c>
      <c r="F13" s="1">
        <v>0.8</v>
      </c>
      <c r="G13" s="1">
        <v>0.5</v>
      </c>
      <c r="H13" s="1">
        <f>(B9-B13)</f>
        <v>12.05</v>
      </c>
      <c r="I13" s="1">
        <f t="shared" ref="I13:M13" si="5">(C9-C13)</f>
        <v>12</v>
      </c>
      <c r="J13" s="1">
        <f t="shared" si="5"/>
        <v>11.25</v>
      </c>
      <c r="K13" s="1">
        <f t="shared" si="5"/>
        <v>12</v>
      </c>
      <c r="L13" s="1">
        <f t="shared" si="5"/>
        <v>11.399999999999999</v>
      </c>
      <c r="M13" s="1">
        <f t="shared" si="5"/>
        <v>12.1</v>
      </c>
      <c r="N13" s="1">
        <f t="shared" si="2"/>
        <v>11.799999999999999</v>
      </c>
      <c r="O13" s="2">
        <f t="shared" ref="O13:O19" si="6">_xlfn.STDEV.P(H13:M13)</f>
        <v>0.34034296427770261</v>
      </c>
      <c r="P13" s="2"/>
      <c r="Q13" s="2"/>
    </row>
    <row r="14" spans="1:17" x14ac:dyDescent="0.4">
      <c r="A14">
        <v>1000</v>
      </c>
      <c r="B14" s="4">
        <v>-1.9</v>
      </c>
      <c r="C14" s="4">
        <v>-2.95</v>
      </c>
      <c r="D14" s="4">
        <v>-2.4</v>
      </c>
      <c r="E14" s="4">
        <v>-3</v>
      </c>
      <c r="F14" s="4">
        <v>-2.2000000000000002</v>
      </c>
      <c r="G14" s="4">
        <v>-2.6</v>
      </c>
      <c r="H14" s="1">
        <f>(B9-B14)</f>
        <v>14.9</v>
      </c>
      <c r="I14" s="1">
        <f t="shared" ref="I14:M14" si="7">(C9-C14)</f>
        <v>14.95</v>
      </c>
      <c r="J14" s="1">
        <f t="shared" si="7"/>
        <v>14.4</v>
      </c>
      <c r="K14" s="1">
        <f t="shared" si="7"/>
        <v>15.1</v>
      </c>
      <c r="L14" s="1">
        <f t="shared" si="7"/>
        <v>14.399999999999999</v>
      </c>
      <c r="M14" s="1">
        <f t="shared" si="7"/>
        <v>15.2</v>
      </c>
      <c r="N14" s="1">
        <f t="shared" si="2"/>
        <v>14.825000000000001</v>
      </c>
      <c r="O14" s="2">
        <f t="shared" si="6"/>
        <v>0.31589819035041444</v>
      </c>
      <c r="P14" s="2"/>
      <c r="Q14" s="2"/>
    </row>
    <row r="15" spans="1:17" x14ac:dyDescent="0.4">
      <c r="A15">
        <v>1200</v>
      </c>
      <c r="B15" s="4">
        <v>-5</v>
      </c>
      <c r="C15" s="4">
        <v>-6</v>
      </c>
      <c r="D15" s="4">
        <v>-5.5</v>
      </c>
      <c r="E15" s="4">
        <v>-6</v>
      </c>
      <c r="F15" s="4">
        <v>-5</v>
      </c>
      <c r="G15" s="4">
        <v>-5.6</v>
      </c>
      <c r="H15" s="1">
        <f>(B9-B15)</f>
        <v>18</v>
      </c>
      <c r="I15" s="1">
        <f t="shared" ref="I15:M15" si="8">(C9-C15)</f>
        <v>18</v>
      </c>
      <c r="J15" s="1">
        <f t="shared" si="8"/>
        <v>17.5</v>
      </c>
      <c r="K15" s="1">
        <f t="shared" si="8"/>
        <v>18.100000000000001</v>
      </c>
      <c r="L15" s="1">
        <f t="shared" si="8"/>
        <v>17.2</v>
      </c>
      <c r="M15" s="1">
        <f t="shared" si="8"/>
        <v>18.2</v>
      </c>
      <c r="N15" s="1">
        <f t="shared" si="2"/>
        <v>17.833333333333332</v>
      </c>
      <c r="O15" s="2">
        <f t="shared" si="6"/>
        <v>0.35901098714230051</v>
      </c>
      <c r="P15" s="2"/>
      <c r="Q15" s="2"/>
    </row>
    <row r="16" spans="1:17" x14ac:dyDescent="0.4">
      <c r="A16">
        <v>1400</v>
      </c>
      <c r="B16" s="4">
        <v>-8</v>
      </c>
      <c r="C16" s="4">
        <v>-8.8000000000000007</v>
      </c>
      <c r="D16" s="4">
        <v>-8.4</v>
      </c>
      <c r="E16" s="4">
        <v>-8.9</v>
      </c>
      <c r="F16" s="4">
        <v>-8.1999999999999993</v>
      </c>
      <c r="G16" s="4">
        <v>-8.6</v>
      </c>
      <c r="H16" s="1">
        <f>(B9-B16)</f>
        <v>21</v>
      </c>
      <c r="I16" s="1">
        <f t="shared" ref="I16:M16" si="9">(C9-C16)</f>
        <v>20.8</v>
      </c>
      <c r="J16" s="1">
        <f t="shared" si="9"/>
        <v>20.399999999999999</v>
      </c>
      <c r="K16" s="1">
        <f t="shared" si="9"/>
        <v>21</v>
      </c>
      <c r="L16" s="1">
        <f t="shared" si="9"/>
        <v>20.399999999999999</v>
      </c>
      <c r="M16" s="1">
        <f t="shared" si="9"/>
        <v>21.2</v>
      </c>
      <c r="N16" s="1">
        <f t="shared" si="2"/>
        <v>20.8</v>
      </c>
      <c r="O16" s="2">
        <f t="shared" si="6"/>
        <v>0.30550504633038977</v>
      </c>
      <c r="P16" s="2"/>
      <c r="Q16" s="2"/>
    </row>
    <row r="17" spans="1:18" x14ac:dyDescent="0.4">
      <c r="A17">
        <v>1600</v>
      </c>
      <c r="B17" s="4">
        <v>-11.2</v>
      </c>
      <c r="C17" s="4">
        <v>-11.5</v>
      </c>
      <c r="D17" s="4">
        <v>-11.5</v>
      </c>
      <c r="E17" s="4">
        <v>-11.8</v>
      </c>
      <c r="F17" s="4">
        <v>-11.3</v>
      </c>
      <c r="G17" s="4">
        <v>-11.5</v>
      </c>
      <c r="H17" s="1">
        <f>(B9-B17)</f>
        <v>24.2</v>
      </c>
      <c r="I17" s="1">
        <f t="shared" ref="I17:M17" si="10">(C9-C17)</f>
        <v>23.5</v>
      </c>
      <c r="J17" s="1">
        <f t="shared" si="10"/>
        <v>23.5</v>
      </c>
      <c r="K17" s="1">
        <f t="shared" si="10"/>
        <v>23.9</v>
      </c>
      <c r="L17" s="1">
        <f t="shared" si="10"/>
        <v>23.5</v>
      </c>
      <c r="M17" s="1">
        <f t="shared" si="10"/>
        <v>24.1</v>
      </c>
      <c r="N17" s="1">
        <f t="shared" si="2"/>
        <v>23.783333333333331</v>
      </c>
      <c r="O17" s="2">
        <f t="shared" si="6"/>
        <v>0.29674156357941428</v>
      </c>
      <c r="P17" s="2"/>
      <c r="Q17" s="2"/>
    </row>
    <row r="18" spans="1:18" x14ac:dyDescent="0.4">
      <c r="A18">
        <v>1800</v>
      </c>
      <c r="B18" s="4">
        <v>-14.3</v>
      </c>
      <c r="C18" s="4">
        <v>-14.5</v>
      </c>
      <c r="D18" s="4">
        <v>-14.4</v>
      </c>
      <c r="E18" s="4">
        <v>-14.8</v>
      </c>
      <c r="F18" s="4">
        <v>-14.4</v>
      </c>
      <c r="G18" s="4">
        <v>-14.5</v>
      </c>
      <c r="H18" s="1">
        <f>(B9-B18)</f>
        <v>27.3</v>
      </c>
      <c r="I18" s="1">
        <f t="shared" ref="I18:M18" si="11">(C9-C18)</f>
        <v>26.5</v>
      </c>
      <c r="J18" s="1">
        <f t="shared" si="11"/>
        <v>26.4</v>
      </c>
      <c r="K18" s="1">
        <f t="shared" si="11"/>
        <v>26.9</v>
      </c>
      <c r="L18" s="1">
        <f t="shared" si="11"/>
        <v>26.6</v>
      </c>
      <c r="M18" s="1">
        <f t="shared" si="11"/>
        <v>27.1</v>
      </c>
      <c r="N18" s="1">
        <f t="shared" si="2"/>
        <v>26.799999999999997</v>
      </c>
      <c r="O18" s="2">
        <f t="shared" si="6"/>
        <v>0.32659863237109082</v>
      </c>
      <c r="P18" s="2"/>
      <c r="Q18" s="2"/>
    </row>
    <row r="19" spans="1:18" x14ac:dyDescent="0.4">
      <c r="A19">
        <v>2000</v>
      </c>
      <c r="B19" s="4">
        <v>-17.5</v>
      </c>
      <c r="C19" s="4">
        <v>-17.5</v>
      </c>
      <c r="D19" s="4">
        <v>-17.7</v>
      </c>
      <c r="E19" s="4">
        <v>-17.7</v>
      </c>
      <c r="F19" s="4">
        <v>-17.399999999999999</v>
      </c>
      <c r="G19" s="4">
        <v>-17.399999999999999</v>
      </c>
      <c r="H19" s="1">
        <f>(B9-B19)</f>
        <v>30.5</v>
      </c>
      <c r="I19" s="1">
        <f t="shared" ref="I19:M19" si="12">(C9-C19)</f>
        <v>29.5</v>
      </c>
      <c r="J19" s="1">
        <f t="shared" si="12"/>
        <v>29.7</v>
      </c>
      <c r="K19" s="1">
        <f t="shared" si="12"/>
        <v>29.799999999999997</v>
      </c>
      <c r="L19" s="1">
        <f t="shared" si="12"/>
        <v>29.599999999999998</v>
      </c>
      <c r="M19" s="1">
        <f t="shared" si="12"/>
        <v>30</v>
      </c>
      <c r="N19" s="1">
        <f t="shared" si="2"/>
        <v>29.849999999999998</v>
      </c>
      <c r="O19" s="2">
        <f t="shared" si="6"/>
        <v>0.33040379335998388</v>
      </c>
      <c r="P19" s="2"/>
      <c r="Q19" s="2"/>
    </row>
    <row r="20" spans="1:18" x14ac:dyDescent="0.4">
      <c r="B20" s="4"/>
      <c r="C20" s="4"/>
      <c r="D20" s="4"/>
      <c r="E20" s="4"/>
      <c r="F20" s="4"/>
      <c r="G20" s="4"/>
      <c r="H20" s="1"/>
      <c r="I20" s="1"/>
      <c r="J20" s="1"/>
      <c r="K20" s="1"/>
      <c r="L20" s="1"/>
      <c r="M20" s="1"/>
      <c r="N20" s="1"/>
      <c r="O20" s="2"/>
      <c r="P20" s="2"/>
      <c r="Q20" s="2"/>
    </row>
    <row r="21" spans="1:18" x14ac:dyDescent="0.4">
      <c r="A21" t="s">
        <v>19</v>
      </c>
      <c r="B21" s="6" t="s">
        <v>69</v>
      </c>
      <c r="C21" s="6" t="s">
        <v>68</v>
      </c>
      <c r="D21" s="6" t="s">
        <v>70</v>
      </c>
      <c r="E21" s="6" t="s">
        <v>71</v>
      </c>
      <c r="F21" s="6" t="s">
        <v>72</v>
      </c>
      <c r="G21" s="6" t="s">
        <v>79</v>
      </c>
      <c r="H21" s="6" t="s">
        <v>73</v>
      </c>
      <c r="I21" s="6" t="s">
        <v>78</v>
      </c>
      <c r="J21" s="6" t="s">
        <v>74</v>
      </c>
      <c r="K21" s="6" t="s">
        <v>77</v>
      </c>
      <c r="L21" s="6" t="s">
        <v>75</v>
      </c>
      <c r="M21" s="6" t="s">
        <v>76</v>
      </c>
      <c r="N21" s="1" t="s">
        <v>80</v>
      </c>
      <c r="O21" s="1" t="s">
        <v>81</v>
      </c>
      <c r="P21" s="2"/>
      <c r="Q21" s="2"/>
      <c r="R21" s="2"/>
    </row>
    <row r="22" spans="1:18" x14ac:dyDescent="0.4">
      <c r="A22">
        <v>0</v>
      </c>
      <c r="B22" s="2">
        <f>0.5*ATAN(H9/I5)</f>
        <v>0</v>
      </c>
      <c r="C22" s="2">
        <f>B22*O6</f>
        <v>0</v>
      </c>
      <c r="D22" s="2">
        <f>0.5*ATAN(I9/I5)</f>
        <v>0</v>
      </c>
      <c r="E22" s="2">
        <f>D22*O6</f>
        <v>0</v>
      </c>
      <c r="F22" s="2">
        <f>0.5*ATAN(J9/103.97)</f>
        <v>0</v>
      </c>
      <c r="G22" s="2">
        <f>F22*0.957</f>
        <v>0</v>
      </c>
      <c r="H22" s="2">
        <f>0.5*ATAN(K9/103.97)</f>
        <v>0</v>
      </c>
      <c r="I22" s="2">
        <f>H22*0.957</f>
        <v>0</v>
      </c>
      <c r="J22" s="2">
        <f>0.5*ATAN(L9/103.97)</f>
        <v>0</v>
      </c>
      <c r="K22" s="2">
        <f>J22*0.957</f>
        <v>0</v>
      </c>
      <c r="L22" s="2">
        <f>0.5*ATAN(M9/103.97)</f>
        <v>0</v>
      </c>
      <c r="M22" s="2">
        <f>L22*0.957</f>
        <v>0</v>
      </c>
      <c r="N22" s="2">
        <f>AVERAGE(C22,E22,G22,I22,K22,M22)</f>
        <v>0</v>
      </c>
      <c r="O22" s="2">
        <f>_xlfn.STDEV.P(C22,E22,G22,I22,K22,M22)</f>
        <v>0</v>
      </c>
      <c r="P22" s="2"/>
      <c r="Q22" s="2"/>
      <c r="R22" s="2"/>
    </row>
    <row r="23" spans="1:18" x14ac:dyDescent="0.4">
      <c r="A23">
        <v>200</v>
      </c>
      <c r="B23" s="2">
        <f>0.5*ATAN(H10/I5)</f>
        <v>1.6345569293435263E-2</v>
      </c>
      <c r="C23" s="2">
        <f>B23*O6</f>
        <v>1.5637261290719736E-2</v>
      </c>
      <c r="D23" s="2">
        <f>0.5*ATAN(I10/I5)</f>
        <v>1.5865144757568918E-2</v>
      </c>
      <c r="E23" s="2">
        <f>D23*O6</f>
        <v>1.5177655151407598E-2</v>
      </c>
      <c r="F23" s="2">
        <f t="shared" ref="F23:F32" si="13">0.5*ATAN(J10/103.97)</f>
        <v>1.3462168776298961E-2</v>
      </c>
      <c r="G23" s="2">
        <f t="shared" ref="G23:I32" si="14">F23*0.957</f>
        <v>1.2883295518918106E-2</v>
      </c>
      <c r="H23" s="2">
        <f t="shared" ref="H23:H32" si="15">0.5*ATAN(K10/103.97)</f>
        <v>1.5864636453936171E-2</v>
      </c>
      <c r="I23" s="2">
        <f t="shared" si="14"/>
        <v>1.5182457086416915E-2</v>
      </c>
      <c r="J23" s="2">
        <f t="shared" ref="J23:J32" si="16">0.5*ATAN(L10/103.97)</f>
        <v>1.4903731098641036E-2</v>
      </c>
      <c r="K23" s="2">
        <f t="shared" ref="K23:M23" si="17">J23*0.957</f>
        <v>1.426287066139947E-2</v>
      </c>
      <c r="L23" s="2">
        <f t="shared" ref="L23:L32" si="18">0.5*ATAN(M10/103.97)</f>
        <v>1.5864636453936171E-2</v>
      </c>
      <c r="M23" s="2">
        <f t="shared" si="17"/>
        <v>1.5182457086416915E-2</v>
      </c>
      <c r="N23" s="2">
        <f t="shared" ref="N23:N32" si="19">AVERAGE(C23,E23,G23,I23,K23,M23)</f>
        <v>1.472099946587979E-2</v>
      </c>
      <c r="O23" s="2">
        <f t="shared" ref="O23:O32" si="20">_xlfn.STDEV.P(C23,E23,G23,I23,K23,M23)</f>
        <v>9.1842203589096144E-4</v>
      </c>
      <c r="P23" s="2"/>
      <c r="Q23" s="2"/>
      <c r="R23" s="2"/>
    </row>
    <row r="24" spans="1:18" x14ac:dyDescent="0.4">
      <c r="A24">
        <v>400</v>
      </c>
      <c r="B24" s="2">
        <f>0.5*ATAN(H11/I5)</f>
        <v>3.0740305806327188E-2</v>
      </c>
      <c r="C24" s="2">
        <f>B24*O6</f>
        <v>2.9408225888053009E-2</v>
      </c>
      <c r="D24" s="2">
        <f>0.5*ATAN(I11/I5)</f>
        <v>2.9781978251048426E-2</v>
      </c>
      <c r="E24" s="2">
        <f>D24*O6</f>
        <v>2.8491425860169662E-2</v>
      </c>
      <c r="F24" s="2">
        <f t="shared" si="13"/>
        <v>2.8343171463993715E-2</v>
      </c>
      <c r="G24" s="2">
        <f t="shared" si="14"/>
        <v>2.7124415091041985E-2</v>
      </c>
      <c r="H24" s="2">
        <f t="shared" si="15"/>
        <v>2.9781025681718514E-2</v>
      </c>
      <c r="I24" s="2">
        <f t="shared" si="14"/>
        <v>2.8500441577404619E-2</v>
      </c>
      <c r="J24" s="2">
        <f t="shared" si="16"/>
        <v>2.8343171463993712E-2</v>
      </c>
      <c r="K24" s="2">
        <f t="shared" ref="K24:M24" si="21">J24*0.957</f>
        <v>2.7124415091041982E-2</v>
      </c>
      <c r="L24" s="2">
        <f t="shared" si="18"/>
        <v>2.9781025681718514E-2</v>
      </c>
      <c r="M24" s="2">
        <f t="shared" si="21"/>
        <v>2.8500441577404619E-2</v>
      </c>
      <c r="N24" s="2">
        <f t="shared" si="19"/>
        <v>2.8191560847519313E-2</v>
      </c>
      <c r="O24" s="2">
        <f t="shared" si="20"/>
        <v>8.2042748901540714E-4</v>
      </c>
    </row>
    <row r="25" spans="1:18" x14ac:dyDescent="0.4">
      <c r="A25">
        <v>600</v>
      </c>
      <c r="B25" s="2">
        <f>0.5*ATAN(H12/I5)</f>
        <v>4.3175470107260257E-2</v>
      </c>
      <c r="C25" s="2">
        <f>B25*O6</f>
        <v>4.1304533069278976E-2</v>
      </c>
      <c r="D25" s="2">
        <f>0.5*ATAN(I12/I5)</f>
        <v>4.3414133366648323E-2</v>
      </c>
      <c r="E25" s="2">
        <f>D25*O6</f>
        <v>4.153285425409356E-2</v>
      </c>
      <c r="F25" s="2">
        <f t="shared" si="13"/>
        <v>4.0786468323376096E-2</v>
      </c>
      <c r="G25" s="2">
        <f t="shared" si="14"/>
        <v>3.9032650185470925E-2</v>
      </c>
      <c r="H25" s="2">
        <f t="shared" si="15"/>
        <v>4.2696722242060829E-2</v>
      </c>
      <c r="I25" s="2">
        <f t="shared" si="14"/>
        <v>4.086076318565221E-2</v>
      </c>
      <c r="J25" s="2">
        <f t="shared" si="16"/>
        <v>4.1264145881345901E-2</v>
      </c>
      <c r="K25" s="2">
        <f t="shared" ref="K25:M25" si="22">J25*0.957</f>
        <v>3.9489787608448026E-2</v>
      </c>
      <c r="L25" s="2">
        <f t="shared" si="18"/>
        <v>4.4128596236988907E-2</v>
      </c>
      <c r="M25" s="2">
        <f t="shared" si="22"/>
        <v>4.2231066598798384E-2</v>
      </c>
      <c r="N25" s="2">
        <f t="shared" si="19"/>
        <v>4.0741942483623679E-2</v>
      </c>
      <c r="O25" s="2">
        <f t="shared" si="20"/>
        <v>1.1301349902638213E-3</v>
      </c>
    </row>
    <row r="26" spans="1:18" x14ac:dyDescent="0.4">
      <c r="A26">
        <v>800</v>
      </c>
      <c r="B26" s="2">
        <f>0.5*ATAN(H13/I5)</f>
        <v>5.7693843977413617E-2</v>
      </c>
      <c r="C26" s="2">
        <f>B26*O6</f>
        <v>5.5193777405059027E-2</v>
      </c>
      <c r="D26" s="2">
        <f>0.5*ATAN(I13/I5)</f>
        <v>5.7456556657379067E-2</v>
      </c>
      <c r="E26" s="2">
        <f>D26*O6</f>
        <v>5.4966772535559309E-2</v>
      </c>
      <c r="F26" s="2">
        <f t="shared" si="13"/>
        <v>5.3892470161596526E-2</v>
      </c>
      <c r="G26" s="2">
        <f t="shared" si="14"/>
        <v>5.1575093944647876E-2</v>
      </c>
      <c r="H26" s="2">
        <f t="shared" si="15"/>
        <v>5.7454730742701583E-2</v>
      </c>
      <c r="I26" s="2">
        <f t="shared" si="14"/>
        <v>5.4984177320765416E-2</v>
      </c>
      <c r="J26" s="2">
        <f t="shared" si="16"/>
        <v>5.4605373521010747E-2</v>
      </c>
      <c r="K26" s="2">
        <f t="shared" ref="K26:M26" si="23">J26*0.957</f>
        <v>5.2257342459607281E-2</v>
      </c>
      <c r="L26" s="2">
        <f t="shared" si="18"/>
        <v>5.7929264470995091E-2</v>
      </c>
      <c r="M26" s="2">
        <f t="shared" si="23"/>
        <v>5.5438306098742299E-2</v>
      </c>
      <c r="N26" s="2">
        <f t="shared" si="19"/>
        <v>5.4069244960730199E-2</v>
      </c>
      <c r="O26" s="2">
        <f t="shared" si="20"/>
        <v>1.5430132076331125E-3</v>
      </c>
    </row>
    <row r="27" spans="1:18" x14ac:dyDescent="0.4">
      <c r="A27">
        <v>1000</v>
      </c>
      <c r="B27" s="2">
        <f>0.5*ATAN(H14/I5)</f>
        <v>7.1172943804067954E-2</v>
      </c>
      <c r="C27" s="2">
        <f>B27*O6</f>
        <v>6.8088782905891682E-2</v>
      </c>
      <c r="D27" s="2">
        <f>0.5*ATAN(I14/I5)</f>
        <v>7.1408550061225054E-2</v>
      </c>
      <c r="E27" s="2">
        <f>D27*O6</f>
        <v>6.8314179558571969E-2</v>
      </c>
      <c r="F27" s="2">
        <f t="shared" si="13"/>
        <v>6.8812968534250937E-2</v>
      </c>
      <c r="G27" s="2">
        <f t="shared" si="14"/>
        <v>6.5854010887278144E-2</v>
      </c>
      <c r="H27" s="2">
        <f t="shared" si="15"/>
        <v>7.2112896773148388E-2</v>
      </c>
      <c r="I27" s="2">
        <f t="shared" si="14"/>
        <v>6.9012042211903005E-2</v>
      </c>
      <c r="J27" s="2">
        <f t="shared" si="16"/>
        <v>6.8812968534250937E-2</v>
      </c>
      <c r="K27" s="2">
        <f t="shared" ref="K27:M27" si="24">J27*0.957</f>
        <v>6.5854010887278144E-2</v>
      </c>
      <c r="L27" s="2">
        <f t="shared" si="18"/>
        <v>7.2583805930187706E-2</v>
      </c>
      <c r="M27" s="2">
        <f t="shared" si="24"/>
        <v>6.9462702275189636E-2</v>
      </c>
      <c r="N27" s="2">
        <f t="shared" si="19"/>
        <v>6.776428812101877E-2</v>
      </c>
      <c r="O27" s="2">
        <f t="shared" si="20"/>
        <v>1.4228783379946085E-3</v>
      </c>
    </row>
    <row r="28" spans="1:18" x14ac:dyDescent="0.4">
      <c r="A28">
        <v>1200</v>
      </c>
      <c r="B28" s="2">
        <f>0.5*ATAN(H15/I5)</f>
        <v>8.5716501559748581E-2</v>
      </c>
      <c r="C28" s="2">
        <f>B28*O6</f>
        <v>8.2002119825492811E-2</v>
      </c>
      <c r="D28" s="2">
        <f>0.5*ATAN(I15/I5)</f>
        <v>8.5716501559748581E-2</v>
      </c>
      <c r="E28" s="2">
        <f>D28*O6</f>
        <v>8.2002119825492811E-2</v>
      </c>
      <c r="F28" s="2">
        <f t="shared" si="13"/>
        <v>8.3377369264909282E-2</v>
      </c>
      <c r="G28" s="2">
        <f t="shared" si="14"/>
        <v>7.9792142386518175E-2</v>
      </c>
      <c r="H28" s="2">
        <f t="shared" si="15"/>
        <v>8.6180644565359052E-2</v>
      </c>
      <c r="I28" s="2">
        <f t="shared" si="14"/>
        <v>8.2474876849048612E-2</v>
      </c>
      <c r="J28" s="2">
        <f t="shared" si="16"/>
        <v>8.1973733710859142E-2</v>
      </c>
      <c r="K28" s="2">
        <f t="shared" ref="K28:M28" si="25">J28*0.957</f>
        <v>7.8448863161292196E-2</v>
      </c>
      <c r="L28" s="2">
        <f t="shared" si="18"/>
        <v>8.6647330449810864E-2</v>
      </c>
      <c r="M28" s="2">
        <f t="shared" si="25"/>
        <v>8.292149524046899E-2</v>
      </c>
      <c r="N28" s="2">
        <f t="shared" si="19"/>
        <v>8.127360288138559E-2</v>
      </c>
      <c r="O28" s="2">
        <f t="shared" si="20"/>
        <v>1.6017678739619272E-3</v>
      </c>
    </row>
    <row r="29" spans="1:18" x14ac:dyDescent="0.4">
      <c r="A29">
        <v>1400</v>
      </c>
      <c r="B29" s="2">
        <f>0.5*ATAN(H16/I5)</f>
        <v>9.9653094633048472E-2</v>
      </c>
      <c r="C29" s="2">
        <f>B29*O6</f>
        <v>9.5334793865616371E-2</v>
      </c>
      <c r="D29" s="2">
        <f>0.5*ATAN(I16/I5)</f>
        <v>9.8728607966087567E-2</v>
      </c>
      <c r="E29" s="2">
        <f>D29*O6</f>
        <v>9.445036828755711E-2</v>
      </c>
      <c r="F29" s="2">
        <f t="shared" si="13"/>
        <v>9.6874558019721058E-2</v>
      </c>
      <c r="G29" s="2">
        <f t="shared" si="14"/>
        <v>9.2708952024873045E-2</v>
      </c>
      <c r="H29" s="2">
        <f t="shared" si="15"/>
        <v>9.9649983636514269E-2</v>
      </c>
      <c r="I29" s="2">
        <f t="shared" si="14"/>
        <v>9.536503434014415E-2</v>
      </c>
      <c r="J29" s="2">
        <f t="shared" si="16"/>
        <v>9.6874558019721058E-2</v>
      </c>
      <c r="K29" s="2">
        <f t="shared" ref="K29:M29" si="26">J29*0.957</f>
        <v>9.2708952024873045E-2</v>
      </c>
      <c r="L29" s="2">
        <f t="shared" si="18"/>
        <v>0.10057375300920865</v>
      </c>
      <c r="M29" s="2">
        <f t="shared" si="26"/>
        <v>9.6249081629812674E-2</v>
      </c>
      <c r="N29" s="2">
        <f t="shared" si="19"/>
        <v>9.4469530362146073E-2</v>
      </c>
      <c r="O29" s="2">
        <f t="shared" si="20"/>
        <v>1.3488915429439681E-3</v>
      </c>
    </row>
    <row r="30" spans="1:18" x14ac:dyDescent="0.4">
      <c r="A30">
        <v>1600</v>
      </c>
      <c r="B30" s="2">
        <f>0.5*ATAN(H17/I5)</f>
        <v>0.11434734565311018</v>
      </c>
      <c r="C30" s="2">
        <f>B30*O6</f>
        <v>0.10939229400814207</v>
      </c>
      <c r="D30" s="2">
        <f>0.5*ATAN(I17/I5)</f>
        <v>0.11114919309857334</v>
      </c>
      <c r="E30" s="2">
        <f>D30*O6</f>
        <v>0.10633272806430183</v>
      </c>
      <c r="F30" s="2">
        <f t="shared" si="13"/>
        <v>0.11114574583367298</v>
      </c>
      <c r="G30" s="2">
        <f t="shared" si="14"/>
        <v>0.10636647876282504</v>
      </c>
      <c r="H30" s="2">
        <f t="shared" si="15"/>
        <v>0.11297435861304787</v>
      </c>
      <c r="I30" s="2">
        <f t="shared" si="14"/>
        <v>0.10811646119268681</v>
      </c>
      <c r="J30" s="2">
        <f t="shared" si="16"/>
        <v>0.11114574583367298</v>
      </c>
      <c r="K30" s="2">
        <f t="shared" ref="K30:M30" si="27">J30*0.957</f>
        <v>0.10636647876282504</v>
      </c>
      <c r="L30" s="2">
        <f t="shared" si="18"/>
        <v>0.11388751651820729</v>
      </c>
      <c r="M30" s="2">
        <f t="shared" si="27"/>
        <v>0.10899035330792438</v>
      </c>
      <c r="N30" s="2">
        <f t="shared" si="19"/>
        <v>0.1075941323497842</v>
      </c>
      <c r="O30" s="2">
        <f t="shared" si="20"/>
        <v>1.2949294166251471E-3</v>
      </c>
    </row>
    <row r="31" spans="1:18" x14ac:dyDescent="0.4">
      <c r="A31">
        <v>1800</v>
      </c>
      <c r="B31" s="2">
        <f>0.5*ATAN(H18/I5)</f>
        <v>0.12839353249078395</v>
      </c>
      <c r="C31" s="2">
        <f>B31*O6</f>
        <v>0.12282981274951664</v>
      </c>
      <c r="D31" s="2">
        <f>0.5*ATAN(I18/I5)</f>
        <v>0.12478755967015841</v>
      </c>
      <c r="E31" s="2">
        <f>D31*O6</f>
        <v>0.11938009875111821</v>
      </c>
      <c r="F31" s="2">
        <f t="shared" si="13"/>
        <v>0.1243320472867521</v>
      </c>
      <c r="G31" s="2">
        <f t="shared" si="14"/>
        <v>0.11898576925342175</v>
      </c>
      <c r="H31" s="2">
        <f t="shared" si="15"/>
        <v>0.12658834086664095</v>
      </c>
      <c r="I31" s="2">
        <f t="shared" si="14"/>
        <v>0.12114504220937539</v>
      </c>
      <c r="J31" s="2">
        <f t="shared" si="16"/>
        <v>0.1252351907787459</v>
      </c>
      <c r="K31" s="2">
        <f t="shared" ref="K31:M31" si="28">J31*0.957</f>
        <v>0.11985007757525983</v>
      </c>
      <c r="L31" s="2">
        <f t="shared" si="18"/>
        <v>0.12748939062801745</v>
      </c>
      <c r="M31" s="2">
        <f t="shared" si="28"/>
        <v>0.12200734683101269</v>
      </c>
      <c r="N31" s="2">
        <f t="shared" si="19"/>
        <v>0.12069969122828407</v>
      </c>
      <c r="O31" s="2">
        <f t="shared" si="20"/>
        <v>1.4051343095969272E-3</v>
      </c>
    </row>
    <row r="32" spans="1:18" x14ac:dyDescent="0.4">
      <c r="A32">
        <v>2000</v>
      </c>
      <c r="B32" s="2">
        <f>0.5*ATAN(H19/I5)</f>
        <v>0.14267848663551319</v>
      </c>
      <c r="C32" s="2">
        <f>B32*O6</f>
        <v>0.13649575221464094</v>
      </c>
      <c r="D32" s="2">
        <f>0.5*ATAN(I19/I5)</f>
        <v>0.1382389293536703</v>
      </c>
      <c r="E32" s="2">
        <f>D32*O6</f>
        <v>0.13224857574834459</v>
      </c>
      <c r="F32" s="2">
        <f t="shared" si="13"/>
        <v>0.13912442267576317</v>
      </c>
      <c r="G32" s="2">
        <f t="shared" si="14"/>
        <v>0.13314207250070534</v>
      </c>
      <c r="H32" s="2">
        <f t="shared" si="15"/>
        <v>0.13956893556526162</v>
      </c>
      <c r="I32" s="2">
        <f t="shared" si="14"/>
        <v>0.13356747133595537</v>
      </c>
      <c r="J32" s="2">
        <f t="shared" si="16"/>
        <v>0.13867968389593407</v>
      </c>
      <c r="K32" s="2">
        <f t="shared" ref="K32:M32" si="29">J32*0.957</f>
        <v>0.13271645748840891</v>
      </c>
      <c r="L32" s="2">
        <f t="shared" si="18"/>
        <v>0.14045728155498149</v>
      </c>
      <c r="M32" s="2">
        <f t="shared" si="29"/>
        <v>0.13441761844811728</v>
      </c>
      <c r="N32" s="2">
        <f t="shared" si="19"/>
        <v>0.13376465795602874</v>
      </c>
      <c r="O32" s="2">
        <f t="shared" si="20"/>
        <v>1.3969584786685764E-3</v>
      </c>
    </row>
    <row r="33" spans="1:7" x14ac:dyDescent="0.4">
      <c r="B33" s="4"/>
      <c r="G33" s="2"/>
    </row>
    <row r="34" spans="1:7" x14ac:dyDescent="0.4">
      <c r="A34" t="s">
        <v>20</v>
      </c>
      <c r="B34" s="5">
        <v>6.9999999999999994E-5</v>
      </c>
    </row>
    <row r="35" spans="1:7" x14ac:dyDescent="0.4">
      <c r="A35" t="s">
        <v>18</v>
      </c>
      <c r="B35" s="5">
        <f>(L5*981)/(F4*B34)</f>
        <v>1984511767805.1943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F40" sqref="F40"/>
    </sheetView>
  </sheetViews>
  <sheetFormatPr defaultRowHeight="17" x14ac:dyDescent="0.4"/>
  <cols>
    <col min="1" max="1" width="9.36328125" customWidth="1"/>
    <col min="2" max="2" width="11.08984375" customWidth="1"/>
    <col min="4" max="4" width="10.6328125" customWidth="1"/>
    <col min="5" max="5" width="16.6328125" customWidth="1"/>
    <col min="6" max="6" width="17" customWidth="1"/>
    <col min="7" max="7" width="9.6328125" customWidth="1"/>
    <col min="8" max="8" width="14.36328125" customWidth="1"/>
    <col min="10" max="10" width="11" customWidth="1"/>
  </cols>
  <sheetData>
    <row r="1" spans="1:11" x14ac:dyDescent="0.4">
      <c r="A1" t="s">
        <v>27</v>
      </c>
      <c r="D1">
        <v>0.2</v>
      </c>
      <c r="E1" t="s">
        <v>36</v>
      </c>
      <c r="I1">
        <v>75.2</v>
      </c>
    </row>
    <row r="2" spans="1:11" x14ac:dyDescent="0.4">
      <c r="A2" t="s">
        <v>28</v>
      </c>
      <c r="D2">
        <v>0.15</v>
      </c>
      <c r="E2" t="s">
        <v>37</v>
      </c>
      <c r="I2">
        <v>75.2</v>
      </c>
    </row>
    <row r="3" spans="1:11" x14ac:dyDescent="0.4">
      <c r="A3" t="s">
        <v>24</v>
      </c>
      <c r="C3" t="s">
        <v>23</v>
      </c>
      <c r="D3">
        <f>0.5*5820*12^2</f>
        <v>419040</v>
      </c>
      <c r="F3" t="s">
        <v>43</v>
      </c>
      <c r="G3">
        <v>5820</v>
      </c>
      <c r="H3" t="s">
        <v>44</v>
      </c>
      <c r="I3">
        <v>12</v>
      </c>
    </row>
    <row r="4" spans="1:11" x14ac:dyDescent="0.4">
      <c r="A4" t="s">
        <v>25</v>
      </c>
      <c r="D4" t="s">
        <v>26</v>
      </c>
      <c r="F4" t="s">
        <v>45</v>
      </c>
      <c r="G4">
        <v>3310</v>
      </c>
      <c r="H4" t="s">
        <v>47</v>
      </c>
      <c r="I4">
        <v>11.5</v>
      </c>
      <c r="J4" t="s">
        <v>49</v>
      </c>
      <c r="K4">
        <v>9.5</v>
      </c>
    </row>
    <row r="5" spans="1:11" x14ac:dyDescent="0.4">
      <c r="A5" t="s">
        <v>29</v>
      </c>
      <c r="D5">
        <f>D3+0.5*3310*(11.5^2+9.5^2)</f>
        <v>787277.5</v>
      </c>
      <c r="F5" t="s">
        <v>46</v>
      </c>
      <c r="G5">
        <v>1880</v>
      </c>
      <c r="H5" t="s">
        <v>48</v>
      </c>
      <c r="I5">
        <v>3</v>
      </c>
    </row>
    <row r="6" spans="1:11" x14ac:dyDescent="0.4">
      <c r="A6" t="s">
        <v>30</v>
      </c>
      <c r="F6" t="s">
        <v>50</v>
      </c>
      <c r="H6">
        <v>8.5</v>
      </c>
    </row>
    <row r="7" spans="1:11" x14ac:dyDescent="0.4">
      <c r="A7" t="s">
        <v>31</v>
      </c>
    </row>
    <row r="8" spans="1:11" x14ac:dyDescent="0.4">
      <c r="A8" t="s">
        <v>32</v>
      </c>
      <c r="D8">
        <f>D3+2*(0.5*1880*3^2+1880*H6^2)</f>
        <v>707620</v>
      </c>
    </row>
    <row r="9" spans="1:11" x14ac:dyDescent="0.4">
      <c r="A9" t="s">
        <v>34</v>
      </c>
      <c r="E9" t="s">
        <v>42</v>
      </c>
    </row>
    <row r="10" spans="1:11" x14ac:dyDescent="0.4">
      <c r="A10" t="s">
        <v>40</v>
      </c>
      <c r="E10" t="s">
        <v>40</v>
      </c>
    </row>
    <row r="11" spans="1:11" x14ac:dyDescent="0.4">
      <c r="B11" t="s">
        <v>33</v>
      </c>
      <c r="C11" t="s">
        <v>35</v>
      </c>
      <c r="F11" t="s">
        <v>33</v>
      </c>
      <c r="G11" t="s">
        <v>35</v>
      </c>
    </row>
    <row r="12" spans="1:11" x14ac:dyDescent="0.4">
      <c r="A12">
        <v>1</v>
      </c>
      <c r="B12">
        <v>10.68</v>
      </c>
      <c r="C12">
        <f>B12/10</f>
        <v>1.0680000000000001</v>
      </c>
      <c r="E12">
        <v>1</v>
      </c>
      <c r="F12">
        <v>14.13</v>
      </c>
      <c r="G12">
        <f>F12/10</f>
        <v>1.413</v>
      </c>
    </row>
    <row r="13" spans="1:11" x14ac:dyDescent="0.4">
      <c r="A13">
        <v>2</v>
      </c>
      <c r="B13">
        <v>10.75</v>
      </c>
      <c r="C13">
        <f t="shared" ref="C13:C16" si="0">B13/10</f>
        <v>1.075</v>
      </c>
      <c r="E13">
        <v>2</v>
      </c>
      <c r="F13">
        <v>14.12</v>
      </c>
      <c r="G13">
        <f t="shared" ref="G13:G16" si="1">F13/10</f>
        <v>1.4119999999999999</v>
      </c>
    </row>
    <row r="14" spans="1:11" x14ac:dyDescent="0.4">
      <c r="A14">
        <v>3</v>
      </c>
      <c r="B14">
        <v>10.91</v>
      </c>
      <c r="C14">
        <f t="shared" si="0"/>
        <v>1.091</v>
      </c>
      <c r="E14">
        <v>3</v>
      </c>
      <c r="F14">
        <v>14.25</v>
      </c>
      <c r="G14">
        <f t="shared" si="1"/>
        <v>1.425</v>
      </c>
    </row>
    <row r="15" spans="1:11" x14ac:dyDescent="0.4">
      <c r="A15">
        <v>4</v>
      </c>
      <c r="B15">
        <v>10.65</v>
      </c>
      <c r="C15">
        <f t="shared" si="0"/>
        <v>1.0649999999999999</v>
      </c>
      <c r="E15">
        <v>4</v>
      </c>
      <c r="F15">
        <v>14.06</v>
      </c>
      <c r="G15">
        <f t="shared" si="1"/>
        <v>1.4060000000000001</v>
      </c>
    </row>
    <row r="16" spans="1:11" x14ac:dyDescent="0.4">
      <c r="A16">
        <v>5</v>
      </c>
      <c r="B16">
        <v>10.84</v>
      </c>
      <c r="C16">
        <f t="shared" si="0"/>
        <v>1.0840000000000001</v>
      </c>
      <c r="E16">
        <v>5</v>
      </c>
      <c r="F16">
        <v>14.09</v>
      </c>
      <c r="G16">
        <f t="shared" si="1"/>
        <v>1.409</v>
      </c>
    </row>
    <row r="17" spans="1:7" x14ac:dyDescent="0.4">
      <c r="A17" t="s">
        <v>3</v>
      </c>
      <c r="C17" s="7">
        <f>AVERAGE(C12:C16)</f>
        <v>1.0765999999999998</v>
      </c>
      <c r="E17" t="s">
        <v>3</v>
      </c>
      <c r="G17" s="7">
        <f>AVERAGE(G12:G16)</f>
        <v>1.413</v>
      </c>
    </row>
    <row r="18" spans="1:7" x14ac:dyDescent="0.4">
      <c r="A18" t="s">
        <v>38</v>
      </c>
      <c r="B18" s="5">
        <f>8*PI()*I1*D3/C17^2/D1^4</f>
        <v>427055626136.80627</v>
      </c>
      <c r="E18" t="s">
        <v>38</v>
      </c>
      <c r="F18" s="5">
        <f>8*PI()*I2*D3/G17^2/D2^4</f>
        <v>783544779576.08533</v>
      </c>
    </row>
    <row r="19" spans="1:7" x14ac:dyDescent="0.4">
      <c r="B19" s="5"/>
      <c r="F19" s="5"/>
    </row>
    <row r="20" spans="1:7" x14ac:dyDescent="0.4">
      <c r="A20" t="s">
        <v>39</v>
      </c>
      <c r="E20" t="s">
        <v>39</v>
      </c>
    </row>
    <row r="21" spans="1:7" x14ac:dyDescent="0.4">
      <c r="B21" t="s">
        <v>33</v>
      </c>
      <c r="C21" t="s">
        <v>35</v>
      </c>
      <c r="F21" t="s">
        <v>33</v>
      </c>
      <c r="G21" t="s">
        <v>35</v>
      </c>
    </row>
    <row r="22" spans="1:7" x14ac:dyDescent="0.4">
      <c r="A22">
        <v>1</v>
      </c>
      <c r="B22">
        <v>14.96</v>
      </c>
      <c r="C22">
        <f>B22/10</f>
        <v>1.496</v>
      </c>
      <c r="E22">
        <v>1</v>
      </c>
      <c r="F22">
        <v>19.53</v>
      </c>
      <c r="G22">
        <f>F22/10</f>
        <v>1.9530000000000001</v>
      </c>
    </row>
    <row r="23" spans="1:7" x14ac:dyDescent="0.4">
      <c r="A23">
        <v>2</v>
      </c>
      <c r="B23">
        <v>14.84</v>
      </c>
      <c r="C23">
        <f t="shared" ref="C23:C26" si="2">B23/10</f>
        <v>1.484</v>
      </c>
      <c r="E23">
        <v>2</v>
      </c>
      <c r="F23">
        <v>19.41</v>
      </c>
      <c r="G23">
        <f t="shared" ref="G23:G26" si="3">F23/10</f>
        <v>1.9410000000000001</v>
      </c>
    </row>
    <row r="24" spans="1:7" x14ac:dyDescent="0.4">
      <c r="A24">
        <v>3</v>
      </c>
      <c r="B24">
        <v>14.93</v>
      </c>
      <c r="C24">
        <f t="shared" si="2"/>
        <v>1.4929999999999999</v>
      </c>
      <c r="E24">
        <v>3</v>
      </c>
      <c r="F24">
        <v>19.53</v>
      </c>
      <c r="G24">
        <f t="shared" si="3"/>
        <v>1.9530000000000001</v>
      </c>
    </row>
    <row r="25" spans="1:7" x14ac:dyDescent="0.4">
      <c r="A25">
        <v>4</v>
      </c>
      <c r="B25">
        <v>14.85</v>
      </c>
      <c r="C25">
        <f t="shared" si="2"/>
        <v>1.4849999999999999</v>
      </c>
      <c r="E25">
        <v>4</v>
      </c>
      <c r="F25">
        <v>19.47</v>
      </c>
      <c r="G25">
        <f t="shared" si="3"/>
        <v>1.9469999999999998</v>
      </c>
    </row>
    <row r="26" spans="1:7" x14ac:dyDescent="0.4">
      <c r="A26">
        <v>5</v>
      </c>
      <c r="B26">
        <v>14.88</v>
      </c>
      <c r="C26">
        <f t="shared" si="2"/>
        <v>1.488</v>
      </c>
      <c r="E26">
        <v>5</v>
      </c>
      <c r="F26">
        <v>19.559999999999999</v>
      </c>
      <c r="G26">
        <f t="shared" si="3"/>
        <v>1.956</v>
      </c>
    </row>
    <row r="27" spans="1:7" x14ac:dyDescent="0.4">
      <c r="A27" t="s">
        <v>3</v>
      </c>
      <c r="C27" s="7">
        <f>AVERAGE(C22:C26)</f>
        <v>1.4891999999999999</v>
      </c>
      <c r="E27" t="s">
        <v>3</v>
      </c>
      <c r="G27" s="7">
        <f>AVERAGE(G22:G26)</f>
        <v>1.95</v>
      </c>
    </row>
    <row r="28" spans="1:7" x14ac:dyDescent="0.4">
      <c r="A28" t="s">
        <v>38</v>
      </c>
      <c r="B28" s="5">
        <f>8*PI()*I1*D5/C27^2/D1^4</f>
        <v>419333445181.0481</v>
      </c>
      <c r="E28" t="s">
        <v>38</v>
      </c>
      <c r="F28" s="5">
        <f>8*PI()*I2*D5/G27^2/D2^4</f>
        <v>772949785557.43494</v>
      </c>
    </row>
    <row r="29" spans="1:7" x14ac:dyDescent="0.4">
      <c r="B29" s="5"/>
      <c r="F29" s="5"/>
    </row>
    <row r="30" spans="1:7" x14ac:dyDescent="0.4">
      <c r="A30" t="s">
        <v>41</v>
      </c>
      <c r="E30" t="s">
        <v>41</v>
      </c>
    </row>
    <row r="31" spans="1:7" x14ac:dyDescent="0.4">
      <c r="B31" t="s">
        <v>33</v>
      </c>
      <c r="C31" t="s">
        <v>35</v>
      </c>
      <c r="F31" t="s">
        <v>33</v>
      </c>
      <c r="G31" t="s">
        <v>35</v>
      </c>
    </row>
    <row r="32" spans="1:7" x14ac:dyDescent="0.4">
      <c r="A32">
        <v>1</v>
      </c>
      <c r="B32">
        <v>13.94</v>
      </c>
      <c r="C32">
        <f>B32/10</f>
        <v>1.3939999999999999</v>
      </c>
      <c r="E32">
        <v>1</v>
      </c>
      <c r="F32">
        <v>18.440000000000001</v>
      </c>
      <c r="G32">
        <f>F32/10</f>
        <v>1.8440000000000001</v>
      </c>
    </row>
    <row r="33" spans="1:7" x14ac:dyDescent="0.4">
      <c r="A33">
        <v>2</v>
      </c>
      <c r="B33">
        <v>14.03</v>
      </c>
      <c r="C33">
        <f t="shared" ref="C33:C36" si="4">B33/10</f>
        <v>1.403</v>
      </c>
      <c r="E33">
        <v>2</v>
      </c>
      <c r="F33">
        <v>18.309999999999999</v>
      </c>
      <c r="G33">
        <f t="shared" ref="G33:G36" si="5">F33/10</f>
        <v>1.831</v>
      </c>
    </row>
    <row r="34" spans="1:7" x14ac:dyDescent="0.4">
      <c r="A34">
        <v>3</v>
      </c>
      <c r="B34">
        <v>14.09</v>
      </c>
      <c r="C34">
        <f t="shared" si="4"/>
        <v>1.409</v>
      </c>
      <c r="E34">
        <v>3</v>
      </c>
      <c r="F34">
        <v>18.37</v>
      </c>
      <c r="G34">
        <f t="shared" si="5"/>
        <v>1.8370000000000002</v>
      </c>
    </row>
    <row r="35" spans="1:7" x14ac:dyDescent="0.4">
      <c r="A35">
        <v>4</v>
      </c>
      <c r="B35" s="4">
        <v>14</v>
      </c>
      <c r="C35">
        <f t="shared" si="4"/>
        <v>1.4</v>
      </c>
      <c r="E35">
        <v>4</v>
      </c>
      <c r="F35" s="4">
        <v>18.28</v>
      </c>
      <c r="G35">
        <f t="shared" si="5"/>
        <v>1.8280000000000001</v>
      </c>
    </row>
    <row r="36" spans="1:7" x14ac:dyDescent="0.4">
      <c r="A36">
        <v>5</v>
      </c>
      <c r="B36" s="4">
        <v>14</v>
      </c>
      <c r="C36">
        <f t="shared" si="4"/>
        <v>1.4</v>
      </c>
      <c r="E36">
        <v>5</v>
      </c>
      <c r="F36" s="4">
        <v>18.28</v>
      </c>
      <c r="G36">
        <f t="shared" si="5"/>
        <v>1.8280000000000001</v>
      </c>
    </row>
    <row r="37" spans="1:7" x14ac:dyDescent="0.4">
      <c r="A37" t="s">
        <v>3</v>
      </c>
      <c r="C37" s="7">
        <f>AVERAGE(C32:C36)</f>
        <v>1.4012</v>
      </c>
      <c r="E37" t="s">
        <v>3</v>
      </c>
      <c r="G37" s="7">
        <f>AVERAGE(G32:G36)</f>
        <v>1.8336000000000001</v>
      </c>
    </row>
    <row r="38" spans="1:7" x14ac:dyDescent="0.4">
      <c r="A38" t="s">
        <v>38</v>
      </c>
      <c r="B38" s="5">
        <f>8*PI()*I1*D8/C37^2/D1^4</f>
        <v>425733239605.89062</v>
      </c>
      <c r="E38" t="s">
        <v>38</v>
      </c>
      <c r="F38" s="5">
        <f>8*PI()*I2*D8/G37^2/D2^4</f>
        <v>785748503738.93506</v>
      </c>
    </row>
    <row r="39" spans="1:7" x14ac:dyDescent="0.4">
      <c r="A39" t="s">
        <v>51</v>
      </c>
      <c r="B39" s="5">
        <f>(B18+B28+B38)/3</f>
        <v>424040770307.91504</v>
      </c>
      <c r="E39" t="s">
        <v>52</v>
      </c>
      <c r="F39" s="5">
        <f>(F18+F28+F38)/3</f>
        <v>780747689624.15173</v>
      </c>
    </row>
    <row r="40" spans="1:7" x14ac:dyDescent="0.4">
      <c r="A40" t="s">
        <v>53</v>
      </c>
      <c r="B40" s="4">
        <f>(B39-416000000000)/416000000000*100</f>
        <v>1.9328774778641922</v>
      </c>
      <c r="E40" t="s">
        <v>54</v>
      </c>
      <c r="F40" s="4">
        <f>(F39-765000000000)/765000000000*100</f>
        <v>2.0585215194969586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10" sqref="A10"/>
    </sheetView>
  </sheetViews>
  <sheetFormatPr defaultRowHeight="17" x14ac:dyDescent="0.4"/>
  <cols>
    <col min="2" max="2" width="13.26953125" customWidth="1"/>
    <col min="3" max="3" width="13.7265625" customWidth="1"/>
    <col min="6" max="6" width="18.08984375" customWidth="1"/>
    <col min="7" max="7" width="9.6328125" customWidth="1"/>
  </cols>
  <sheetData>
    <row r="1" spans="1:8" x14ac:dyDescent="0.4">
      <c r="A1" t="s">
        <v>55</v>
      </c>
    </row>
    <row r="2" spans="1:8" x14ac:dyDescent="0.4">
      <c r="A2" t="s">
        <v>56</v>
      </c>
    </row>
    <row r="3" spans="1:8" x14ac:dyDescent="0.4">
      <c r="A3" t="s">
        <v>57</v>
      </c>
    </row>
    <row r="4" spans="1:8" x14ac:dyDescent="0.4">
      <c r="A4" t="s">
        <v>58</v>
      </c>
    </row>
    <row r="6" spans="1:8" x14ac:dyDescent="0.4">
      <c r="A6" t="s">
        <v>59</v>
      </c>
    </row>
    <row r="7" spans="1:8" x14ac:dyDescent="0.4">
      <c r="A7" t="s">
        <v>60</v>
      </c>
    </row>
    <row r="9" spans="1:8" x14ac:dyDescent="0.4">
      <c r="A9" t="s">
        <v>66</v>
      </c>
    </row>
    <row r="10" spans="1:8" x14ac:dyDescent="0.4">
      <c r="A10" t="s">
        <v>67</v>
      </c>
    </row>
    <row r="11" spans="1:8" x14ac:dyDescent="0.4">
      <c r="A11" t="s">
        <v>19</v>
      </c>
      <c r="B11" t="s">
        <v>6</v>
      </c>
      <c r="C11" t="s">
        <v>8</v>
      </c>
      <c r="D11" t="s">
        <v>62</v>
      </c>
      <c r="F11" t="s">
        <v>21</v>
      </c>
      <c r="G11" t="s">
        <v>63</v>
      </c>
      <c r="H11" t="s">
        <v>64</v>
      </c>
    </row>
    <row r="12" spans="1:8" x14ac:dyDescent="0.4">
      <c r="A12">
        <v>0</v>
      </c>
      <c r="B12" s="1">
        <v>12</v>
      </c>
      <c r="C12" s="1">
        <v>12.1</v>
      </c>
      <c r="D12" s="1">
        <v>0</v>
      </c>
      <c r="E12" s="4">
        <v>0</v>
      </c>
      <c r="F12" s="1">
        <f>AVERAGE(D12:E12)</f>
        <v>0</v>
      </c>
      <c r="G12" s="7">
        <f>0.5*ATAN(F12/103.97)</f>
        <v>0</v>
      </c>
      <c r="H12" s="7">
        <f>G12*0.957</f>
        <v>0</v>
      </c>
    </row>
    <row r="13" spans="1:8" x14ac:dyDescent="0.4">
      <c r="A13">
        <v>200</v>
      </c>
      <c r="B13" s="1">
        <v>8.6999999999999993</v>
      </c>
      <c r="C13" s="1">
        <v>8.8000000000000007</v>
      </c>
      <c r="D13" s="1">
        <v>3.3000000000000007</v>
      </c>
      <c r="E13" s="4">
        <v>3.2999999999999989</v>
      </c>
      <c r="F13" s="1">
        <f t="shared" ref="F13:F22" si="0">AVERAGE(D13:E13)</f>
        <v>3.3</v>
      </c>
      <c r="G13" s="7">
        <f t="shared" ref="G13:G22" si="1">0.5*ATAN(F13/103.97)</f>
        <v>1.5864636453936175E-2</v>
      </c>
      <c r="H13" s="7">
        <f t="shared" ref="H13:H22" si="2">G13*0.957</f>
        <v>1.5182457086416919E-2</v>
      </c>
    </row>
    <row r="14" spans="1:8" x14ac:dyDescent="0.4">
      <c r="A14">
        <v>400</v>
      </c>
      <c r="B14" s="1">
        <v>5.8</v>
      </c>
      <c r="C14" s="1">
        <v>5.9</v>
      </c>
      <c r="D14" s="1">
        <v>6.2</v>
      </c>
      <c r="E14" s="4">
        <v>6.1999999999999993</v>
      </c>
      <c r="F14" s="1">
        <f t="shared" si="0"/>
        <v>6.1999999999999993</v>
      </c>
      <c r="G14" s="7">
        <f t="shared" si="1"/>
        <v>2.9781025681718514E-2</v>
      </c>
      <c r="H14" s="7">
        <f t="shared" si="2"/>
        <v>2.8500441577404619E-2</v>
      </c>
    </row>
    <row r="15" spans="1:8" x14ac:dyDescent="0.4">
      <c r="A15">
        <v>600</v>
      </c>
      <c r="B15" s="1">
        <v>2.95</v>
      </c>
      <c r="C15" s="1">
        <v>3.2</v>
      </c>
      <c r="D15" s="1">
        <v>9.0500000000000007</v>
      </c>
      <c r="E15" s="4">
        <v>8.8999999999999986</v>
      </c>
      <c r="F15" s="1">
        <f t="shared" si="0"/>
        <v>8.9749999999999996</v>
      </c>
      <c r="G15" s="7">
        <f t="shared" si="1"/>
        <v>4.3054757485325501E-2</v>
      </c>
      <c r="H15" s="7">
        <f t="shared" si="2"/>
        <v>4.1203402913456505E-2</v>
      </c>
    </row>
    <row r="16" spans="1:8" x14ac:dyDescent="0.4">
      <c r="A16">
        <v>800</v>
      </c>
      <c r="B16" s="1">
        <v>0</v>
      </c>
      <c r="C16" s="1">
        <v>0.1</v>
      </c>
      <c r="D16" s="1">
        <v>12</v>
      </c>
      <c r="E16" s="4">
        <v>12</v>
      </c>
      <c r="F16" s="1">
        <f t="shared" si="0"/>
        <v>12</v>
      </c>
      <c r="G16" s="7">
        <f t="shared" si="1"/>
        <v>5.7454730742701583E-2</v>
      </c>
      <c r="H16" s="7">
        <f t="shared" si="2"/>
        <v>5.4984177320765416E-2</v>
      </c>
    </row>
    <row r="17" spans="1:8" x14ac:dyDescent="0.4">
      <c r="A17">
        <v>1000</v>
      </c>
      <c r="B17" s="4">
        <v>-2.95</v>
      </c>
      <c r="C17" s="4">
        <v>-3</v>
      </c>
      <c r="D17" s="1">
        <v>14.95</v>
      </c>
      <c r="E17" s="4">
        <v>15.1</v>
      </c>
      <c r="F17" s="1">
        <f t="shared" si="0"/>
        <v>15.024999999999999</v>
      </c>
      <c r="G17" s="7">
        <f t="shared" si="1"/>
        <v>7.1759630297439467E-2</v>
      </c>
      <c r="H17" s="7">
        <f t="shared" si="2"/>
        <v>6.8673966194649563E-2</v>
      </c>
    </row>
    <row r="18" spans="1:8" x14ac:dyDescent="0.4">
      <c r="A18">
        <v>1200</v>
      </c>
      <c r="B18" s="4">
        <v>-6</v>
      </c>
      <c r="C18" s="4">
        <v>-6</v>
      </c>
      <c r="D18" s="1">
        <v>18</v>
      </c>
      <c r="E18" s="4">
        <v>18.100000000000001</v>
      </c>
      <c r="F18" s="1">
        <f t="shared" si="0"/>
        <v>18.05</v>
      </c>
      <c r="G18" s="7">
        <f t="shared" si="1"/>
        <v>8.5947244684773411E-2</v>
      </c>
      <c r="H18" s="7">
        <f t="shared" si="2"/>
        <v>8.2251513163328155E-2</v>
      </c>
    </row>
    <row r="19" spans="1:8" x14ac:dyDescent="0.4">
      <c r="A19">
        <v>1400</v>
      </c>
      <c r="B19" s="4">
        <v>-8.8000000000000007</v>
      </c>
      <c r="C19" s="4">
        <v>-8.9</v>
      </c>
      <c r="D19" s="1">
        <v>20.8</v>
      </c>
      <c r="E19" s="4">
        <v>21</v>
      </c>
      <c r="F19" s="1">
        <f t="shared" si="0"/>
        <v>20.9</v>
      </c>
      <c r="G19" s="7">
        <f t="shared" si="1"/>
        <v>9.9187839869727984E-2</v>
      </c>
      <c r="H19" s="7">
        <f t="shared" si="2"/>
        <v>9.4922762755329682E-2</v>
      </c>
    </row>
    <row r="20" spans="1:8" x14ac:dyDescent="0.4">
      <c r="A20">
        <v>1600</v>
      </c>
      <c r="B20" s="4">
        <v>-11.5</v>
      </c>
      <c r="C20" s="4">
        <v>-11.8</v>
      </c>
      <c r="D20" s="1">
        <v>23.5</v>
      </c>
      <c r="E20" s="4">
        <v>23.9</v>
      </c>
      <c r="F20" s="1">
        <f t="shared" si="0"/>
        <v>23.7</v>
      </c>
      <c r="G20" s="7">
        <f t="shared" si="1"/>
        <v>0.11206043333590836</v>
      </c>
      <c r="H20" s="7">
        <f t="shared" si="2"/>
        <v>0.10724183470246429</v>
      </c>
    </row>
    <row r="21" spans="1:8" x14ac:dyDescent="0.4">
      <c r="A21">
        <v>1800</v>
      </c>
      <c r="B21" s="4">
        <v>-14.5</v>
      </c>
      <c r="C21" s="4">
        <v>-14.8</v>
      </c>
      <c r="D21" s="1">
        <v>26.5</v>
      </c>
      <c r="E21" s="4">
        <v>26.9</v>
      </c>
      <c r="F21" s="1">
        <f t="shared" si="0"/>
        <v>26.7</v>
      </c>
      <c r="G21" s="7">
        <f t="shared" si="1"/>
        <v>0.12568645008496038</v>
      </c>
      <c r="H21" s="7">
        <f t="shared" si="2"/>
        <v>0.12028193273130708</v>
      </c>
    </row>
    <row r="22" spans="1:8" x14ac:dyDescent="0.4">
      <c r="A22">
        <v>2000</v>
      </c>
      <c r="B22" s="4">
        <v>-17.5</v>
      </c>
      <c r="C22" s="4">
        <v>-17.7</v>
      </c>
      <c r="D22" s="1">
        <v>29.5</v>
      </c>
      <c r="E22" s="4">
        <v>29.799999999999997</v>
      </c>
      <c r="F22" s="1">
        <f t="shared" si="0"/>
        <v>29.65</v>
      </c>
      <c r="G22" s="7">
        <f t="shared" si="1"/>
        <v>0.13890208148893404</v>
      </c>
      <c r="H22" s="7">
        <f t="shared" si="2"/>
        <v>0.13292929198490988</v>
      </c>
    </row>
    <row r="23" spans="1:8" x14ac:dyDescent="0.4">
      <c r="A23" t="s">
        <v>65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楊氏係數測量</vt:lpstr>
      <vt:lpstr>扭擺</vt:lpstr>
      <vt:lpstr>討論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張娟鳴</dc:creator>
  <cp:lastModifiedBy>張娟鳴</cp:lastModifiedBy>
  <dcterms:created xsi:type="dcterms:W3CDTF">2019-10-27T06:44:58Z</dcterms:created>
  <dcterms:modified xsi:type="dcterms:W3CDTF">2019-10-30T15:58:39Z</dcterms:modified>
</cp:coreProperties>
</file>