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普物實驗\"/>
    </mc:Choice>
  </mc:AlternateContent>
  <bookViews>
    <workbookView xWindow="0" yWindow="0" windowWidth="14380" windowHeight="63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1" l="1"/>
  <c r="B61" i="1"/>
  <c r="B60" i="1"/>
  <c r="H57" i="1"/>
  <c r="I57" i="1" s="1"/>
  <c r="B57" i="1"/>
  <c r="C57" i="1" s="1"/>
  <c r="H56" i="1"/>
  <c r="I56" i="1" s="1"/>
  <c r="B56" i="1"/>
  <c r="C56" i="1" s="1"/>
  <c r="H55" i="1"/>
  <c r="I55" i="1" s="1"/>
  <c r="B55" i="1"/>
  <c r="C55" i="1" s="1"/>
  <c r="H54" i="1"/>
  <c r="I54" i="1" s="1"/>
  <c r="B54" i="1"/>
  <c r="C54" i="1" s="1"/>
  <c r="H53" i="1"/>
  <c r="I53" i="1" s="1"/>
  <c r="B53" i="1"/>
  <c r="C53" i="1" s="1"/>
  <c r="H52" i="1"/>
  <c r="I52" i="1" s="1"/>
  <c r="B52" i="1"/>
  <c r="C52" i="1" s="1"/>
  <c r="D63" i="1" l="1"/>
  <c r="H26" i="1"/>
  <c r="H27" i="1"/>
  <c r="H28" i="1"/>
  <c r="H25" i="1"/>
  <c r="J35" i="1" l="1"/>
  <c r="B35" i="1"/>
  <c r="B17" i="1"/>
  <c r="C35" i="1" s="1"/>
  <c r="I9" i="1"/>
  <c r="J9" i="1" s="1"/>
  <c r="B9" i="1"/>
  <c r="C9" i="1" s="1"/>
  <c r="I8" i="1"/>
  <c r="J8" i="1" s="1"/>
  <c r="B8" i="1"/>
  <c r="C8" i="1" s="1"/>
  <c r="I7" i="1"/>
  <c r="J7" i="1" s="1"/>
  <c r="B7" i="1"/>
  <c r="C7" i="1" s="1"/>
  <c r="I6" i="1"/>
  <c r="J6" i="1" s="1"/>
  <c r="B6" i="1"/>
  <c r="C6" i="1" s="1"/>
  <c r="I5" i="1"/>
  <c r="J5" i="1" s="1"/>
  <c r="B5" i="1"/>
  <c r="C5" i="1" s="1"/>
  <c r="I4" i="1"/>
  <c r="J4" i="1" s="1"/>
  <c r="B4" i="1"/>
  <c r="C4" i="1" s="1"/>
  <c r="I3" i="1"/>
  <c r="J3" i="1" s="1"/>
  <c r="B3" i="1"/>
  <c r="C3" i="1" s="1"/>
  <c r="C37" i="1" l="1"/>
  <c r="D37" i="1" s="1"/>
  <c r="D35" i="1"/>
  <c r="H42" i="1"/>
  <c r="H48" i="1"/>
  <c r="I48" i="1" s="1"/>
  <c r="J48" i="1" s="1"/>
  <c r="K48" i="1" s="1"/>
  <c r="H47" i="1"/>
  <c r="I47" i="1" s="1"/>
  <c r="J47" i="1" s="1"/>
  <c r="C44" i="1"/>
  <c r="D44" i="1"/>
  <c r="D45" i="1"/>
  <c r="C45" i="1"/>
  <c r="B45" i="1"/>
  <c r="J37" i="1"/>
  <c r="K37" i="1" s="1"/>
  <c r="L37" i="1" s="1"/>
  <c r="J36" i="1"/>
  <c r="K36" i="1" s="1"/>
  <c r="L36" i="1" s="1"/>
  <c r="K35" i="1"/>
  <c r="L35" i="1" s="1"/>
  <c r="B37" i="1"/>
  <c r="B36" i="1"/>
  <c r="C36" i="1" s="1"/>
  <c r="D36" i="1" s="1"/>
  <c r="B15" i="1"/>
  <c r="D19" i="1" s="1"/>
  <c r="H33" i="1"/>
  <c r="I26" i="1"/>
  <c r="J26" i="1" s="1"/>
  <c r="I27" i="1"/>
  <c r="J27" i="1" s="1"/>
  <c r="I28" i="1"/>
  <c r="J28" i="1" s="1"/>
  <c r="I25" i="1"/>
  <c r="J25" i="1" s="1"/>
  <c r="B28" i="1"/>
  <c r="B27" i="1"/>
  <c r="B26" i="1"/>
  <c r="B25" i="1"/>
  <c r="C23" i="1"/>
  <c r="E44" i="1" l="1"/>
  <c r="K47" i="1"/>
  <c r="E45" i="1"/>
  <c r="B48" i="1"/>
  <c r="L48" i="1" s="1"/>
  <c r="M48" i="1" s="1"/>
  <c r="B47" i="1"/>
  <c r="B18" i="1"/>
  <c r="L47" i="1" l="1"/>
  <c r="M47" i="1" s="1"/>
  <c r="M35" i="1"/>
  <c r="N35" i="1" s="1"/>
  <c r="D20" i="1"/>
  <c r="M37" i="1"/>
  <c r="N37" i="1" s="1"/>
  <c r="M36" i="1"/>
  <c r="N36" i="1" s="1"/>
</calcChain>
</file>

<file path=xl/sharedStrings.xml><?xml version="1.0" encoding="utf-8"?>
<sst xmlns="http://schemas.openxmlformats.org/spreadsheetml/2006/main" count="95" uniqueCount="75">
  <si>
    <t>圈數</t>
    <phoneticPr fontId="2" type="noConversion"/>
  </si>
  <si>
    <t>θ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</si>
  <si>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</si>
  <si>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</si>
  <si>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</si>
  <si>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t5</t>
    <phoneticPr fontId="2" type="noConversion"/>
  </si>
  <si>
    <t>ta</t>
    <phoneticPr fontId="2" type="noConversion"/>
  </si>
  <si>
    <t>m(盤)(g)</t>
    <phoneticPr fontId="2" type="noConversion"/>
  </si>
  <si>
    <t>半徑(cm)</t>
    <phoneticPr fontId="2" type="noConversion"/>
  </si>
  <si>
    <t>力臂(cm)</t>
    <phoneticPr fontId="2" type="noConversion"/>
  </si>
  <si>
    <t>I(圓盤)</t>
    <phoneticPr fontId="2" type="noConversion"/>
  </si>
  <si>
    <t>τ=(I+I支架)α=mgr</t>
    <phoneticPr fontId="2" type="noConversion"/>
  </si>
  <si>
    <t>I+I支架=</t>
    <phoneticPr fontId="2" type="noConversion"/>
  </si>
  <si>
    <t>m(掛重)(g)</t>
    <phoneticPr fontId="2" type="noConversion"/>
  </si>
  <si>
    <t>I支架=</t>
    <phoneticPr fontId="2" type="noConversion"/>
  </si>
  <si>
    <t>I支架(理論)=((mg-ma)r/a)-I=</t>
    <phoneticPr fontId="2" type="noConversion"/>
  </si>
  <si>
    <t>修正值(實際-理論)=</t>
    <phoneticPr fontId="2" type="noConversion"/>
  </si>
  <si>
    <t>B</t>
    <phoneticPr fontId="2" type="noConversion"/>
  </si>
  <si>
    <r>
      <t>角位移=2</t>
    </r>
    <r>
      <rPr>
        <sz val="12"/>
        <color theme="1"/>
        <rFont val="新細明體"/>
        <family val="1"/>
        <charset val="136"/>
      </rPr>
      <t>π</t>
    </r>
    <r>
      <rPr>
        <sz val="12"/>
        <color theme="1"/>
        <rFont val="新細明體"/>
        <family val="2"/>
        <charset val="136"/>
      </rPr>
      <t>=</t>
    </r>
    <phoneticPr fontId="2" type="noConversion"/>
  </si>
  <si>
    <t>掛重</t>
    <phoneticPr fontId="2" type="noConversion"/>
  </si>
  <si>
    <t>力矩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</si>
  <si>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</si>
  <si>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</si>
  <si>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</si>
  <si>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</si>
  <si>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t5</t>
    <phoneticPr fontId="2" type="noConversion"/>
  </si>
  <si>
    <t>20(19.8)</t>
    <phoneticPr fontId="2" type="noConversion"/>
  </si>
  <si>
    <t>30(29.6)</t>
    <phoneticPr fontId="2" type="noConversion"/>
  </si>
  <si>
    <t>40(39.2)</t>
    <phoneticPr fontId="2" type="noConversion"/>
  </si>
  <si>
    <t>ta</t>
    <phoneticPr fontId="2" type="noConversion"/>
  </si>
  <si>
    <r>
      <t>ta</t>
    </r>
    <r>
      <rPr>
        <sz val="12"/>
        <color theme="1"/>
        <rFont val="新細明體"/>
        <family val="1"/>
        <charset val="136"/>
      </rPr>
      <t>²</t>
    </r>
    <phoneticPr fontId="2" type="noConversion"/>
  </si>
  <si>
    <t>ta²</t>
  </si>
  <si>
    <t>α</t>
  </si>
  <si>
    <t>C</t>
    <phoneticPr fontId="2" type="noConversion"/>
  </si>
  <si>
    <t>掛重(g)=</t>
    <phoneticPr fontId="2" type="noConversion"/>
  </si>
  <si>
    <t>圓盤</t>
    <phoneticPr fontId="2" type="noConversion"/>
  </si>
  <si>
    <t>圓盤+圓環</t>
    <phoneticPr fontId="2" type="noConversion"/>
  </si>
  <si>
    <t>2圓盤</t>
    <phoneticPr fontId="2" type="noConversion"/>
  </si>
  <si>
    <t>r(cm)=</t>
    <phoneticPr fontId="2" type="noConversion"/>
  </si>
  <si>
    <t>τ=</t>
    <phoneticPr fontId="2" type="noConversion"/>
  </si>
  <si>
    <t>I</t>
    <phoneticPr fontId="2" type="noConversion"/>
  </si>
  <si>
    <t>I+I支架</t>
    <phoneticPr fontId="2" type="noConversion"/>
  </si>
  <si>
    <t>1/(I+I支架)</t>
    <phoneticPr fontId="2" type="noConversion"/>
  </si>
  <si>
    <t>t1</t>
    <phoneticPr fontId="2" type="noConversion"/>
  </si>
  <si>
    <t>t2</t>
    <phoneticPr fontId="2" type="noConversion"/>
  </si>
  <si>
    <t>t4</t>
    <phoneticPr fontId="2" type="noConversion"/>
  </si>
  <si>
    <t>t5</t>
    <phoneticPr fontId="2" type="noConversion"/>
  </si>
  <si>
    <t>ta</t>
    <phoneticPr fontId="2" type="noConversion"/>
  </si>
  <si>
    <t>ta²</t>
    <phoneticPr fontId="2" type="noConversion"/>
  </si>
  <si>
    <t>α</t>
    <phoneticPr fontId="2" type="noConversion"/>
  </si>
  <si>
    <r>
      <t>(I+I支架)</t>
    </r>
    <r>
      <rPr>
        <sz val="12"/>
        <color theme="1"/>
        <rFont val="新細明體"/>
        <family val="1"/>
        <charset val="136"/>
      </rPr>
      <t>α</t>
    </r>
    <phoneticPr fontId="2" type="noConversion"/>
  </si>
  <si>
    <t>誤差(%)</t>
    <phoneticPr fontId="2" type="noConversion"/>
  </si>
  <si>
    <t>D</t>
    <phoneticPr fontId="2" type="noConversion"/>
  </si>
  <si>
    <t>掛重(g)=</t>
    <phoneticPr fontId="2" type="noConversion"/>
  </si>
  <si>
    <t>r(cm)=</t>
    <phoneticPr fontId="2" type="noConversion"/>
  </si>
  <si>
    <t>1kg圓柱</t>
    <phoneticPr fontId="2" type="noConversion"/>
  </si>
  <si>
    <t>250g圓柱</t>
    <phoneticPr fontId="2" type="noConversion"/>
  </si>
  <si>
    <t>圓盤+1kg圓柱</t>
    <phoneticPr fontId="2" type="noConversion"/>
  </si>
  <si>
    <t>圓盤+250g圓柱</t>
    <phoneticPr fontId="2" type="noConversion"/>
  </si>
  <si>
    <t>半徑(cm)</t>
    <phoneticPr fontId="2" type="noConversion"/>
  </si>
  <si>
    <t>d(cm)</t>
    <phoneticPr fontId="2" type="noConversion"/>
  </si>
  <si>
    <t>重量(g)</t>
    <phoneticPr fontId="2" type="noConversion"/>
  </si>
  <si>
    <t>I圓柱</t>
    <phoneticPr fontId="2" type="noConversion"/>
  </si>
  <si>
    <t>I(圓盤+支架)</t>
    <phoneticPr fontId="2" type="noConversion"/>
  </si>
  <si>
    <t>t1</t>
    <phoneticPr fontId="2" type="noConversion"/>
  </si>
  <si>
    <t>t2</t>
    <phoneticPr fontId="2" type="noConversion"/>
  </si>
  <si>
    <t>I總</t>
    <phoneticPr fontId="2" type="noConversion"/>
  </si>
  <si>
    <t>I圓柱</t>
    <phoneticPr fontId="2" type="noConversion"/>
  </si>
  <si>
    <t>誤差(%)</t>
    <phoneticPr fontId="2" type="noConversion"/>
  </si>
  <si>
    <t>2θ</t>
    <phoneticPr fontId="2" type="noConversion"/>
  </si>
  <si>
    <t>t1</t>
    <phoneticPr fontId="2" type="noConversion"/>
  </si>
  <si>
    <t>t4</t>
    <phoneticPr fontId="2" type="noConversion"/>
  </si>
  <si>
    <t>t5</t>
    <phoneticPr fontId="2" type="noConversion"/>
  </si>
  <si>
    <t>A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</si>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</sst>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0.00_);[Red]\(0.00\)"/>
    <numFmt numFmtId="177" formatCode="0.0000"/>
    <numFmt numFmtId="178" formatCode="0.000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t²-2</a:t>
            </a:r>
            <a:r>
              <a:rPr lang="el-GR" altLang="zh-TW" sz="1800" b="0" i="0" baseline="0">
                <a:effectLst/>
              </a:rPr>
              <a:t>θ</a:t>
            </a:r>
            <a:r>
              <a:rPr lang="zh-TW" altLang="zh-TW" sz="1800" b="0" i="0" baseline="0">
                <a:effectLst/>
              </a:rPr>
              <a:t>圖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工作表1!$C$2</c:f>
              <c:strCache>
                <c:ptCount val="1"/>
                <c:pt idx="0">
                  <c:v>2θ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工作表1!$J$3:$J$9</c:f>
              <c:numCache>
                <c:formatCode>0.00</c:formatCode>
                <c:ptCount val="7"/>
                <c:pt idx="0">
                  <c:v>10.732176000000004</c:v>
                </c:pt>
                <c:pt idx="1">
                  <c:v>28.85838399999999</c:v>
                </c:pt>
                <c:pt idx="2">
                  <c:v>57.123363999999995</c:v>
                </c:pt>
                <c:pt idx="3">
                  <c:v>89.302499999999981</c:v>
                </c:pt>
                <c:pt idx="4">
                  <c:v>120.69219600000001</c:v>
                </c:pt>
                <c:pt idx="5">
                  <c:v>215.26758400000003</c:v>
                </c:pt>
                <c:pt idx="6">
                  <c:v>257.60250000000002</c:v>
                </c:pt>
              </c:numCache>
            </c:numRef>
          </c:xVal>
          <c:yVal>
            <c:numRef>
              <c:f>工作表1!$C$3:$C$9</c:f>
              <c:numCache>
                <c:formatCode>0.00_);[Red]\(0.00\)</c:formatCode>
                <c:ptCount val="7"/>
                <c:pt idx="0">
                  <c:v>1.5707963267948966</c:v>
                </c:pt>
                <c:pt idx="1">
                  <c:v>3.1415926535897931</c:v>
                </c:pt>
                <c:pt idx="2">
                  <c:v>6.2831853071795862</c:v>
                </c:pt>
                <c:pt idx="3">
                  <c:v>9.4247779607693793</c:v>
                </c:pt>
                <c:pt idx="4">
                  <c:v>12.566370614359172</c:v>
                </c:pt>
                <c:pt idx="5">
                  <c:v>18.849555921538759</c:v>
                </c:pt>
                <c:pt idx="6">
                  <c:v>25.132741228718345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1750432"/>
        <c:axId val="-1748523040"/>
      </c:scatterChart>
      <c:valAx>
        <c:axId val="-197175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48523040"/>
        <c:crosses val="autoZero"/>
        <c:crossBetween val="midCat"/>
      </c:valAx>
      <c:valAx>
        <c:axId val="-174852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97175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 b="0" i="0" baseline="0">
                <a:effectLst/>
              </a:rPr>
              <a:t>α</a:t>
            </a:r>
            <a:r>
              <a:rPr lang="en-US" altLang="zh-TW" sz="1800" b="0" i="0" baseline="0">
                <a:effectLst/>
              </a:rPr>
              <a:t>-</a:t>
            </a:r>
            <a:r>
              <a:rPr lang="el-GR" altLang="zh-TW" sz="1800" b="0" i="0" baseline="0">
                <a:effectLst/>
              </a:rPr>
              <a:t>τ</a:t>
            </a:r>
            <a:r>
              <a:rPr lang="zh-TW" altLang="zh-TW" sz="1800" b="0" i="0" baseline="0">
                <a:effectLst/>
              </a:rPr>
              <a:t>圖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工作表1!$B$24</c:f>
              <c:strCache>
                <c:ptCount val="1"/>
                <c:pt idx="0">
                  <c:v>力矩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工作表1!$J$25:$J$28</c:f>
              <c:numCache>
                <c:formatCode>0.000</c:formatCode>
                <c:ptCount val="4"/>
                <c:pt idx="0">
                  <c:v>0.10449929991325276</c:v>
                </c:pt>
                <c:pt idx="1">
                  <c:v>0.20486346144349221</c:v>
                </c:pt>
                <c:pt idx="2">
                  <c:v>0.30112362368946261</c:v>
                </c:pt>
                <c:pt idx="3">
                  <c:v>0.41814971162826448</c:v>
                </c:pt>
              </c:numCache>
            </c:numRef>
          </c:xVal>
          <c:yVal>
            <c:numRef>
              <c:f>工作表1!$B$25:$B$28</c:f>
              <c:numCache>
                <c:formatCode>0.00</c:formatCode>
                <c:ptCount val="4"/>
                <c:pt idx="0">
                  <c:v>10128.824999999999</c:v>
                </c:pt>
                <c:pt idx="1">
                  <c:v>20055.073499999999</c:v>
                </c:pt>
                <c:pt idx="2">
                  <c:v>29981.322</c:v>
                </c:pt>
                <c:pt idx="3">
                  <c:v>39704.994000000006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529024"/>
        <c:axId val="-1748524672"/>
      </c:scatterChart>
      <c:valAx>
        <c:axId val="-17485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48524672"/>
        <c:crosses val="autoZero"/>
        <c:crossBetween val="midCat"/>
      </c:valAx>
      <c:valAx>
        <c:axId val="-174852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485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1/𝐼′-</a:t>
            </a:r>
            <a:r>
              <a:rPr lang="el-GR" altLang="zh-TW" sz="1800" b="0" i="0" baseline="0">
                <a:effectLst/>
              </a:rPr>
              <a:t>α</a:t>
            </a:r>
            <a:r>
              <a:rPr lang="zh-TW" altLang="zh-TW" sz="1800" b="0" i="0" baseline="0">
                <a:effectLst/>
              </a:rPr>
              <a:t>圖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662960734559342"/>
          <c:y val="0.28800679081933467"/>
          <c:w val="0.72901840758277303"/>
          <c:h val="0.52339049323702758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工作表1!$L$34</c:f>
              <c:strCache>
                <c:ptCount val="1"/>
                <c:pt idx="0">
                  <c:v>α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82959707940189"/>
                  <c:y val="-7.20506557130965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工作表1!$D$35:$D$37</c:f>
              <c:numCache>
                <c:formatCode>General</c:formatCode>
                <c:ptCount val="3"/>
                <c:pt idx="0">
                  <c:v>8.9743874536286299E-6</c:v>
                </c:pt>
                <c:pt idx="1">
                  <c:v>3.3791978587261095E-6</c:v>
                </c:pt>
                <c:pt idx="2">
                  <c:v>4.4871937268143149E-6</c:v>
                </c:pt>
              </c:numCache>
            </c:numRef>
          </c:xVal>
          <c:yVal>
            <c:numRef>
              <c:f>工作表1!$L$35:$L$37</c:f>
              <c:numCache>
                <c:formatCode>0.000</c:formatCode>
                <c:ptCount val="3"/>
                <c:pt idx="0">
                  <c:v>0.20496813047304996</c:v>
                </c:pt>
                <c:pt idx="1">
                  <c:v>7.7691270342779228E-2</c:v>
                </c:pt>
                <c:pt idx="2">
                  <c:v>9.6898029870848973E-2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523584"/>
        <c:axId val="-1748521952"/>
      </c:scatterChart>
      <c:valAx>
        <c:axId val="-174852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48521952"/>
        <c:crosses val="autoZero"/>
        <c:crossBetween val="midCat"/>
      </c:valAx>
      <c:valAx>
        <c:axId val="-17485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485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t²-2</a:t>
            </a:r>
            <a:r>
              <a:rPr lang="el-GR" altLang="zh-TW" sz="1800" b="0" i="0" baseline="0">
                <a:effectLst/>
              </a:rPr>
              <a:t>θ</a:t>
            </a:r>
            <a:r>
              <a:rPr lang="zh-TW" altLang="zh-TW" sz="1800" b="0" i="0" baseline="0">
                <a:effectLst/>
              </a:rPr>
              <a:t>圖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60542432195976"/>
                  <c:y val="1.77941819772528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工作表1!$I$52:$I$57</c:f>
              <c:numCache>
                <c:formatCode>0.00</c:formatCode>
                <c:ptCount val="6"/>
                <c:pt idx="0">
                  <c:v>8.6877562500000014</c:v>
                </c:pt>
                <c:pt idx="1">
                  <c:v>18.835600000000007</c:v>
                </c:pt>
                <c:pt idx="2">
                  <c:v>56.400100000000009</c:v>
                </c:pt>
                <c:pt idx="3">
                  <c:v>121.33022500000001</c:v>
                </c:pt>
                <c:pt idx="4">
                  <c:v>209.96009999999995</c:v>
                </c:pt>
                <c:pt idx="5">
                  <c:v>275.89209999999997</c:v>
                </c:pt>
              </c:numCache>
            </c:numRef>
          </c:xVal>
          <c:yVal>
            <c:numRef>
              <c:f>工作表1!$C$52:$C$57</c:f>
              <c:numCache>
                <c:formatCode>0.00_);[Red]\(0.00\)</c:formatCode>
                <c:ptCount val="6"/>
                <c:pt idx="0">
                  <c:v>1.5707963267948966</c:v>
                </c:pt>
                <c:pt idx="1">
                  <c:v>3.1415926535897931</c:v>
                </c:pt>
                <c:pt idx="2">
                  <c:v>6.2831853071795862</c:v>
                </c:pt>
                <c:pt idx="3">
                  <c:v>12.566370614359172</c:v>
                </c:pt>
                <c:pt idx="4">
                  <c:v>18.849555921538759</c:v>
                </c:pt>
                <c:pt idx="5">
                  <c:v>25.132741228718345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524128"/>
        <c:axId val="-1748522496"/>
      </c:scatterChart>
      <c:valAx>
        <c:axId val="-174852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48522496"/>
        <c:crosses val="autoZero"/>
        <c:crossBetween val="midCat"/>
      </c:valAx>
      <c:valAx>
        <c:axId val="-17485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4852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53975</xdr:colOff>
      <xdr:row>9</xdr:row>
      <xdr:rowOff>28575</xdr:rowOff>
    </xdr:from>
    <xdr:ext cx="65" cy="172227"/>
    <xdr:sp macro="" textlink="">
      <xdr:nvSpPr>
        <xdr:cNvPr id="2" name="文字方塊 1"/>
        <xdr:cNvSpPr txBox="1"/>
      </xdr:nvSpPr>
      <xdr:spPr>
        <a:xfrm>
          <a:off x="5540375" y="175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10</xdr:col>
      <xdr:colOff>82549</xdr:colOff>
      <xdr:row>1</xdr:row>
      <xdr:rowOff>28575</xdr:rowOff>
    </xdr:from>
    <xdr:to>
      <xdr:col>16</xdr:col>
      <xdr:colOff>57150</xdr:colOff>
      <xdr:row>13</xdr:row>
      <xdr:rowOff>95250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88899</xdr:colOff>
      <xdr:row>21</xdr:row>
      <xdr:rowOff>9525</xdr:rowOff>
    </xdr:from>
    <xdr:to>
      <xdr:col>15</xdr:col>
      <xdr:colOff>263524</xdr:colOff>
      <xdr:row>30</xdr:row>
      <xdr:rowOff>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53975</xdr:colOff>
      <xdr:row>32</xdr:row>
      <xdr:rowOff>28575</xdr:rowOff>
    </xdr:from>
    <xdr:to>
      <xdr:col>18</xdr:col>
      <xdr:colOff>482600</xdr:colOff>
      <xdr:row>39</xdr:row>
      <xdr:rowOff>79384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111125</xdr:colOff>
      <xdr:row>50</xdr:row>
      <xdr:rowOff>142875</xdr:rowOff>
    </xdr:from>
    <xdr:to>
      <xdr:col>15</xdr:col>
      <xdr:colOff>38100</xdr:colOff>
      <xdr:row>61</xdr:row>
      <xdr:rowOff>25400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D4" sqref="D4"/>
    </sheetView>
  </sheetViews>
  <sheetFormatPr defaultRowHeight="17" x14ac:dyDescent="0.4"/>
  <cols>
    <col min="1" max="1" width="14" customWidth="1"/>
    <col min="2" max="2" width="12.453125" customWidth="1"/>
    <col min="4" max="4" width="10.90625" customWidth="1"/>
    <col min="5" max="5" width="11.36328125" customWidth="1"/>
    <col min="10" max="10" width="8.7265625" customWidth="1"/>
    <col min="11" max="11" width="9.81640625" bestFit="1" customWidth="1"/>
    <col min="12" max="12" width="10.90625" customWidth="1"/>
    <col min="13" max="13" width="11.1796875" customWidth="1"/>
  </cols>
  <sheetData>
    <row r="1" spans="1:10" x14ac:dyDescent="0.4">
      <c r="A1" t="s">
        <v>73</v>
      </c>
    </row>
    <row r="2" spans="1:10" x14ac:dyDescent="0.4">
      <c r="A2" t="s">
        <v>0</v>
      </c>
      <c r="B2" s="1" t="s">
        <v>1</v>
      </c>
      <c r="C2" t="s">
        <v>69</v>
      </c>
      <c r="D2" t="s">
        <v>70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30</v>
      </c>
    </row>
    <row r="3" spans="1:10" x14ac:dyDescent="0.4">
      <c r="A3" s="3">
        <v>0.125</v>
      </c>
      <c r="B3" s="2">
        <f>PI()*A3*2</f>
        <v>0.78539816339744828</v>
      </c>
      <c r="C3" s="2">
        <f>B3*2</f>
        <v>1.5707963267948966</v>
      </c>
      <c r="D3">
        <v>3.25</v>
      </c>
      <c r="E3">
        <v>3.22</v>
      </c>
      <c r="F3">
        <v>3.32</v>
      </c>
      <c r="G3">
        <v>3.34</v>
      </c>
      <c r="H3">
        <v>3.25</v>
      </c>
      <c r="I3" s="7">
        <f>AVERAGE(D3:H3)</f>
        <v>3.2760000000000007</v>
      </c>
      <c r="J3" s="7">
        <f>I3^2</f>
        <v>10.732176000000004</v>
      </c>
    </row>
    <row r="4" spans="1:10" x14ac:dyDescent="0.4">
      <c r="A4" s="3">
        <v>0.25</v>
      </c>
      <c r="B4" s="2">
        <f t="shared" ref="B4:B9" si="0">PI()*A4*2</f>
        <v>1.5707963267948966</v>
      </c>
      <c r="C4" s="2">
        <f t="shared" ref="C4:C9" si="1">B4*2</f>
        <v>3.1415926535897931</v>
      </c>
      <c r="D4">
        <v>5.28</v>
      </c>
      <c r="E4">
        <v>5.35</v>
      </c>
      <c r="F4">
        <v>5.47</v>
      </c>
      <c r="G4">
        <v>5.35</v>
      </c>
      <c r="H4">
        <v>5.41</v>
      </c>
      <c r="I4" s="7">
        <f t="shared" ref="I4:I9" si="2">AVERAGE(D4:H4)</f>
        <v>5.371999999999999</v>
      </c>
      <c r="J4" s="7">
        <f t="shared" ref="J4:J9" si="3">I4^2</f>
        <v>28.85838399999999</v>
      </c>
    </row>
    <row r="5" spans="1:10" x14ac:dyDescent="0.4">
      <c r="A5" s="3">
        <v>0.5</v>
      </c>
      <c r="B5" s="2">
        <f t="shared" si="0"/>
        <v>3.1415926535897931</v>
      </c>
      <c r="C5" s="2">
        <f t="shared" si="1"/>
        <v>6.2831853071795862</v>
      </c>
      <c r="D5">
        <v>7.72</v>
      </c>
      <c r="E5">
        <v>7.45</v>
      </c>
      <c r="F5">
        <v>7.47</v>
      </c>
      <c r="G5">
        <v>7.56</v>
      </c>
      <c r="H5">
        <v>7.59</v>
      </c>
      <c r="I5" s="7">
        <f t="shared" si="2"/>
        <v>7.5579999999999998</v>
      </c>
      <c r="J5" s="7">
        <f t="shared" si="3"/>
        <v>57.123363999999995</v>
      </c>
    </row>
    <row r="6" spans="1:10" x14ac:dyDescent="0.4">
      <c r="A6" s="3">
        <v>0.75</v>
      </c>
      <c r="B6" s="2">
        <f t="shared" si="0"/>
        <v>4.7123889803846897</v>
      </c>
      <c r="C6" s="2">
        <f t="shared" si="1"/>
        <v>9.4247779607693793</v>
      </c>
      <c r="D6">
        <v>9.44</v>
      </c>
      <c r="E6">
        <v>9.5</v>
      </c>
      <c r="F6">
        <v>9.43</v>
      </c>
      <c r="G6">
        <v>9.3800000000000008</v>
      </c>
      <c r="H6">
        <v>9.5</v>
      </c>
      <c r="I6" s="7">
        <f t="shared" si="2"/>
        <v>9.4499999999999993</v>
      </c>
      <c r="J6" s="7">
        <f t="shared" si="3"/>
        <v>89.302499999999981</v>
      </c>
    </row>
    <row r="7" spans="1:10" x14ac:dyDescent="0.4">
      <c r="A7" s="3">
        <v>1</v>
      </c>
      <c r="B7" s="2">
        <f t="shared" si="0"/>
        <v>6.2831853071795862</v>
      </c>
      <c r="C7" s="2">
        <f t="shared" si="1"/>
        <v>12.566370614359172</v>
      </c>
      <c r="D7">
        <v>11.13</v>
      </c>
      <c r="E7">
        <v>11.13</v>
      </c>
      <c r="F7">
        <v>10.84</v>
      </c>
      <c r="G7">
        <v>10.81</v>
      </c>
      <c r="H7">
        <v>11.02</v>
      </c>
      <c r="I7" s="7">
        <f t="shared" si="2"/>
        <v>10.986000000000001</v>
      </c>
      <c r="J7" s="7">
        <f t="shared" si="3"/>
        <v>120.69219600000001</v>
      </c>
    </row>
    <row r="8" spans="1:10" x14ac:dyDescent="0.4">
      <c r="A8" s="3">
        <v>1.5</v>
      </c>
      <c r="B8" s="2">
        <f t="shared" si="0"/>
        <v>9.4247779607693793</v>
      </c>
      <c r="C8" s="2">
        <f t="shared" si="1"/>
        <v>18.849555921538759</v>
      </c>
      <c r="D8">
        <v>14.56</v>
      </c>
      <c r="E8">
        <v>14.81</v>
      </c>
      <c r="F8">
        <v>14.62</v>
      </c>
      <c r="G8">
        <v>14.67</v>
      </c>
      <c r="H8">
        <v>14.7</v>
      </c>
      <c r="I8" s="7">
        <f t="shared" si="2"/>
        <v>14.672000000000001</v>
      </c>
      <c r="J8" s="7">
        <f t="shared" si="3"/>
        <v>215.26758400000003</v>
      </c>
    </row>
    <row r="9" spans="1:10" x14ac:dyDescent="0.4">
      <c r="A9" s="3">
        <v>2</v>
      </c>
      <c r="B9" s="2">
        <f t="shared" si="0"/>
        <v>12.566370614359172</v>
      </c>
      <c r="C9" s="2">
        <f t="shared" si="1"/>
        <v>25.132741228718345</v>
      </c>
      <c r="D9">
        <v>15.94</v>
      </c>
      <c r="E9">
        <v>16</v>
      </c>
      <c r="F9">
        <v>16.16</v>
      </c>
      <c r="G9">
        <v>16.12</v>
      </c>
      <c r="H9">
        <v>16.03</v>
      </c>
      <c r="I9" s="7">
        <f t="shared" si="2"/>
        <v>16.05</v>
      </c>
      <c r="J9" s="7">
        <f t="shared" si="3"/>
        <v>257.60250000000002</v>
      </c>
    </row>
    <row r="11" spans="1:10" x14ac:dyDescent="0.4">
      <c r="A11" t="s">
        <v>7</v>
      </c>
      <c r="B11">
        <v>1000</v>
      </c>
    </row>
    <row r="12" spans="1:10" x14ac:dyDescent="0.4">
      <c r="A12" t="s">
        <v>8</v>
      </c>
      <c r="B12">
        <v>15</v>
      </c>
    </row>
    <row r="13" spans="1:10" x14ac:dyDescent="0.4">
      <c r="A13" t="s">
        <v>13</v>
      </c>
      <c r="B13">
        <v>10</v>
      </c>
    </row>
    <row r="14" spans="1:10" x14ac:dyDescent="0.4">
      <c r="A14" t="s">
        <v>9</v>
      </c>
      <c r="B14" s="4">
        <v>1.0325</v>
      </c>
    </row>
    <row r="15" spans="1:10" x14ac:dyDescent="0.4">
      <c r="A15" t="s">
        <v>10</v>
      </c>
      <c r="B15">
        <f>1/2*B11*B12^2</f>
        <v>112500</v>
      </c>
    </row>
    <row r="16" spans="1:10" x14ac:dyDescent="0.4">
      <c r="A16" s="1" t="s">
        <v>11</v>
      </c>
    </row>
    <row r="17" spans="1:10" x14ac:dyDescent="0.4">
      <c r="A17" s="1" t="s">
        <v>12</v>
      </c>
      <c r="B17" s="7">
        <f>10*981*1.0325/0.0909</f>
        <v>111428.21782178218</v>
      </c>
    </row>
    <row r="18" spans="1:10" x14ac:dyDescent="0.4">
      <c r="A18" s="1" t="s">
        <v>14</v>
      </c>
      <c r="B18" s="7">
        <f>B17-B15</f>
        <v>-1071.7821782178216</v>
      </c>
    </row>
    <row r="19" spans="1:10" x14ac:dyDescent="0.4">
      <c r="A19" s="1" t="s">
        <v>15</v>
      </c>
      <c r="D19" s="7">
        <f>(10*981*B14-10*0.0776*B14^2)/0.0909-B15</f>
        <v>-1080.8829444444418</v>
      </c>
    </row>
    <row r="20" spans="1:10" x14ac:dyDescent="0.4">
      <c r="A20" s="1" t="s">
        <v>16</v>
      </c>
      <c r="D20" s="6">
        <f>B18-D19</f>
        <v>9.1007662266201805</v>
      </c>
    </row>
    <row r="22" spans="1:10" x14ac:dyDescent="0.4">
      <c r="A22" t="s">
        <v>17</v>
      </c>
    </row>
    <row r="23" spans="1:10" x14ac:dyDescent="0.4">
      <c r="A23" t="s">
        <v>18</v>
      </c>
      <c r="C23">
        <f>2*PI()</f>
        <v>6.2831853071795862</v>
      </c>
    </row>
    <row r="24" spans="1:10" x14ac:dyDescent="0.4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71</v>
      </c>
      <c r="G24" t="s">
        <v>72</v>
      </c>
      <c r="H24" t="s">
        <v>29</v>
      </c>
      <c r="I24" t="s">
        <v>48</v>
      </c>
      <c r="J24" s="1" t="s">
        <v>49</v>
      </c>
    </row>
    <row r="25" spans="1:10" x14ac:dyDescent="0.4">
      <c r="A25">
        <v>10</v>
      </c>
      <c r="B25" s="7">
        <f>A25*981*B14</f>
        <v>10128.824999999999</v>
      </c>
      <c r="C25">
        <v>10.84</v>
      </c>
      <c r="D25">
        <v>10.81</v>
      </c>
      <c r="E25">
        <v>11.13</v>
      </c>
      <c r="F25">
        <v>11.13</v>
      </c>
      <c r="G25">
        <v>10.92</v>
      </c>
      <c r="H25" s="7">
        <f>AVERAGE(C25:G25)</f>
        <v>10.966000000000001</v>
      </c>
      <c r="I25" s="7">
        <f>H25^2</f>
        <v>120.25315600000002</v>
      </c>
      <c r="J25" s="6">
        <f>2*2*PI()/I25</f>
        <v>0.10449929991325276</v>
      </c>
    </row>
    <row r="26" spans="1:10" x14ac:dyDescent="0.4">
      <c r="A26" t="s">
        <v>26</v>
      </c>
      <c r="B26" s="7">
        <f>19.8*981*B14</f>
        <v>20055.073499999999</v>
      </c>
      <c r="C26">
        <v>8.09</v>
      </c>
      <c r="D26">
        <v>7.63</v>
      </c>
      <c r="E26">
        <v>7.78</v>
      </c>
      <c r="F26">
        <v>7.86</v>
      </c>
      <c r="G26">
        <v>7.8</v>
      </c>
      <c r="H26" s="7">
        <f>AVERAGE(C26:G26)</f>
        <v>7.831999999999999</v>
      </c>
      <c r="I26" s="7">
        <f t="shared" ref="I26:I28" si="4">H26^2</f>
        <v>61.340223999999985</v>
      </c>
      <c r="J26" s="6">
        <f>2*2*PI()/I26</f>
        <v>0.20486346144349221</v>
      </c>
    </row>
    <row r="27" spans="1:10" x14ac:dyDescent="0.4">
      <c r="A27" t="s">
        <v>27</v>
      </c>
      <c r="B27" s="7">
        <f>29.6*981*B14</f>
        <v>29981.322</v>
      </c>
      <c r="C27">
        <v>6.47</v>
      </c>
      <c r="D27">
        <v>6.35</v>
      </c>
      <c r="E27">
        <v>6.56</v>
      </c>
      <c r="F27">
        <v>6.51</v>
      </c>
      <c r="G27">
        <v>6.41</v>
      </c>
      <c r="H27" s="7">
        <f>AVERAGE(C27:G27)</f>
        <v>6.4599999999999991</v>
      </c>
      <c r="I27" s="7">
        <f t="shared" si="4"/>
        <v>41.731599999999986</v>
      </c>
      <c r="J27" s="6">
        <f t="shared" ref="J27:J28" si="5">2*2*PI()/I27</f>
        <v>0.30112362368946261</v>
      </c>
    </row>
    <row r="28" spans="1:10" x14ac:dyDescent="0.4">
      <c r="A28" t="s">
        <v>28</v>
      </c>
      <c r="B28" s="7">
        <f>39.2*981*B14</f>
        <v>39704.994000000006</v>
      </c>
      <c r="C28">
        <v>5.37</v>
      </c>
      <c r="D28">
        <v>5.53</v>
      </c>
      <c r="E28">
        <v>5.5</v>
      </c>
      <c r="F28">
        <v>5.46</v>
      </c>
      <c r="G28">
        <v>5.55</v>
      </c>
      <c r="H28" s="7">
        <f>AVERAGE(C28:G28)</f>
        <v>5.4820000000000002</v>
      </c>
      <c r="I28" s="7">
        <f t="shared" si="4"/>
        <v>30.052324000000002</v>
      </c>
      <c r="J28" s="6">
        <f t="shared" si="5"/>
        <v>0.41814971162826448</v>
      </c>
    </row>
    <row r="32" spans="1:10" x14ac:dyDescent="0.4">
      <c r="A32" t="s">
        <v>33</v>
      </c>
    </row>
    <row r="33" spans="1:14" x14ac:dyDescent="0.4">
      <c r="A33" t="s">
        <v>34</v>
      </c>
      <c r="B33">
        <v>19.8</v>
      </c>
      <c r="D33" t="s">
        <v>38</v>
      </c>
      <c r="E33">
        <v>1.0325</v>
      </c>
      <c r="G33" s="1" t="s">
        <v>39</v>
      </c>
      <c r="H33">
        <f>B33*E33*981</f>
        <v>20055.073499999999</v>
      </c>
    </row>
    <row r="34" spans="1:14" x14ac:dyDescent="0.4"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23</v>
      </c>
      <c r="H34" t="s">
        <v>45</v>
      </c>
      <c r="I34" t="s">
        <v>46</v>
      </c>
      <c r="J34" t="s">
        <v>47</v>
      </c>
      <c r="K34" t="s">
        <v>31</v>
      </c>
      <c r="L34" t="s">
        <v>32</v>
      </c>
      <c r="M34" t="s">
        <v>50</v>
      </c>
      <c r="N34" t="s">
        <v>51</v>
      </c>
    </row>
    <row r="35" spans="1:14" x14ac:dyDescent="0.4">
      <c r="A35" t="s">
        <v>35</v>
      </c>
      <c r="B35">
        <f>0.5*1000*15^2</f>
        <v>112500</v>
      </c>
      <c r="C35">
        <f>B17</f>
        <v>111428.21782178218</v>
      </c>
      <c r="D35">
        <f>1/C35</f>
        <v>8.9743874536286299E-6</v>
      </c>
      <c r="E35">
        <v>8.09</v>
      </c>
      <c r="F35">
        <v>7.63</v>
      </c>
      <c r="G35">
        <v>7.78</v>
      </c>
      <c r="H35">
        <v>7.82</v>
      </c>
      <c r="I35">
        <v>7.83</v>
      </c>
      <c r="J35" s="7">
        <f>AVERAGE(E35:I35)</f>
        <v>7.83</v>
      </c>
      <c r="K35" s="7">
        <f>J35^2</f>
        <v>61.308900000000001</v>
      </c>
      <c r="L35" s="6">
        <f>2*2*PI()/K35</f>
        <v>0.20496813047304996</v>
      </c>
      <c r="M35" s="7">
        <f>C35*L35</f>
        <v>22839.233488874481</v>
      </c>
      <c r="N35" s="7">
        <f>(M35-H33)/H33*100</f>
        <v>13.88257185332421</v>
      </c>
    </row>
    <row r="36" spans="1:14" x14ac:dyDescent="0.4">
      <c r="A36" t="s">
        <v>36</v>
      </c>
      <c r="B36">
        <f>B35+0.5*1000*(15^2+12^2)</f>
        <v>297000</v>
      </c>
      <c r="C36">
        <f>B36-B35+C35</f>
        <v>295928.21782178216</v>
      </c>
      <c r="D36">
        <f>1/C36</f>
        <v>3.3791978587261095E-6</v>
      </c>
      <c r="E36">
        <v>12.72</v>
      </c>
      <c r="F36">
        <v>12.72</v>
      </c>
      <c r="G36">
        <v>12.75</v>
      </c>
      <c r="H36">
        <v>12.62</v>
      </c>
      <c r="I36">
        <v>12.78</v>
      </c>
      <c r="J36" s="7">
        <f t="shared" ref="J36" si="6">AVERAGE(E36:I36)</f>
        <v>12.718</v>
      </c>
      <c r="K36" s="7">
        <f t="shared" ref="K36:K37" si="7">J36^2</f>
        <v>161.747524</v>
      </c>
      <c r="L36" s="6">
        <f t="shared" ref="L36:L37" si="8">2*2*PI()/K36</f>
        <v>7.7691270342779228E-2</v>
      </c>
      <c r="M36" s="7">
        <f t="shared" ref="M36:M37" si="9">C36*L36</f>
        <v>22991.039172848938</v>
      </c>
      <c r="N36" s="7">
        <f>(M36-H33)/H33*100</f>
        <v>14.639515895311675</v>
      </c>
    </row>
    <row r="37" spans="1:14" x14ac:dyDescent="0.4">
      <c r="A37" t="s">
        <v>37</v>
      </c>
      <c r="B37">
        <f>B35*2</f>
        <v>225000</v>
      </c>
      <c r="C37">
        <f>C35*2</f>
        <v>222856.43564356436</v>
      </c>
      <c r="D37">
        <f>1/C37</f>
        <v>4.4871937268143149E-6</v>
      </c>
      <c r="E37">
        <v>11.31</v>
      </c>
      <c r="F37">
        <v>11.4</v>
      </c>
      <c r="G37">
        <v>11.35</v>
      </c>
      <c r="H37">
        <v>11.38</v>
      </c>
      <c r="I37">
        <v>11.5</v>
      </c>
      <c r="J37" s="7">
        <f>AVERAGE(E37:I37)</f>
        <v>11.388000000000002</v>
      </c>
      <c r="K37" s="7">
        <f t="shared" si="7"/>
        <v>129.68654400000003</v>
      </c>
      <c r="L37" s="6">
        <f t="shared" si="8"/>
        <v>9.6898029870848973E-2</v>
      </c>
      <c r="M37" s="7">
        <f t="shared" si="9"/>
        <v>21594.34955790103</v>
      </c>
      <c r="N37" s="7">
        <f>(M37-H33)/H33*100</f>
        <v>7.6752451587925226</v>
      </c>
    </row>
    <row r="41" spans="1:14" x14ac:dyDescent="0.4">
      <c r="A41" t="s">
        <v>52</v>
      </c>
    </row>
    <row r="42" spans="1:14" x14ac:dyDescent="0.4">
      <c r="A42" t="s">
        <v>53</v>
      </c>
      <c r="B42">
        <v>19.8</v>
      </c>
      <c r="D42" t="s">
        <v>54</v>
      </c>
      <c r="E42">
        <v>1.0325</v>
      </c>
      <c r="G42" s="1" t="s">
        <v>39</v>
      </c>
      <c r="H42">
        <f>B42*E42*981</f>
        <v>20055.073499999999</v>
      </c>
    </row>
    <row r="43" spans="1:14" x14ac:dyDescent="0.4">
      <c r="B43" t="s">
        <v>61</v>
      </c>
      <c r="C43" t="s">
        <v>59</v>
      </c>
      <c r="D43" t="s">
        <v>60</v>
      </c>
      <c r="E43" t="s">
        <v>67</v>
      </c>
    </row>
    <row r="44" spans="1:14" x14ac:dyDescent="0.4">
      <c r="A44" t="s">
        <v>55</v>
      </c>
      <c r="B44">
        <v>1000</v>
      </c>
      <c r="C44" s="5">
        <f>11/4</f>
        <v>2.75</v>
      </c>
      <c r="D44">
        <f>15</f>
        <v>15</v>
      </c>
      <c r="E44">
        <f>0.5*B44*C44^2+B44*(D44/2)^2</f>
        <v>60031.25</v>
      </c>
    </row>
    <row r="45" spans="1:14" x14ac:dyDescent="0.4">
      <c r="A45" t="s">
        <v>56</v>
      </c>
      <c r="B45">
        <f>250</f>
        <v>250</v>
      </c>
      <c r="C45" s="5">
        <f>3/2</f>
        <v>1.5</v>
      </c>
      <c r="D45">
        <f>15</f>
        <v>15</v>
      </c>
      <c r="E45">
        <f>0.5*B45*C45^2+B45*D45^2</f>
        <v>56531.25</v>
      </c>
    </row>
    <row r="46" spans="1:14" x14ac:dyDescent="0.4">
      <c r="B46" t="s">
        <v>63</v>
      </c>
      <c r="C46" t="s">
        <v>64</v>
      </c>
      <c r="D46" t="s">
        <v>65</v>
      </c>
      <c r="E46" t="s">
        <v>23</v>
      </c>
      <c r="F46" t="s">
        <v>24</v>
      </c>
      <c r="G46" t="s">
        <v>25</v>
      </c>
      <c r="H46" t="s">
        <v>29</v>
      </c>
      <c r="I46" t="s">
        <v>31</v>
      </c>
      <c r="J46" t="s">
        <v>32</v>
      </c>
      <c r="K46" t="s">
        <v>66</v>
      </c>
      <c r="L46" t="s">
        <v>62</v>
      </c>
      <c r="M46" t="s">
        <v>68</v>
      </c>
    </row>
    <row r="47" spans="1:14" x14ac:dyDescent="0.4">
      <c r="A47" t="s">
        <v>57</v>
      </c>
      <c r="B47">
        <f>B17</f>
        <v>111428.21782178218</v>
      </c>
      <c r="C47">
        <v>11.97</v>
      </c>
      <c r="D47">
        <v>12.07</v>
      </c>
      <c r="E47">
        <v>11.91</v>
      </c>
      <c r="F47">
        <v>12.06</v>
      </c>
      <c r="G47">
        <v>12.03</v>
      </c>
      <c r="H47" s="7">
        <f>AVERAGE(C47:G47)</f>
        <v>12.008000000000001</v>
      </c>
      <c r="I47" s="7">
        <f>H47^2</f>
        <v>144.19206400000002</v>
      </c>
      <c r="J47" s="6">
        <f>2*2*PI()/I47</f>
        <v>8.7150223568192839E-2</v>
      </c>
      <c r="K47" s="7">
        <f>H42/J47</f>
        <v>230120.73496641591</v>
      </c>
      <c r="L47" s="7">
        <f>(K47-B47)/2</f>
        <v>59346.258572316867</v>
      </c>
      <c r="M47" s="7">
        <f>(L47-E44)/E44*100</f>
        <v>-1.1410580783893942</v>
      </c>
    </row>
    <row r="48" spans="1:14" x14ac:dyDescent="0.4">
      <c r="A48" t="s">
        <v>58</v>
      </c>
      <c r="B48">
        <f>B17</f>
        <v>111428.21782178218</v>
      </c>
      <c r="C48">
        <v>11.84</v>
      </c>
      <c r="D48">
        <v>11.75</v>
      </c>
      <c r="E48">
        <v>11.88</v>
      </c>
      <c r="F48">
        <v>11.96</v>
      </c>
      <c r="G48">
        <v>11.78</v>
      </c>
      <c r="H48" s="7">
        <f>AVERAGE(C48:G48)</f>
        <v>11.842000000000001</v>
      </c>
      <c r="I48" s="7">
        <f>H48^2</f>
        <v>140.23296400000001</v>
      </c>
      <c r="J48" s="6">
        <f>2*2*PI()/I48</f>
        <v>8.9610675378430787E-2</v>
      </c>
      <c r="K48" s="7">
        <f>H42/J48</f>
        <v>223802.28042369199</v>
      </c>
      <c r="L48" s="7">
        <f>(K48-B48)/2</f>
        <v>56187.031300954906</v>
      </c>
      <c r="M48" s="7">
        <f>(L48-E45)/E45*100</f>
        <v>-0.60889985458501927</v>
      </c>
    </row>
    <row r="50" spans="1:9" x14ac:dyDescent="0.4">
      <c r="A50" t="s">
        <v>74</v>
      </c>
    </row>
    <row r="51" spans="1:9" x14ac:dyDescent="0.4">
      <c r="A51" t="s">
        <v>0</v>
      </c>
      <c r="B51" s="1" t="s">
        <v>1</v>
      </c>
      <c r="C51" t="s">
        <v>69</v>
      </c>
      <c r="D51" t="s">
        <v>21</v>
      </c>
      <c r="E51" t="s">
        <v>2</v>
      </c>
      <c r="F51" t="s">
        <v>3</v>
      </c>
      <c r="G51" t="s">
        <v>4</v>
      </c>
      <c r="H51" t="s">
        <v>6</v>
      </c>
      <c r="I51" t="s">
        <v>30</v>
      </c>
    </row>
    <row r="52" spans="1:9" x14ac:dyDescent="0.4">
      <c r="A52" s="3">
        <v>0.125</v>
      </c>
      <c r="B52" s="2">
        <f>PI()*A52*2</f>
        <v>0.78539816339744828</v>
      </c>
      <c r="C52" s="2">
        <f>B52*2</f>
        <v>1.5707963267948966</v>
      </c>
      <c r="D52">
        <v>2.95</v>
      </c>
      <c r="E52">
        <v>3.1</v>
      </c>
      <c r="F52">
        <v>2.91</v>
      </c>
      <c r="G52">
        <v>2.83</v>
      </c>
      <c r="H52" s="7">
        <f t="shared" ref="H52:H57" si="10">AVERAGE(D52:G52)</f>
        <v>2.9475000000000002</v>
      </c>
      <c r="I52" s="7">
        <f>H52^2</f>
        <v>8.6877562500000014</v>
      </c>
    </row>
    <row r="53" spans="1:9" x14ac:dyDescent="0.4">
      <c r="A53" s="3">
        <v>0.25</v>
      </c>
      <c r="B53" s="2">
        <f t="shared" ref="B53:B57" si="11">PI()*A53*2</f>
        <v>1.5707963267948966</v>
      </c>
      <c r="C53" s="2">
        <f t="shared" ref="C53:C57" si="12">B53*2</f>
        <v>3.1415926535897931</v>
      </c>
      <c r="D53">
        <v>4.28</v>
      </c>
      <c r="E53">
        <v>4.32</v>
      </c>
      <c r="F53">
        <v>4.32</v>
      </c>
      <c r="G53">
        <v>4.4400000000000004</v>
      </c>
      <c r="H53" s="7">
        <f t="shared" si="10"/>
        <v>4.3400000000000007</v>
      </c>
      <c r="I53" s="7">
        <f t="shared" ref="I53:I57" si="13">H53^2</f>
        <v>18.835600000000007</v>
      </c>
    </row>
    <row r="54" spans="1:9" x14ac:dyDescent="0.4">
      <c r="A54" s="3">
        <v>0.5</v>
      </c>
      <c r="B54" s="2">
        <f t="shared" si="11"/>
        <v>3.1415926535897931</v>
      </c>
      <c r="C54" s="2">
        <f t="shared" si="12"/>
        <v>6.2831853071795862</v>
      </c>
      <c r="D54">
        <v>7.72</v>
      </c>
      <c r="E54">
        <v>7.4</v>
      </c>
      <c r="F54">
        <v>7.4</v>
      </c>
      <c r="G54">
        <v>7.52</v>
      </c>
      <c r="H54" s="7">
        <f t="shared" si="10"/>
        <v>7.5100000000000007</v>
      </c>
      <c r="I54" s="7">
        <f t="shared" si="13"/>
        <v>56.400100000000009</v>
      </c>
    </row>
    <row r="55" spans="1:9" x14ac:dyDescent="0.4">
      <c r="A55" s="3">
        <v>1</v>
      </c>
      <c r="B55" s="2">
        <f t="shared" si="11"/>
        <v>6.2831853071795862</v>
      </c>
      <c r="C55" s="2">
        <f t="shared" si="12"/>
        <v>12.566370614359172</v>
      </c>
      <c r="D55">
        <v>11.04</v>
      </c>
      <c r="E55">
        <v>10.84</v>
      </c>
      <c r="F55">
        <v>11.08</v>
      </c>
      <c r="G55">
        <v>11.1</v>
      </c>
      <c r="H55" s="7">
        <f t="shared" si="10"/>
        <v>11.015000000000001</v>
      </c>
      <c r="I55" s="7">
        <f t="shared" si="13"/>
        <v>121.33022500000001</v>
      </c>
    </row>
    <row r="56" spans="1:9" x14ac:dyDescent="0.4">
      <c r="A56" s="3">
        <v>1.5</v>
      </c>
      <c r="B56" s="2">
        <f t="shared" si="11"/>
        <v>9.4247779607693793</v>
      </c>
      <c r="C56" s="2">
        <f t="shared" si="12"/>
        <v>18.849555921538759</v>
      </c>
      <c r="D56">
        <v>14.56</v>
      </c>
      <c r="E56">
        <v>14.76</v>
      </c>
      <c r="F56">
        <v>14.44</v>
      </c>
      <c r="G56">
        <v>14.2</v>
      </c>
      <c r="H56" s="7">
        <f t="shared" si="10"/>
        <v>14.489999999999998</v>
      </c>
      <c r="I56" s="7">
        <f t="shared" si="13"/>
        <v>209.96009999999995</v>
      </c>
    </row>
    <row r="57" spans="1:9" x14ac:dyDescent="0.4">
      <c r="A57" s="3">
        <v>2</v>
      </c>
      <c r="B57" s="2">
        <f t="shared" si="11"/>
        <v>12.566370614359172</v>
      </c>
      <c r="C57" s="2">
        <f t="shared" si="12"/>
        <v>25.132741228718345</v>
      </c>
      <c r="D57">
        <v>16.64</v>
      </c>
      <c r="E57">
        <v>16.84</v>
      </c>
      <c r="F57">
        <v>16.440000000000001</v>
      </c>
      <c r="G57">
        <v>16.52</v>
      </c>
      <c r="H57" s="7">
        <f t="shared" si="10"/>
        <v>16.61</v>
      </c>
      <c r="I57" s="7">
        <f t="shared" si="13"/>
        <v>275.89209999999997</v>
      </c>
    </row>
    <row r="59" spans="1:9" x14ac:dyDescent="0.4">
      <c r="A59" s="1" t="s">
        <v>11</v>
      </c>
    </row>
    <row r="60" spans="1:9" x14ac:dyDescent="0.4">
      <c r="A60" s="1" t="s">
        <v>12</v>
      </c>
      <c r="B60" s="7">
        <f>10*981*1.0325/0.0859</f>
        <v>117914.14435389987</v>
      </c>
    </row>
    <row r="61" spans="1:9" x14ac:dyDescent="0.4">
      <c r="A61" s="1" t="s">
        <v>14</v>
      </c>
      <c r="B61" s="7">
        <f>B60-B15</f>
        <v>5414.1443538998719</v>
      </c>
    </row>
    <row r="62" spans="1:9" x14ac:dyDescent="0.4">
      <c r="A62" s="1" t="s">
        <v>15</v>
      </c>
      <c r="D62" s="7">
        <f>(10*981*B14-10*0.0776*B14^2)/0.0859-B15</f>
        <v>5404.5138573923032</v>
      </c>
    </row>
    <row r="63" spans="1:9" x14ac:dyDescent="0.4">
      <c r="A63" s="1" t="s">
        <v>16</v>
      </c>
      <c r="D63" s="6">
        <f>B61-D62</f>
        <v>9.6304965075687505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張娟鳴</dc:creator>
  <cp:lastModifiedBy>張娟鳴</cp:lastModifiedBy>
  <dcterms:created xsi:type="dcterms:W3CDTF">2019-12-03T15:15:47Z</dcterms:created>
  <dcterms:modified xsi:type="dcterms:W3CDTF">2019-12-11T11:41:52Z</dcterms:modified>
</cp:coreProperties>
</file>