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3.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mc:AlternateContent xmlns:mc="http://schemas.openxmlformats.org/markup-compatibility/2006">
    <mc:Choice Requires="x15">
      <x15ac:absPath xmlns:x15ac="http://schemas.microsoft.com/office/spreadsheetml/2010/11/ac" url="C:\Users\ASUS\Downloads\"/>
    </mc:Choice>
  </mc:AlternateContent>
  <xr:revisionPtr revIDLastSave="0" documentId="13_ncr:1_{B6F226B3-62D3-4C5B-AC15-D6400EF9824C}" xr6:coauthVersionLast="47" xr6:coauthVersionMax="47" xr10:uidLastSave="{00000000-0000-0000-0000-000000000000}"/>
  <bookViews>
    <workbookView xWindow="-108" yWindow="-108" windowWidth="23256" windowHeight="13896" activeTab="4" xr2:uid="{DBE5CE84-00A1-1C47-A184-6FDC23602198}"/>
  </bookViews>
  <sheets>
    <sheet name="Claims Data" sheetId="1" r:id="rId1"/>
    <sheet name="Exploratory" sheetId="11" r:id="rId2"/>
    <sheet name="Pure Premium Work" sheetId="12" r:id="rId3"/>
    <sheet name="PivotWork" sheetId="14" r:id="rId4"/>
    <sheet name="Dashboard" sheetId="13" r:id="rId5"/>
    <sheet name="Report" sheetId="9" state="hidden" r:id="rId6"/>
  </sheets>
  <definedNames>
    <definedName name="_xlnm._FilterDatabase" localSheetId="0" hidden="1">'Claims Data'!$A$1:$S$101</definedName>
    <definedName name="Slicer_Year">#N/A</definedName>
  </definedNames>
  <calcPr calcId="191029"/>
  <pivotCaches>
    <pivotCache cacheId="0" r:id="rId7"/>
    <pivotCache cacheId="1"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2" i="1" l="1"/>
  <c r="P2" i="1"/>
  <c r="F2" i="1"/>
  <c r="O2" i="1"/>
  <c r="H38" i="12" l="1"/>
  <c r="F3" i="1"/>
  <c r="H5" i="12" l="1"/>
  <c r="H6" i="12"/>
  <c r="H7" i="12"/>
  <c r="H8" i="12"/>
  <c r="H9" i="12"/>
  <c r="B15" i="12"/>
  <c r="B16" i="12" s="1"/>
  <c r="B17" i="12" s="1"/>
  <c r="B18" i="12" s="1"/>
  <c r="B19" i="12" s="1"/>
  <c r="C14" i="12"/>
  <c r="H4" i="12" s="1"/>
  <c r="I7" i="11"/>
  <c r="I8" i="11"/>
  <c r="I9" i="11"/>
  <c r="I10" i="11"/>
  <c r="I11" i="11"/>
  <c r="I13" i="11"/>
  <c r="I12" i="11"/>
  <c r="E8" i="12" l="1"/>
  <c r="E7" i="12" s="1"/>
  <c r="E6" i="12" s="1"/>
  <c r="E5" i="12" s="1"/>
  <c r="E4" i="12" s="1"/>
  <c r="E3" i="12" s="1"/>
  <c r="G5" i="12"/>
  <c r="J23" i="12"/>
  <c r="J19" i="12"/>
  <c r="J22" i="12"/>
  <c r="J18" i="12"/>
  <c r="J21" i="12"/>
  <c r="J20" i="12"/>
  <c r="J17" i="12"/>
  <c r="H28" i="12" l="1"/>
  <c r="G6" i="12"/>
  <c r="G7" i="12" s="1"/>
  <c r="G8" i="12" s="1"/>
  <c r="H29" i="12"/>
  <c r="H31" i="12"/>
  <c r="H33" i="12"/>
  <c r="H32" i="12"/>
  <c r="H30" i="12"/>
  <c r="H36" i="12" l="1"/>
  <c r="G9" i="12"/>
  <c r="H53" i="12" l="1"/>
  <c r="S3" i="1" l="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2" i="1"/>
  <c r="N2" i="1"/>
  <c r="N3" i="1"/>
  <c r="O3" i="1" s="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L2" i="1" l="1"/>
  <c r="P3" i="1"/>
  <c r="Q3" i="1" s="1"/>
  <c r="R3" i="1" s="1"/>
  <c r="F4" i="1"/>
  <c r="F5" i="1"/>
  <c r="O5" i="1" s="1"/>
  <c r="P5" i="1" s="1"/>
  <c r="Q5" i="1" s="1"/>
  <c r="R5" i="1" s="1"/>
  <c r="F6" i="1"/>
  <c r="F7" i="1"/>
  <c r="O7" i="1" s="1"/>
  <c r="P7" i="1" s="1"/>
  <c r="Q7" i="1" s="1"/>
  <c r="R7" i="1" s="1"/>
  <c r="F8" i="1"/>
  <c r="F9" i="1"/>
  <c r="F10" i="1"/>
  <c r="O10" i="1" s="1"/>
  <c r="P10" i="1" s="1"/>
  <c r="Q10" i="1" s="1"/>
  <c r="R10" i="1" s="1"/>
  <c r="F11" i="1"/>
  <c r="F12" i="1"/>
  <c r="O12" i="1" s="1"/>
  <c r="P12" i="1" s="1"/>
  <c r="Q12" i="1" s="1"/>
  <c r="R12" i="1" s="1"/>
  <c r="F13" i="1"/>
  <c r="O13" i="1" s="1"/>
  <c r="P13" i="1" s="1"/>
  <c r="Q13" i="1" s="1"/>
  <c r="R13" i="1" s="1"/>
  <c r="F14" i="1"/>
  <c r="O14" i="1" s="1"/>
  <c r="P14" i="1" s="1"/>
  <c r="Q14" i="1" s="1"/>
  <c r="R14" i="1" s="1"/>
  <c r="F15" i="1"/>
  <c r="O15" i="1" s="1"/>
  <c r="P15" i="1" s="1"/>
  <c r="Q15" i="1" s="1"/>
  <c r="R15" i="1" s="1"/>
  <c r="F16" i="1"/>
  <c r="O16" i="1" s="1"/>
  <c r="P16" i="1" s="1"/>
  <c r="Q16" i="1" s="1"/>
  <c r="R16" i="1" s="1"/>
  <c r="F17" i="1"/>
  <c r="O17" i="1" s="1"/>
  <c r="P17" i="1" s="1"/>
  <c r="Q17" i="1" s="1"/>
  <c r="R17" i="1" s="1"/>
  <c r="F18" i="1"/>
  <c r="F19" i="1"/>
  <c r="F20" i="1"/>
  <c r="F21" i="1"/>
  <c r="F22" i="1"/>
  <c r="O22" i="1" s="1"/>
  <c r="P22" i="1" s="1"/>
  <c r="Q22" i="1" s="1"/>
  <c r="R22" i="1" s="1"/>
  <c r="F23" i="1"/>
  <c r="F24" i="1"/>
  <c r="O24" i="1" s="1"/>
  <c r="P24" i="1" s="1"/>
  <c r="Q24" i="1" s="1"/>
  <c r="R24" i="1" s="1"/>
  <c r="F25" i="1"/>
  <c r="O25" i="1" s="1"/>
  <c r="P25" i="1" s="1"/>
  <c r="Q25" i="1" s="1"/>
  <c r="R25" i="1" s="1"/>
  <c r="F26" i="1"/>
  <c r="O26" i="1" s="1"/>
  <c r="P26" i="1" s="1"/>
  <c r="Q26" i="1" s="1"/>
  <c r="R26" i="1" s="1"/>
  <c r="F27" i="1"/>
  <c r="O27" i="1" s="1"/>
  <c r="P27" i="1" s="1"/>
  <c r="Q27" i="1" s="1"/>
  <c r="R27" i="1" s="1"/>
  <c r="F28" i="1"/>
  <c r="O28" i="1" s="1"/>
  <c r="P28" i="1" s="1"/>
  <c r="Q28" i="1" s="1"/>
  <c r="R28" i="1" s="1"/>
  <c r="F29" i="1"/>
  <c r="O29" i="1" s="1"/>
  <c r="P29" i="1" s="1"/>
  <c r="Q29" i="1" s="1"/>
  <c r="R29" i="1" s="1"/>
  <c r="F30" i="1"/>
  <c r="F31" i="1"/>
  <c r="F32" i="1"/>
  <c r="F33" i="1"/>
  <c r="F34" i="1"/>
  <c r="O34" i="1" s="1"/>
  <c r="P34" i="1" s="1"/>
  <c r="Q34" i="1" s="1"/>
  <c r="R34" i="1" s="1"/>
  <c r="F35" i="1"/>
  <c r="F36" i="1"/>
  <c r="O36" i="1" s="1"/>
  <c r="P36" i="1" s="1"/>
  <c r="Q36" i="1" s="1"/>
  <c r="R36" i="1" s="1"/>
  <c r="F37" i="1"/>
  <c r="O37" i="1" s="1"/>
  <c r="P37" i="1" s="1"/>
  <c r="Q37" i="1" s="1"/>
  <c r="R37" i="1" s="1"/>
  <c r="F38" i="1"/>
  <c r="O38" i="1" s="1"/>
  <c r="P38" i="1" s="1"/>
  <c r="Q38" i="1" s="1"/>
  <c r="R38" i="1" s="1"/>
  <c r="F39" i="1"/>
  <c r="O39" i="1" s="1"/>
  <c r="P39" i="1" s="1"/>
  <c r="Q39" i="1" s="1"/>
  <c r="R39" i="1" s="1"/>
  <c r="F40" i="1"/>
  <c r="O40" i="1" s="1"/>
  <c r="P40" i="1" s="1"/>
  <c r="Q40" i="1" s="1"/>
  <c r="R40" i="1" s="1"/>
  <c r="F41" i="1"/>
  <c r="O41" i="1" s="1"/>
  <c r="P41" i="1" s="1"/>
  <c r="Q41" i="1" s="1"/>
  <c r="R41" i="1" s="1"/>
  <c r="F42" i="1"/>
  <c r="F43" i="1"/>
  <c r="F44" i="1"/>
  <c r="F45" i="1"/>
  <c r="F46" i="1"/>
  <c r="O46" i="1" s="1"/>
  <c r="P46" i="1" s="1"/>
  <c r="Q46" i="1" s="1"/>
  <c r="R46" i="1" s="1"/>
  <c r="F47" i="1"/>
  <c r="F48" i="1"/>
  <c r="O48" i="1" s="1"/>
  <c r="P48" i="1" s="1"/>
  <c r="Q48" i="1" s="1"/>
  <c r="R48" i="1" s="1"/>
  <c r="F49" i="1"/>
  <c r="O49" i="1" s="1"/>
  <c r="P49" i="1" s="1"/>
  <c r="Q49" i="1" s="1"/>
  <c r="R49" i="1" s="1"/>
  <c r="F50" i="1"/>
  <c r="O50" i="1" s="1"/>
  <c r="P50" i="1" s="1"/>
  <c r="Q50" i="1" s="1"/>
  <c r="R50" i="1" s="1"/>
  <c r="F51" i="1"/>
  <c r="O51" i="1" s="1"/>
  <c r="P51" i="1" s="1"/>
  <c r="Q51" i="1" s="1"/>
  <c r="R51" i="1" s="1"/>
  <c r="F52" i="1"/>
  <c r="O52" i="1" s="1"/>
  <c r="P52" i="1" s="1"/>
  <c r="Q52" i="1" s="1"/>
  <c r="R52" i="1" s="1"/>
  <c r="F53" i="1"/>
  <c r="O53" i="1" s="1"/>
  <c r="P53" i="1" s="1"/>
  <c r="Q53" i="1" s="1"/>
  <c r="R53" i="1" s="1"/>
  <c r="F54" i="1"/>
  <c r="F55" i="1"/>
  <c r="F56" i="1"/>
  <c r="F57" i="1"/>
  <c r="F58" i="1"/>
  <c r="O58" i="1" s="1"/>
  <c r="P58" i="1" s="1"/>
  <c r="Q58" i="1" s="1"/>
  <c r="R58" i="1" s="1"/>
  <c r="F59" i="1"/>
  <c r="F60" i="1"/>
  <c r="O60" i="1" s="1"/>
  <c r="P60" i="1" s="1"/>
  <c r="Q60" i="1" s="1"/>
  <c r="R60" i="1" s="1"/>
  <c r="F61" i="1"/>
  <c r="O61" i="1" s="1"/>
  <c r="P61" i="1" s="1"/>
  <c r="Q61" i="1" s="1"/>
  <c r="R61" i="1" s="1"/>
  <c r="F62" i="1"/>
  <c r="O62" i="1" s="1"/>
  <c r="P62" i="1" s="1"/>
  <c r="Q62" i="1" s="1"/>
  <c r="R62" i="1" s="1"/>
  <c r="F63" i="1"/>
  <c r="O63" i="1" s="1"/>
  <c r="P63" i="1" s="1"/>
  <c r="Q63" i="1" s="1"/>
  <c r="R63" i="1" s="1"/>
  <c r="F64" i="1"/>
  <c r="F65" i="1"/>
  <c r="O65" i="1" s="1"/>
  <c r="P65" i="1" s="1"/>
  <c r="Q65" i="1" s="1"/>
  <c r="R65" i="1" s="1"/>
  <c r="F66" i="1"/>
  <c r="F67" i="1"/>
  <c r="F68" i="1"/>
  <c r="F69" i="1"/>
  <c r="F70" i="1"/>
  <c r="O70" i="1" s="1"/>
  <c r="P70" i="1" s="1"/>
  <c r="Q70" i="1" s="1"/>
  <c r="R70" i="1" s="1"/>
  <c r="F71" i="1"/>
  <c r="F72" i="1"/>
  <c r="O72" i="1" s="1"/>
  <c r="P72" i="1" s="1"/>
  <c r="Q72" i="1" s="1"/>
  <c r="R72" i="1" s="1"/>
  <c r="F73" i="1"/>
  <c r="O73" i="1" s="1"/>
  <c r="P73" i="1" s="1"/>
  <c r="Q73" i="1" s="1"/>
  <c r="R73" i="1" s="1"/>
  <c r="F74" i="1"/>
  <c r="O74" i="1" s="1"/>
  <c r="P74" i="1" s="1"/>
  <c r="Q74" i="1" s="1"/>
  <c r="R74" i="1" s="1"/>
  <c r="F75" i="1"/>
  <c r="O75" i="1" s="1"/>
  <c r="P75" i="1" s="1"/>
  <c r="Q75" i="1" s="1"/>
  <c r="R75" i="1" s="1"/>
  <c r="F76" i="1"/>
  <c r="O76" i="1" s="1"/>
  <c r="P76" i="1" s="1"/>
  <c r="Q76" i="1" s="1"/>
  <c r="R76" i="1" s="1"/>
  <c r="F77" i="1"/>
  <c r="O77" i="1" s="1"/>
  <c r="P77" i="1" s="1"/>
  <c r="Q77" i="1" s="1"/>
  <c r="R77" i="1" s="1"/>
  <c r="F78" i="1"/>
  <c r="F79" i="1"/>
  <c r="F80" i="1"/>
  <c r="F81" i="1"/>
  <c r="F82" i="1"/>
  <c r="O82" i="1" s="1"/>
  <c r="P82" i="1" s="1"/>
  <c r="Q82" i="1" s="1"/>
  <c r="R82" i="1" s="1"/>
  <c r="F83" i="1"/>
  <c r="F84" i="1"/>
  <c r="O84" i="1" s="1"/>
  <c r="P84" i="1" s="1"/>
  <c r="Q84" i="1" s="1"/>
  <c r="R84" i="1" s="1"/>
  <c r="F85" i="1"/>
  <c r="O85" i="1" s="1"/>
  <c r="P85" i="1" s="1"/>
  <c r="Q85" i="1" s="1"/>
  <c r="R85" i="1" s="1"/>
  <c r="F86" i="1"/>
  <c r="O86" i="1" s="1"/>
  <c r="P86" i="1" s="1"/>
  <c r="Q86" i="1" s="1"/>
  <c r="R86" i="1" s="1"/>
  <c r="F87" i="1"/>
  <c r="O87" i="1" s="1"/>
  <c r="P87" i="1" s="1"/>
  <c r="Q87" i="1" s="1"/>
  <c r="R87" i="1" s="1"/>
  <c r="F88" i="1"/>
  <c r="F89" i="1"/>
  <c r="O89" i="1" s="1"/>
  <c r="P89" i="1" s="1"/>
  <c r="Q89" i="1" s="1"/>
  <c r="R89" i="1" s="1"/>
  <c r="F90" i="1"/>
  <c r="F91" i="1"/>
  <c r="F92" i="1"/>
  <c r="F93" i="1"/>
  <c r="F94" i="1"/>
  <c r="O94" i="1" s="1"/>
  <c r="P94" i="1" s="1"/>
  <c r="Q94" i="1" s="1"/>
  <c r="R94" i="1" s="1"/>
  <c r="F95" i="1"/>
  <c r="F96" i="1"/>
  <c r="O96" i="1" s="1"/>
  <c r="P96" i="1" s="1"/>
  <c r="Q96" i="1" s="1"/>
  <c r="R96" i="1" s="1"/>
  <c r="F97" i="1"/>
  <c r="F98" i="1"/>
  <c r="O98" i="1" s="1"/>
  <c r="P98" i="1" s="1"/>
  <c r="Q98" i="1" s="1"/>
  <c r="R98" i="1" s="1"/>
  <c r="F99" i="1"/>
  <c r="O99" i="1" s="1"/>
  <c r="P99" i="1" s="1"/>
  <c r="Q99" i="1" s="1"/>
  <c r="R99" i="1" s="1"/>
  <c r="F100" i="1"/>
  <c r="F101" i="1"/>
  <c r="O101" i="1" s="1"/>
  <c r="P101" i="1" s="1"/>
  <c r="Q101" i="1" s="1"/>
  <c r="R101" i="1" s="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O4" i="1" l="1"/>
  <c r="P4" i="1" s="1"/>
  <c r="Q4" i="1" s="1"/>
  <c r="R4" i="1" s="1"/>
  <c r="C10" i="11"/>
  <c r="O90" i="1"/>
  <c r="P90" i="1" s="1"/>
  <c r="Q90" i="1" s="1"/>
  <c r="R90" i="1" s="1"/>
  <c r="O78" i="1"/>
  <c r="P78" i="1" s="1"/>
  <c r="Q78" i="1" s="1"/>
  <c r="R78" i="1" s="1"/>
  <c r="O66" i="1"/>
  <c r="P66" i="1" s="1"/>
  <c r="Q66" i="1" s="1"/>
  <c r="R66" i="1" s="1"/>
  <c r="O54" i="1"/>
  <c r="P54" i="1" s="1"/>
  <c r="Q54" i="1" s="1"/>
  <c r="R54" i="1" s="1"/>
  <c r="O42" i="1"/>
  <c r="P42" i="1" s="1"/>
  <c r="Q42" i="1" s="1"/>
  <c r="R42" i="1" s="1"/>
  <c r="O30" i="1"/>
  <c r="P30" i="1" s="1"/>
  <c r="Q30" i="1" s="1"/>
  <c r="R30" i="1" s="1"/>
  <c r="I9" i="12" s="1"/>
  <c r="J9" i="12" s="1"/>
  <c r="I33" i="12" s="1"/>
  <c r="J33" i="12" s="1"/>
  <c r="O18" i="1"/>
  <c r="P18" i="1" s="1"/>
  <c r="Q18" i="1" s="1"/>
  <c r="R18" i="1" s="1"/>
  <c r="O6" i="1"/>
  <c r="P6" i="1" s="1"/>
  <c r="Q6" i="1" s="1"/>
  <c r="R6" i="1" s="1"/>
  <c r="O92" i="1"/>
  <c r="P92" i="1" s="1"/>
  <c r="Q92" i="1" s="1"/>
  <c r="R92" i="1" s="1"/>
  <c r="O80" i="1"/>
  <c r="P80" i="1" s="1"/>
  <c r="Q80" i="1" s="1"/>
  <c r="R80" i="1" s="1"/>
  <c r="O68" i="1"/>
  <c r="P68" i="1" s="1"/>
  <c r="Q68" i="1" s="1"/>
  <c r="R68" i="1" s="1"/>
  <c r="O56" i="1"/>
  <c r="P56" i="1" s="1"/>
  <c r="Q56" i="1" s="1"/>
  <c r="R56" i="1" s="1"/>
  <c r="O44" i="1"/>
  <c r="P44" i="1" s="1"/>
  <c r="Q44" i="1" s="1"/>
  <c r="R44" i="1" s="1"/>
  <c r="O32" i="1"/>
  <c r="P32" i="1" s="1"/>
  <c r="Q32" i="1" s="1"/>
  <c r="R32" i="1" s="1"/>
  <c r="O20" i="1"/>
  <c r="P20" i="1" s="1"/>
  <c r="Q20" i="1" s="1"/>
  <c r="R20" i="1" s="1"/>
  <c r="O8" i="1"/>
  <c r="P8" i="1" s="1"/>
  <c r="O91" i="1"/>
  <c r="P91" i="1" s="1"/>
  <c r="Q91" i="1" s="1"/>
  <c r="R91" i="1" s="1"/>
  <c r="O79" i="1"/>
  <c r="P79" i="1" s="1"/>
  <c r="Q79" i="1" s="1"/>
  <c r="R79" i="1" s="1"/>
  <c r="O67" i="1"/>
  <c r="P67" i="1" s="1"/>
  <c r="Q67" i="1" s="1"/>
  <c r="R67" i="1" s="1"/>
  <c r="O55" i="1"/>
  <c r="P55" i="1" s="1"/>
  <c r="Q55" i="1" s="1"/>
  <c r="R55" i="1" s="1"/>
  <c r="O43" i="1"/>
  <c r="P43" i="1" s="1"/>
  <c r="Q43" i="1" s="1"/>
  <c r="R43" i="1" s="1"/>
  <c r="O31" i="1"/>
  <c r="P31" i="1" s="1"/>
  <c r="Q31" i="1" s="1"/>
  <c r="R31" i="1" s="1"/>
  <c r="O19" i="1"/>
  <c r="P19" i="1" s="1"/>
  <c r="Q19" i="1" s="1"/>
  <c r="O100" i="1"/>
  <c r="P100" i="1" s="1"/>
  <c r="Q100" i="1" s="1"/>
  <c r="R100" i="1" s="1"/>
  <c r="O88" i="1"/>
  <c r="P88" i="1" s="1"/>
  <c r="Q88" i="1" s="1"/>
  <c r="R88" i="1" s="1"/>
  <c r="O64" i="1"/>
  <c r="P64" i="1" s="1"/>
  <c r="Q64" i="1" s="1"/>
  <c r="R64" i="1" s="1"/>
  <c r="O97" i="1"/>
  <c r="P97" i="1" s="1"/>
  <c r="Q97" i="1" s="1"/>
  <c r="R97" i="1" s="1"/>
  <c r="O95" i="1"/>
  <c r="P95" i="1" s="1"/>
  <c r="Q95" i="1" s="1"/>
  <c r="R95" i="1" s="1"/>
  <c r="O83" i="1"/>
  <c r="P83" i="1" s="1"/>
  <c r="Q83" i="1" s="1"/>
  <c r="R83" i="1" s="1"/>
  <c r="O71" i="1"/>
  <c r="P71" i="1" s="1"/>
  <c r="Q71" i="1" s="1"/>
  <c r="R71" i="1" s="1"/>
  <c r="O59" i="1"/>
  <c r="P59" i="1" s="1"/>
  <c r="Q59" i="1" s="1"/>
  <c r="R59" i="1" s="1"/>
  <c r="O47" i="1"/>
  <c r="P47" i="1" s="1"/>
  <c r="Q47" i="1" s="1"/>
  <c r="R47" i="1" s="1"/>
  <c r="O35" i="1"/>
  <c r="P35" i="1" s="1"/>
  <c r="Q35" i="1" s="1"/>
  <c r="R35" i="1" s="1"/>
  <c r="O23" i="1"/>
  <c r="P23" i="1" s="1"/>
  <c r="Q23" i="1" s="1"/>
  <c r="R23" i="1" s="1"/>
  <c r="O11" i="1"/>
  <c r="P11" i="1" s="1"/>
  <c r="Q11" i="1" s="1"/>
  <c r="R11" i="1" s="1"/>
  <c r="I4" i="12" s="1"/>
  <c r="J4" i="12" s="1"/>
  <c r="I28" i="12" s="1"/>
  <c r="J28" i="12" s="1"/>
  <c r="O93" i="1"/>
  <c r="P93" i="1" s="1"/>
  <c r="Q93" i="1" s="1"/>
  <c r="R93" i="1" s="1"/>
  <c r="O81" i="1"/>
  <c r="P81" i="1" s="1"/>
  <c r="Q81" i="1" s="1"/>
  <c r="R81" i="1" s="1"/>
  <c r="O69" i="1"/>
  <c r="P69" i="1" s="1"/>
  <c r="Q69" i="1" s="1"/>
  <c r="R69" i="1" s="1"/>
  <c r="O57" i="1"/>
  <c r="P57" i="1" s="1"/>
  <c r="Q57" i="1" s="1"/>
  <c r="R57" i="1" s="1"/>
  <c r="O45" i="1"/>
  <c r="P45" i="1" s="1"/>
  <c r="Q45" i="1" s="1"/>
  <c r="R45" i="1" s="1"/>
  <c r="O33" i="1"/>
  <c r="P33" i="1" s="1"/>
  <c r="Q33" i="1" s="1"/>
  <c r="R33" i="1" s="1"/>
  <c r="O21" i="1"/>
  <c r="P21" i="1" s="1"/>
  <c r="Q21" i="1" s="1"/>
  <c r="R21" i="1" s="1"/>
  <c r="I6" i="12" s="1"/>
  <c r="J6" i="12" s="1"/>
  <c r="I30" i="12" s="1"/>
  <c r="J30" i="12" s="1"/>
  <c r="O9" i="1"/>
  <c r="P9" i="1" s="1"/>
  <c r="Q9" i="1" s="1"/>
  <c r="R9" i="1" s="1"/>
  <c r="C13" i="11" l="1"/>
  <c r="Q8" i="1"/>
  <c r="I8" i="12"/>
  <c r="J8" i="12" s="1"/>
  <c r="I32" i="12" s="1"/>
  <c r="J32" i="12" s="1"/>
  <c r="R19" i="1"/>
  <c r="R2" i="1"/>
  <c r="B34" i="12" l="1"/>
  <c r="B40" i="12" s="1"/>
  <c r="R8" i="1"/>
  <c r="I5" i="12"/>
  <c r="J5" i="12" s="1"/>
  <c r="I29" i="12" s="1"/>
  <c r="I7" i="12" l="1"/>
  <c r="J7" i="12" s="1"/>
  <c r="I31" i="12" s="1"/>
  <c r="J31" i="12" s="1"/>
  <c r="J29" i="12"/>
  <c r="H35" i="12" l="1"/>
  <c r="G43" i="12" s="1"/>
  <c r="H54" i="12" l="1"/>
  <c r="G48" i="12"/>
  <c r="H56" i="12" l="1"/>
  <c r="H55" i="12"/>
</calcChain>
</file>

<file path=xl/sharedStrings.xml><?xml version="1.0" encoding="utf-8"?>
<sst xmlns="http://schemas.openxmlformats.org/spreadsheetml/2006/main" count="832" uniqueCount="234">
  <si>
    <t>Date of Claim</t>
  </si>
  <si>
    <t>Type of Claim</t>
  </si>
  <si>
    <t>Claim Status</t>
  </si>
  <si>
    <t>Policy Limits ($)</t>
  </si>
  <si>
    <t>Deductible ($)</t>
  </si>
  <si>
    <t>Cause of Loss</t>
  </si>
  <si>
    <t>Location</t>
  </si>
  <si>
    <t>Insured Party</t>
  </si>
  <si>
    <t>Prior Claims History</t>
  </si>
  <si>
    <t>CLM-00001</t>
  </si>
  <si>
    <t>Collision Liability</t>
  </si>
  <si>
    <t>Closed</t>
  </si>
  <si>
    <t>Human Error</t>
  </si>
  <si>
    <t>Indian Ocean</t>
  </si>
  <si>
    <t>Company 9</t>
  </si>
  <si>
    <t>CLM-00002</t>
  </si>
  <si>
    <t>Cargo Liability</t>
  </si>
  <si>
    <t>Technical Failure</t>
  </si>
  <si>
    <t>Atlantic Ocean</t>
  </si>
  <si>
    <t>Company 4</t>
  </si>
  <si>
    <t>CLM-00003</t>
  </si>
  <si>
    <t>Damage to Other Vessels</t>
  </si>
  <si>
    <t>Criminal Activity</t>
  </si>
  <si>
    <t>Mediterranean Sea</t>
  </si>
  <si>
    <t>Company 2</t>
  </si>
  <si>
    <t>CLM-00004</t>
  </si>
  <si>
    <t>Environmental Pollution</t>
  </si>
  <si>
    <t>Open</t>
  </si>
  <si>
    <t>Natural Disaster</t>
  </si>
  <si>
    <t>Pacific Ocean</t>
  </si>
  <si>
    <t>Company 17</t>
  </si>
  <si>
    <t>CLM-00005</t>
  </si>
  <si>
    <t>Injury to Third Parties</t>
  </si>
  <si>
    <t>In Litigation</t>
  </si>
  <si>
    <t>Company 12</t>
  </si>
  <si>
    <t>CLM-00006</t>
  </si>
  <si>
    <t>Company 3</t>
  </si>
  <si>
    <t>CLM-00007</t>
  </si>
  <si>
    <t>North Sea</t>
  </si>
  <si>
    <t>Company 11</t>
  </si>
  <si>
    <t>CLM-00008</t>
  </si>
  <si>
    <t>Company 5</t>
  </si>
  <si>
    <t>CLM-00009</t>
  </si>
  <si>
    <t>Company 8</t>
  </si>
  <si>
    <t>CLM-00010</t>
  </si>
  <si>
    <t>Company 10</t>
  </si>
  <si>
    <t>CLM-00011</t>
  </si>
  <si>
    <t>Company 7</t>
  </si>
  <si>
    <t>CLM-00012</t>
  </si>
  <si>
    <t>Company 6</t>
  </si>
  <si>
    <t>CLM-00013</t>
  </si>
  <si>
    <t>Company 13</t>
  </si>
  <si>
    <t>CLM-00014</t>
  </si>
  <si>
    <t>Company 19</t>
  </si>
  <si>
    <t>CLM-00015</t>
  </si>
  <si>
    <t>Company 14</t>
  </si>
  <si>
    <t>CLM-00016</t>
  </si>
  <si>
    <t>Company 1</t>
  </si>
  <si>
    <t>CLM-00017</t>
  </si>
  <si>
    <t>Company 15</t>
  </si>
  <si>
    <t>CLM-00018</t>
  </si>
  <si>
    <t>CLM-00019</t>
  </si>
  <si>
    <t>CLM-00020</t>
  </si>
  <si>
    <t>CLM-00021</t>
  </si>
  <si>
    <t>CLM-00022</t>
  </si>
  <si>
    <t>Company 16</t>
  </si>
  <si>
    <t>CLM-00023</t>
  </si>
  <si>
    <t>CLM-00024</t>
  </si>
  <si>
    <t>CLM-00025</t>
  </si>
  <si>
    <t>CLM-00026</t>
  </si>
  <si>
    <t>CLM-00027</t>
  </si>
  <si>
    <t>CLM-00028</t>
  </si>
  <si>
    <t>Company 18</t>
  </si>
  <si>
    <t>CLM-00029</t>
  </si>
  <si>
    <t>CLM-00030</t>
  </si>
  <si>
    <t>CLM-00031</t>
  </si>
  <si>
    <t>Company 20</t>
  </si>
  <si>
    <t>CLM-00032</t>
  </si>
  <si>
    <t>CLM-00033</t>
  </si>
  <si>
    <t>CLM-00034</t>
  </si>
  <si>
    <t>CLM-00035</t>
  </si>
  <si>
    <t>Claim ID</t>
  </si>
  <si>
    <t>CLM-00036</t>
  </si>
  <si>
    <t>CLM-00037</t>
  </si>
  <si>
    <t>CLM-00038</t>
  </si>
  <si>
    <t>CLM-00039</t>
  </si>
  <si>
    <t>CLM-00040</t>
  </si>
  <si>
    <t>CLM-00041</t>
  </si>
  <si>
    <t>CLM-00042</t>
  </si>
  <si>
    <t>CLM-00043</t>
  </si>
  <si>
    <t>CLM-00044</t>
  </si>
  <si>
    <t>CLM-00045</t>
  </si>
  <si>
    <t>CLM-00046</t>
  </si>
  <si>
    <t>CLM-00047</t>
  </si>
  <si>
    <t>CLM-00048</t>
  </si>
  <si>
    <t>CLM-00049</t>
  </si>
  <si>
    <t>CLM-00050</t>
  </si>
  <si>
    <t>CLM-00051</t>
  </si>
  <si>
    <t>CLM-00052</t>
  </si>
  <si>
    <t>CLM-00053</t>
  </si>
  <si>
    <t>CLM-00054</t>
  </si>
  <si>
    <t>CLM-00055</t>
  </si>
  <si>
    <t>CLM-00056</t>
  </si>
  <si>
    <t>CLM-00057</t>
  </si>
  <si>
    <t>CLM-00058</t>
  </si>
  <si>
    <t>CLM-00059</t>
  </si>
  <si>
    <t>CLM-00060</t>
  </si>
  <si>
    <t>CLM-00061</t>
  </si>
  <si>
    <t>CLM-00062</t>
  </si>
  <si>
    <t>CLM-00063</t>
  </si>
  <si>
    <t>CLM-00064</t>
  </si>
  <si>
    <t>CLM-00065</t>
  </si>
  <si>
    <t>CLM-00066</t>
  </si>
  <si>
    <t>CLM-00067</t>
  </si>
  <si>
    <t>CLM-00068</t>
  </si>
  <si>
    <t>CLM-00069</t>
  </si>
  <si>
    <t>CLM-00070</t>
  </si>
  <si>
    <t>CLM-00071</t>
  </si>
  <si>
    <t>CLM-00072</t>
  </si>
  <si>
    <t>CLM-00073</t>
  </si>
  <si>
    <t>CLM-00074</t>
  </si>
  <si>
    <t>CLM-00075</t>
  </si>
  <si>
    <t>CLM-00076</t>
  </si>
  <si>
    <t>CLM-00077</t>
  </si>
  <si>
    <t>CLM-00078</t>
  </si>
  <si>
    <t>CLM-00079</t>
  </si>
  <si>
    <t>CLM-00080</t>
  </si>
  <si>
    <t>CLM-00081</t>
  </si>
  <si>
    <t>CLM-00082</t>
  </si>
  <si>
    <t>CLM-00083</t>
  </si>
  <si>
    <t>CLM-00084</t>
  </si>
  <si>
    <t>CLM-00085</t>
  </si>
  <si>
    <t>CLM-00086</t>
  </si>
  <si>
    <t>CLM-00087</t>
  </si>
  <si>
    <t>CLM-00088</t>
  </si>
  <si>
    <t>CLM-00089</t>
  </si>
  <si>
    <t>CLM-00090</t>
  </si>
  <si>
    <t>CLM-00091</t>
  </si>
  <si>
    <t>CLM-00092</t>
  </si>
  <si>
    <t>CLM-00093</t>
  </si>
  <si>
    <t>CLM-00094</t>
  </si>
  <si>
    <t>CLM-00095</t>
  </si>
  <si>
    <t>CLM-00096</t>
  </si>
  <si>
    <t>CLM-00097</t>
  </si>
  <si>
    <t>CLM-00098</t>
  </si>
  <si>
    <t>CLM-00099</t>
  </si>
  <si>
    <t>CLM-00100</t>
  </si>
  <si>
    <t>Inflation Index</t>
  </si>
  <si>
    <t>Inflation Indices (Assumed for the Purpose of This Exercise):</t>
  </si>
  <si>
    <t xml:space="preserve"> 1.08 (8% inflation)</t>
  </si>
  <si>
    <t xml:space="preserve"> 1.05 (5% inflation)</t>
  </si>
  <si>
    <t xml:space="preserve"> 1.04 (4% inflation)</t>
  </si>
  <si>
    <t xml:space="preserve"> 1.03 (3% inflation)</t>
  </si>
  <si>
    <t xml:space="preserve"> 1.02 (2% inflation)</t>
  </si>
  <si>
    <t>Row Labels</t>
  </si>
  <si>
    <t>Grand Total</t>
  </si>
  <si>
    <t>2018</t>
  </si>
  <si>
    <t>2019</t>
  </si>
  <si>
    <t>2020</t>
  </si>
  <si>
    <t>2021</t>
  </si>
  <si>
    <t>2022</t>
  </si>
  <si>
    <t>2023</t>
  </si>
  <si>
    <t>Column Labels</t>
  </si>
  <si>
    <t>Count of Claim ID</t>
  </si>
  <si>
    <t>Average Claim Amount by Year (Adjusted for Inflation)</t>
  </si>
  <si>
    <t>Count of Date of Claim</t>
  </si>
  <si>
    <t>Average</t>
  </si>
  <si>
    <t>Claim Type Summary</t>
  </si>
  <si>
    <t>Large Loss Event</t>
  </si>
  <si>
    <t>Return Period</t>
  </si>
  <si>
    <t>Large Loss Loading</t>
  </si>
  <si>
    <t>Sensitivity Analysis</t>
  </si>
  <si>
    <t>Gross Tonnage</t>
  </si>
  <si>
    <t>Claim Incurred ($)</t>
  </si>
  <si>
    <t>Final Premium</t>
  </si>
  <si>
    <t>Final Premium=Total Risk Premium×(1+Expense Loading)×(1+Profit Margin)</t>
  </si>
  <si>
    <t>Gross inflation adjusted claim</t>
  </si>
  <si>
    <t>Net inflation adjusted claim</t>
  </si>
  <si>
    <t>Attritional claim flag</t>
  </si>
  <si>
    <t xml:space="preserve">Sum of Capped net adjusted incurred claim </t>
  </si>
  <si>
    <t>2024 expected gross tonnage</t>
  </si>
  <si>
    <t>1.03 (3% expected over year)</t>
  </si>
  <si>
    <t>Gross claim amount</t>
  </si>
  <si>
    <t>Year</t>
  </si>
  <si>
    <t>No of claims</t>
  </si>
  <si>
    <t>Loss frequency</t>
  </si>
  <si>
    <t>Loss severity</t>
  </si>
  <si>
    <t>Average frequency per unit exposure</t>
  </si>
  <si>
    <t>Average severity per claim</t>
  </si>
  <si>
    <t>Average claim severity</t>
  </si>
  <si>
    <t>Claim frequency per unit of gross tonnage</t>
  </si>
  <si>
    <t>Expected loss per unit of gross tonnage</t>
  </si>
  <si>
    <t>Gross tonnage for all exposure</t>
  </si>
  <si>
    <t>Given Assumptions</t>
  </si>
  <si>
    <t>Commission is 0%</t>
  </si>
  <si>
    <t>No adjustment is required for claims development patters</t>
  </si>
  <si>
    <t>Individual policies run from 1/1 - 31/12 each year</t>
  </si>
  <si>
    <t>Sum of Gross inflation adjusted claim</t>
  </si>
  <si>
    <t>Net claims incurred by claim type</t>
  </si>
  <si>
    <t xml:space="preserve">Count of Capped net adjusted incurred claim </t>
  </si>
  <si>
    <t>Net claims incurred by cause of loss</t>
  </si>
  <si>
    <t>Claim count by cause of loss</t>
  </si>
  <si>
    <t>Claim count by claim type</t>
  </si>
  <si>
    <t>Average Gross Claim Amount</t>
  </si>
  <si>
    <t>Average Gross Claim Amount (Adjusted for Inflation)</t>
  </si>
  <si>
    <t>Claim count by loss location</t>
  </si>
  <si>
    <t>Exposure information for the account provided by client</t>
  </si>
  <si>
    <t xml:space="preserve">Gross tonnage </t>
  </si>
  <si>
    <t>2024 expected gross tonnage provided by client</t>
  </si>
  <si>
    <t>Claim frequency per gross tonnage</t>
  </si>
  <si>
    <t>Claim severity analysis (average cost per claim)</t>
  </si>
  <si>
    <t>Loss cost calculation</t>
  </si>
  <si>
    <t>Assume a large loss is any loss &gt;$1m incurred</t>
  </si>
  <si>
    <t>Assume the large loss event is a 1-in-20 year event.</t>
  </si>
  <si>
    <t>Assume expenses are 30% of the loss cost.</t>
  </si>
  <si>
    <t>Assume a 10% profit requirement on this account in calculating the premium</t>
  </si>
  <si>
    <t>Scenario: 6% increase in claim severity</t>
  </si>
  <si>
    <t>New risk premium following 6% increase in claim severity</t>
  </si>
  <si>
    <t>Claim frequency</t>
  </si>
  <si>
    <t xml:space="preserve">Average of Capped net adjusted incurred claim </t>
  </si>
  <si>
    <t xml:space="preserve">Total Risk Premium: Risk Premium with Large Loss Loading </t>
  </si>
  <si>
    <t>Total Risk Premium=Attritional claims loss cost + Large Loss Loading</t>
  </si>
  <si>
    <t>Average claim cost by claim type (severity)</t>
  </si>
  <si>
    <t>Average claim cost by cause of loss</t>
  </si>
  <si>
    <t>Average claim cost by loss location</t>
  </si>
  <si>
    <t>Deductibles in the upcoming policy period will be the same as deductible in prior policy periods.</t>
  </si>
  <si>
    <t>New final premium</t>
  </si>
  <si>
    <t xml:space="preserve">Capped net inflation adjusted incurred claim </t>
  </si>
  <si>
    <t>No adjustment is required for claims development patterns</t>
  </si>
  <si>
    <t>New Loss Severity</t>
  </si>
  <si>
    <t>Average of Claim Incurred ($)</t>
  </si>
  <si>
    <t>Total Claims</t>
  </si>
  <si>
    <t>Total Loss ($)</t>
  </si>
  <si>
    <t>Sum of Claim Incurred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</si>
</sst>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2">
    <numFmt numFmtId="6" formatCode="&quot;$&quot;#,##0_);[Red]\(&quot;$&quot;#,##0\)"/>
    <numFmt numFmtId="44" formatCode="_(&quot;$&quot;* #,##0.00_);_(&quot;$&quot;* \(#,##0.00\);_(&quot;$&quot;* &quot;-&quot;??_);_(@_)"/>
    <numFmt numFmtId="164" formatCode="_-* #,##0.00_-;\-* #,##0.00_-;_-* &quot;-&quot;??_-;_-@_-"/>
    <numFmt numFmtId="165" formatCode="&quot;$&quot;#,##0.00"/>
    <numFmt numFmtId="166" formatCode="0.00000000"/>
    <numFmt numFmtId="167" formatCode="_-* #,##0.0_-;\-* #,##0.0_-;_-* &quot;-&quot;??_-;_-@_-"/>
    <numFmt numFmtId="168" formatCode="_-* #,##0_-;\-* #,##0_-;_-* &quot;-&quot;??_-;_-@_-"/>
    <numFmt numFmtId="169" formatCode="_-* #,##0.000000000_-;\-* #,##0.000000000_-;_-* &quot;-&quot;??_-;_-@_-"/>
    <numFmt numFmtId="170" formatCode="[$$-409]#,##0"/>
    <numFmt numFmtId="171" formatCode="0.000000000"/>
    <numFmt numFmtId="172" formatCode="_(&quot;$&quot;* #,##0_);_(&quot;$&quot;* \(#,##0\);_(&quot;$&quot;* &quot;-&quot;??_);_(@_)"/>
    <numFmt numFmtId="173" formatCode="0.000%"/>
  </numFmts>
  <fonts count="11" x14ac:knownFonts="1">
    <font>
      <sz val="12"/>
      <color theme="1"/>
      <name val="Aptos Narrow"/>
      <family val="2"/>
      <scheme val="minor"/>
    </font>
    <font>
      <sz val="12"/>
      <color theme="1"/>
      <name val="Aptos Narrow"/>
      <family val="2"/>
      <scheme val="minor"/>
    </font>
    <font>
      <b/>
      <sz val="12"/>
      <color theme="1"/>
      <name val="Aptos Narrow"/>
      <family val="2"/>
      <scheme val="minor"/>
    </font>
    <font>
      <b/>
      <sz val="12"/>
      <color theme="1"/>
      <name val="Aptos Narrow"/>
      <family val="2"/>
      <scheme val="minor"/>
    </font>
    <font>
      <b/>
      <sz val="13.5"/>
      <color theme="1"/>
      <name val="Aptos Narrow"/>
      <family val="2"/>
      <scheme val="minor"/>
    </font>
    <font>
      <b/>
      <sz val="13.5"/>
      <color theme="1"/>
      <name val="Aptos Narrow"/>
      <family val="2"/>
      <scheme val="minor"/>
    </font>
    <font>
      <sz val="12"/>
      <name val="Aptos Narrow"/>
      <family val="2"/>
      <scheme val="minor"/>
    </font>
    <font>
      <b/>
      <sz val="12"/>
      <color theme="1"/>
      <name val="Aptos Narrow"/>
      <family val="2"/>
      <scheme val="minor"/>
    </font>
    <font>
      <b/>
      <sz val="16"/>
      <color theme="1"/>
      <name val="Aptos Narrow"/>
      <family val="2"/>
      <scheme val="minor"/>
    </font>
    <font>
      <b/>
      <sz val="12"/>
      <color rgb="FFFFFFFF"/>
      <name val="Aptos Narrow"/>
      <family val="2"/>
      <scheme val="minor"/>
    </font>
    <font>
      <b/>
      <sz val="16"/>
      <color rgb="FFFFFFFF"/>
      <name val="Aptos Narrow"/>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theme="1"/>
        <bgColor indexed="64"/>
      </patternFill>
    </fill>
  </fills>
  <borders count="1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4">
    <xf numFmtId="0" fontId="0" fillId="0" borderId="0"/>
    <xf numFmtId="44"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82">
    <xf numFmtId="0" fontId="0" fillId="0" borderId="0" xfId="0"/>
    <xf numFmtId="14" fontId="0" fillId="0" borderId="0" xfId="0" applyNumberFormat="1"/>
    <xf numFmtId="0" fontId="2" fillId="0" borderId="0" xfId="0" applyFont="1"/>
    <xf numFmtId="44" fontId="0" fillId="0" borderId="0" xfId="1" applyFont="1"/>
    <xf numFmtId="0" fontId="4" fillId="0" borderId="0" xfId="0" applyFont="1"/>
    <xf numFmtId="0" fontId="3" fillId="0" borderId="0" xfId="0" applyFont="1"/>
    <xf numFmtId="44" fontId="0" fillId="0" borderId="0" xfId="0" applyNumberFormat="1"/>
    <xf numFmtId="0" fontId="0" fillId="0" borderId="0" xfId="0" pivotButton="1"/>
    <xf numFmtId="0" fontId="0" fillId="0" borderId="0" xfId="0" applyAlignment="1">
      <alignment horizontal="left"/>
    </xf>
    <xf numFmtId="165" fontId="0" fillId="0" borderId="0" xfId="0" applyNumberFormat="1"/>
    <xf numFmtId="165" fontId="2" fillId="0" borderId="0" xfId="0" applyNumberFormat="1" applyFont="1"/>
    <xf numFmtId="0" fontId="5" fillId="0" borderId="0" xfId="0" applyFont="1"/>
    <xf numFmtId="1" fontId="0" fillId="0" borderId="0" xfId="0" applyNumberFormat="1"/>
    <xf numFmtId="44" fontId="2" fillId="0" borderId="0" xfId="1" applyFont="1"/>
    <xf numFmtId="164" fontId="0" fillId="0" borderId="0" xfId="2" applyFont="1"/>
    <xf numFmtId="168" fontId="0" fillId="0" borderId="0" xfId="2" applyNumberFormat="1" applyFont="1"/>
    <xf numFmtId="164" fontId="0" fillId="0" borderId="0" xfId="0" applyNumberFormat="1"/>
    <xf numFmtId="169" fontId="0" fillId="0" borderId="0" xfId="2" applyNumberFormat="1" applyFont="1"/>
    <xf numFmtId="170" fontId="0" fillId="2" borderId="0" xfId="3" applyNumberFormat="1" applyFont="1" applyFill="1"/>
    <xf numFmtId="170" fontId="0" fillId="0" borderId="0" xfId="3" applyNumberFormat="1" applyFont="1" applyFill="1"/>
    <xf numFmtId="171" fontId="0" fillId="0" borderId="0" xfId="0" applyNumberFormat="1"/>
    <xf numFmtId="164" fontId="0" fillId="0" borderId="0" xfId="2" applyFont="1" applyAlignment="1">
      <alignment horizontal="left"/>
    </xf>
    <xf numFmtId="167" fontId="6" fillId="0" borderId="0" xfId="2" applyNumberFormat="1" applyFont="1" applyFill="1"/>
    <xf numFmtId="166" fontId="0" fillId="0" borderId="0" xfId="0" applyNumberFormat="1"/>
    <xf numFmtId="0" fontId="2" fillId="0" borderId="0" xfId="0" applyFont="1" applyAlignment="1">
      <alignment horizontal="left"/>
    </xf>
    <xf numFmtId="165" fontId="2" fillId="3" borderId="0" xfId="0" applyNumberFormat="1" applyFont="1" applyFill="1" applyAlignment="1">
      <alignment horizontal="left"/>
    </xf>
    <xf numFmtId="0" fontId="7" fillId="0" borderId="0" xfId="0" applyFont="1"/>
    <xf numFmtId="0" fontId="7" fillId="2" borderId="0" xfId="0" applyFont="1" applyFill="1"/>
    <xf numFmtId="0" fontId="0" fillId="4" borderId="0" xfId="0" applyFill="1"/>
    <xf numFmtId="0" fontId="7" fillId="4" borderId="0" xfId="0" applyFont="1" applyFill="1"/>
    <xf numFmtId="165" fontId="7" fillId="3" borderId="0" xfId="0" applyNumberFormat="1" applyFont="1" applyFill="1" applyAlignment="1">
      <alignment horizontal="left"/>
    </xf>
    <xf numFmtId="170" fontId="0" fillId="0" borderId="0" xfId="0" applyNumberFormat="1"/>
    <xf numFmtId="172" fontId="0" fillId="0" borderId="0" xfId="0" applyNumberFormat="1"/>
    <xf numFmtId="172" fontId="7" fillId="0" borderId="0" xfId="1" applyNumberFormat="1" applyFont="1"/>
    <xf numFmtId="172" fontId="7" fillId="2" borderId="0" xfId="1" applyNumberFormat="1" applyFont="1" applyFill="1"/>
    <xf numFmtId="0" fontId="3" fillId="0" borderId="1" xfId="0" applyFont="1" applyBorder="1"/>
    <xf numFmtId="0" fontId="0" fillId="0" borderId="2" xfId="0" applyBorder="1"/>
    <xf numFmtId="164" fontId="0" fillId="0" borderId="2" xfId="2" applyFont="1" applyBorder="1" applyAlignment="1">
      <alignment horizontal="right"/>
    </xf>
    <xf numFmtId="0" fontId="0" fillId="3" borderId="3" xfId="0" applyFill="1" applyBorder="1"/>
    <xf numFmtId="0" fontId="3" fillId="0" borderId="4" xfId="0" applyFont="1" applyBorder="1"/>
    <xf numFmtId="0" fontId="0" fillId="3" borderId="5" xfId="0" applyFill="1" applyBorder="1"/>
    <xf numFmtId="0" fontId="3" fillId="0" borderId="6" xfId="0" applyFont="1" applyBorder="1"/>
    <xf numFmtId="0" fontId="0" fillId="0" borderId="7" xfId="0" applyBorder="1"/>
    <xf numFmtId="0" fontId="0" fillId="3" borderId="8" xfId="0" applyFill="1" applyBorder="1"/>
    <xf numFmtId="168" fontId="0" fillId="0" borderId="5" xfId="2" applyNumberFormat="1" applyFont="1" applyBorder="1"/>
    <xf numFmtId="168" fontId="0" fillId="0" borderId="8" xfId="2" applyNumberFormat="1" applyFont="1" applyBorder="1"/>
    <xf numFmtId="0" fontId="2" fillId="0" borderId="1" xfId="0" applyFont="1" applyBorder="1" applyAlignment="1">
      <alignment horizontal="left"/>
    </xf>
    <xf numFmtId="0" fontId="2" fillId="0" borderId="3" xfId="0" applyFont="1" applyBorder="1"/>
    <xf numFmtId="0" fontId="2" fillId="0" borderId="4" xfId="0" applyFont="1" applyBorder="1" applyAlignment="1">
      <alignment horizontal="left"/>
    </xf>
    <xf numFmtId="0" fontId="2" fillId="0" borderId="6" xfId="0" applyFont="1" applyBorder="1" applyAlignment="1">
      <alignment horizontal="left"/>
    </xf>
    <xf numFmtId="168" fontId="0" fillId="0" borderId="0" xfId="2" applyNumberFormat="1" applyFont="1" applyBorder="1"/>
    <xf numFmtId="0" fontId="2" fillId="0" borderId="9" xfId="0" applyFont="1" applyBorder="1" applyAlignment="1">
      <alignment horizontal="left"/>
    </xf>
    <xf numFmtId="164" fontId="0" fillId="0" borderId="10" xfId="2" applyFont="1" applyBorder="1" applyAlignment="1">
      <alignment horizontal="left"/>
    </xf>
    <xf numFmtId="164" fontId="0" fillId="0" borderId="0" xfId="2" applyFont="1" applyBorder="1" applyAlignment="1">
      <alignment horizontal="left"/>
    </xf>
    <xf numFmtId="169" fontId="0" fillId="0" borderId="5" xfId="2" applyNumberFormat="1" applyFont="1" applyBorder="1"/>
    <xf numFmtId="168" fontId="0" fillId="0" borderId="7" xfId="2" applyNumberFormat="1" applyFont="1" applyBorder="1"/>
    <xf numFmtId="169" fontId="0" fillId="0" borderId="8" xfId="2" applyNumberFormat="1" applyFont="1" applyBorder="1"/>
    <xf numFmtId="0" fontId="2" fillId="0" borderId="2" xfId="0" applyFont="1" applyBorder="1"/>
    <xf numFmtId="170" fontId="2" fillId="2" borderId="0" xfId="3" applyNumberFormat="1" applyFont="1" applyFill="1"/>
    <xf numFmtId="170" fontId="0" fillId="0" borderId="0" xfId="0" applyNumberFormat="1" applyAlignment="1">
      <alignment horizontal="left"/>
    </xf>
    <xf numFmtId="169" fontId="0" fillId="0" borderId="0" xfId="0" applyNumberFormat="1" applyAlignment="1">
      <alignment horizontal="left"/>
    </xf>
    <xf numFmtId="165" fontId="0" fillId="0" borderId="5" xfId="0" applyNumberFormat="1" applyBorder="1"/>
    <xf numFmtId="170" fontId="0" fillId="0" borderId="7" xfId="0" applyNumberFormat="1" applyBorder="1" applyAlignment="1">
      <alignment horizontal="left"/>
    </xf>
    <xf numFmtId="169" fontId="0" fillId="0" borderId="7" xfId="0" applyNumberFormat="1" applyBorder="1" applyAlignment="1">
      <alignment horizontal="left"/>
    </xf>
    <xf numFmtId="165" fontId="0" fillId="0" borderId="8" xfId="0" applyNumberFormat="1" applyBorder="1"/>
    <xf numFmtId="0" fontId="2" fillId="0" borderId="3" xfId="0" applyFont="1" applyBorder="1" applyAlignment="1">
      <alignment horizontal="left"/>
    </xf>
    <xf numFmtId="169" fontId="0" fillId="0" borderId="0" xfId="0" applyNumberFormat="1" applyAlignment="1">
      <alignment horizontal="right"/>
    </xf>
    <xf numFmtId="170" fontId="0" fillId="0" borderId="0" xfId="0" applyNumberFormat="1" applyAlignment="1">
      <alignment horizontal="right"/>
    </xf>
    <xf numFmtId="44" fontId="2" fillId="5" borderId="0" xfId="1" applyFont="1" applyFill="1"/>
    <xf numFmtId="44" fontId="0" fillId="5" borderId="0" xfId="1" applyFont="1" applyFill="1"/>
    <xf numFmtId="0" fontId="0" fillId="5" borderId="0" xfId="0" applyFill="1"/>
    <xf numFmtId="44" fontId="0" fillId="5" borderId="0" xfId="0" applyNumberFormat="1" applyFill="1"/>
    <xf numFmtId="173" fontId="0" fillId="0" borderId="0" xfId="3" applyNumberFormat="1" applyFont="1"/>
    <xf numFmtId="0" fontId="8" fillId="0" borderId="0" xfId="0" applyFont="1"/>
    <xf numFmtId="6" fontId="3" fillId="0" borderId="0" xfId="0" applyNumberFormat="1" applyFont="1"/>
    <xf numFmtId="44" fontId="2" fillId="0" borderId="0" xfId="1" applyFont="1" applyFill="1"/>
    <xf numFmtId="44" fontId="0" fillId="0" borderId="0" xfId="1" applyFont="1" applyFill="1"/>
    <xf numFmtId="0" fontId="0" fillId="6" borderId="0" xfId="0" applyFill="1"/>
    <xf numFmtId="0" fontId="9" fillId="6" borderId="0" xfId="0" applyFont="1" applyFill="1" applyAlignment="1">
      <alignment horizontal="center" vertical="center"/>
    </xf>
    <xf numFmtId="0" fontId="10" fillId="6" borderId="0" xfId="0" applyFont="1" applyFill="1" applyAlignment="1">
      <alignment horizontal="center" vertical="center"/>
    </xf>
    <xf numFmtId="0" fontId="0" fillId="0" borderId="0" xfId="0"/>
    <xf numFmtId="0" fontId="0" fillId="0" borderId="0" xfId="0" applyNumberFormat="1"/>
  </cellXfs>
  <cellStyles count="4">
    <cellStyle name="Comma" xfId="2" builtinId="3"/>
    <cellStyle name="Currency" xfId="1" builtinId="4"/>
    <cellStyle name="Normal" xfId="0" builtinId="0"/>
    <cellStyle name="Percent" xfId="3" builtinId="5"/>
  </cellStyles>
  <dxfs count="30">
    <dxf>
      <numFmt numFmtId="172" formatCode="_(&quot;$&quot;* #,##0_);_(&quot;$&quot;* \(#,##0\);_(&quot;$&quot;* &quot;-&quot;??_);_(@_)"/>
    </dxf>
    <dxf>
      <numFmt numFmtId="0" formatCode="General"/>
    </dxf>
    <dxf>
      <numFmt numFmtId="0" formatCode="General"/>
    </dxf>
    <dxf>
      <numFmt numFmtId="0" formatCode="General"/>
    </dxf>
    <dxf>
      <numFmt numFmtId="0" formatCode="General"/>
    </dxf>
    <dxf>
      <numFmt numFmtId="172" formatCode="_(&quot;$&quot;* #,##0_);_(&quot;$&quot;* \(#,##0\);_(&quot;$&quot;* &quot;-&quot;??_);_(@_)"/>
    </dxf>
    <dxf>
      <numFmt numFmtId="172" formatCode="_(&quot;$&quot;* #,##0_);_(&quot;$&quot;* \(#,##0\);_(&quot;$&quot;* &quot;-&quot;??_);_(@_)"/>
    </dxf>
    <dxf>
      <numFmt numFmtId="172" formatCode="_(&quot;$&quot;* #,##0_);_(&quot;$&quot;* \(#,##0\);_(&quot;$&quot;* &quot;-&quot;??_);_(@_)"/>
    </dxf>
    <dxf>
      <numFmt numFmtId="172" formatCode="_(&quot;$&quot;* #,##0_);_(&quot;$&quot;* \(#,##0\);_(&quot;$&quot;* &quot;-&quot;??_);_(@_)"/>
    </dxf>
    <dxf>
      <numFmt numFmtId="172" formatCode="_(&quot;$&quot;* #,##0_);_(&quot;$&quot;* \(#,##0\);_(&quot;$&quot;* &quot;-&quot;??_);_(@_)"/>
    </dxf>
    <dxf>
      <numFmt numFmtId="172" formatCode="_(&quot;$&quot;* #,##0_);_(&quot;$&quot;* \(#,##0\);_(&quot;$&quot;* &quot;-&quot;??_);_(@_)"/>
    </dxf>
    <dxf>
      <numFmt numFmtId="0" formatCode="General"/>
    </dxf>
    <dxf>
      <numFmt numFmtId="1" formatCode="0"/>
    </dxf>
    <dxf>
      <numFmt numFmtId="0" formatCode="General"/>
    </dxf>
    <dxf>
      <numFmt numFmtId="172" formatCode="_(&quot;$&quot;* #,##0_);_(&quot;$&quot;* \(#,##0\);_(&quot;$&quot;* &quot;-&quot;??_);_(@_)"/>
    </dxf>
    <dxf>
      <numFmt numFmtId="172" formatCode="_(&quot;$&quot;* #,##0_);_(&quot;$&quot;* \(#,##0\);_(&quot;$&quot;* &quot;-&quot;??_);_(@_)"/>
    </dxf>
    <dxf>
      <numFmt numFmtId="172" formatCode="_(&quot;$&quot;* #,##0_);_(&quot;$&quot;* \(#,##0\);_(&quot;$&quot;* &quot;-&quot;??_);_(@_)"/>
    </dxf>
    <dxf>
      <numFmt numFmtId="172" formatCode="_(&quot;$&quot;* #,##0_);_(&quot;$&quot;* \(#,##0\);_(&quot;$&quot;* &quot;-&quot;??_);_(@_)"/>
    </dxf>
    <dxf>
      <numFmt numFmtId="0" formatCode="General"/>
    </dxf>
    <dxf>
      <numFmt numFmtId="0" formatCode="General"/>
    </dxf>
    <dxf>
      <numFmt numFmtId="164" formatCode="_-* #,##0.00_-;\-* #,##0.00_-;_-* &quot;-&quot;??_-;_-@_-"/>
    </dxf>
    <dxf>
      <numFmt numFmtId="170" formatCode="[$$-409]#,##0"/>
    </dxf>
    <dxf>
      <numFmt numFmtId="172" formatCode="_(&quot;$&quot;* #,##0_);_(&quot;$&quot;* \(#,##0\);_(&quot;$&quot;* &quot;-&quot;??_);_(@_)"/>
    </dxf>
    <dxf>
      <numFmt numFmtId="170" formatCode="[$$-409]#,##0"/>
    </dxf>
    <dxf>
      <numFmt numFmtId="170" formatCode="[$$-409]#,##0"/>
    </dxf>
    <dxf>
      <numFmt numFmtId="170" formatCode="[$$-409]#,##0"/>
    </dxf>
    <dxf>
      <numFmt numFmtId="170" formatCode="[$$-409]#,##0"/>
    </dxf>
    <dxf>
      <numFmt numFmtId="170" formatCode="[$$-409]#,##0"/>
    </dxf>
    <dxf>
      <font>
        <b/>
        <color theme="1"/>
      </font>
      <border>
        <bottom style="thin">
          <color theme="4"/>
        </bottom>
        <vertical/>
        <horizontal/>
      </border>
    </dxf>
    <dxf>
      <font>
        <b val="0"/>
        <i val="0"/>
        <sz val="30"/>
        <color theme="1"/>
      </font>
      <border diagonalUp="0" diagonalDown="0">
        <left/>
        <right/>
        <top/>
        <bottom/>
        <vertical/>
        <horizontal/>
      </border>
    </dxf>
  </dxfs>
  <tableStyles count="1" defaultTableStyle="TableStyleMedium2" defaultPivotStyle="PivotStyleLight16">
    <tableStyle name="SlicerStyleLight1 2" pivot="0" table="0" count="10" xr9:uid="{6428A0A2-3FF8-4B67-9B17-58D19F21291F}">
      <tableStyleElement type="wholeTable" dxfId="29"/>
      <tableStyleElement type="headerRow" dxfId="28"/>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[Marine Liability Project - Excel (2).xlsx]Exploratory!PivotTable1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Net incurred claim by Type per Year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Exploratory!$D$17:$D$18</c:f>
              <c:strCache>
                <c:ptCount val="1"/>
                <c:pt idx="0">
                  <c:v>Cargo Liability</c:v>
                </c:pt>
              </c:strCache>
            </c:strRef>
          </c:tx>
          <c:spPr>
            <a:solidFill>
              <a:schemeClr val="accent4">
                <a:shade val="53000"/>
              </a:schemeClr>
            </a:solidFill>
            <a:ln>
              <a:noFill/>
            </a:ln>
            <a:effectLst/>
          </c:spPr>
          <c:invertIfNegative val="0"/>
          <c:cat>
            <c:strRef>
              <c:f>Exploratory!$C$19:$C$25</c:f>
              <c:strCache>
                <c:ptCount val="6"/>
                <c:pt idx="0">
                  <c:v>2018</c:v>
                </c:pt>
                <c:pt idx="1">
                  <c:v>2019</c:v>
                </c:pt>
                <c:pt idx="2">
                  <c:v>2020</c:v>
                </c:pt>
                <c:pt idx="3">
                  <c:v>2021</c:v>
                </c:pt>
                <c:pt idx="4">
                  <c:v>2022</c:v>
                </c:pt>
                <c:pt idx="5">
                  <c:v>2023</c:v>
                </c:pt>
              </c:strCache>
            </c:strRef>
          </c:cat>
          <c:val>
            <c:numRef>
              <c:f>Exploratory!$D$19:$D$25</c:f>
              <c:numCache>
                <c:formatCode>[$$-409]#,##0</c:formatCode>
                <c:ptCount val="6"/>
                <c:pt idx="0">
                  <c:v>697368.0207472234</c:v>
                </c:pt>
                <c:pt idx="1">
                  <c:v>662834.33499735559</c:v>
                </c:pt>
                <c:pt idx="2">
                  <c:v>3570921.3315225951</c:v>
                </c:pt>
                <c:pt idx="3">
                  <c:v>1781773.1680748803</c:v>
                </c:pt>
                <c:pt idx="4">
                  <c:v>2937526.7408780004</c:v>
                </c:pt>
                <c:pt idx="5">
                  <c:v>1570662.8665999998</c:v>
                </c:pt>
              </c:numCache>
            </c:numRef>
          </c:val>
          <c:extLst>
            <c:ext xmlns:c16="http://schemas.microsoft.com/office/drawing/2014/chart" uri="{C3380CC4-5D6E-409C-BE32-E72D297353CC}">
              <c16:uniqueId val="{0000000D-3441-43F2-B931-31A5BD097A0A}"/>
            </c:ext>
          </c:extLst>
        </c:ser>
        <c:ser>
          <c:idx val="1"/>
          <c:order val="1"/>
          <c:tx>
            <c:strRef>
              <c:f>Exploratory!$E$17:$E$18</c:f>
              <c:strCache>
                <c:ptCount val="1"/>
                <c:pt idx="0">
                  <c:v>Collision Liability</c:v>
                </c:pt>
              </c:strCache>
            </c:strRef>
          </c:tx>
          <c:spPr>
            <a:solidFill>
              <a:schemeClr val="accent4">
                <a:shade val="76000"/>
              </a:schemeClr>
            </a:solidFill>
            <a:ln>
              <a:noFill/>
            </a:ln>
            <a:effectLst/>
          </c:spPr>
          <c:invertIfNegative val="0"/>
          <c:cat>
            <c:strRef>
              <c:f>Exploratory!$C$19:$C$25</c:f>
              <c:strCache>
                <c:ptCount val="6"/>
                <c:pt idx="0">
                  <c:v>2018</c:v>
                </c:pt>
                <c:pt idx="1">
                  <c:v>2019</c:v>
                </c:pt>
                <c:pt idx="2">
                  <c:v>2020</c:v>
                </c:pt>
                <c:pt idx="3">
                  <c:v>2021</c:v>
                </c:pt>
                <c:pt idx="4">
                  <c:v>2022</c:v>
                </c:pt>
                <c:pt idx="5">
                  <c:v>2023</c:v>
                </c:pt>
              </c:strCache>
            </c:strRef>
          </c:cat>
          <c:val>
            <c:numRef>
              <c:f>Exploratory!$E$19:$E$25</c:f>
              <c:numCache>
                <c:formatCode>[$$-409]#,##0</c:formatCode>
                <c:ptCount val="6"/>
                <c:pt idx="0">
                  <c:v>2405966.0874662898</c:v>
                </c:pt>
                <c:pt idx="1">
                  <c:v>3253999.8527008849</c:v>
                </c:pt>
                <c:pt idx="3">
                  <c:v>4027741.5256802402</c:v>
                </c:pt>
                <c:pt idx="4">
                  <c:v>997566.67877399991</c:v>
                </c:pt>
                <c:pt idx="5">
                  <c:v>1410599.5731000002</c:v>
                </c:pt>
              </c:numCache>
            </c:numRef>
          </c:val>
          <c:extLst>
            <c:ext xmlns:c16="http://schemas.microsoft.com/office/drawing/2014/chart" uri="{C3380CC4-5D6E-409C-BE32-E72D297353CC}">
              <c16:uniqueId val="{0000000E-3441-43F2-B931-31A5BD097A0A}"/>
            </c:ext>
          </c:extLst>
        </c:ser>
        <c:ser>
          <c:idx val="2"/>
          <c:order val="2"/>
          <c:tx>
            <c:strRef>
              <c:f>Exploratory!$F$17:$F$18</c:f>
              <c:strCache>
                <c:ptCount val="1"/>
                <c:pt idx="0">
                  <c:v>Damage to Other Vessels</c:v>
                </c:pt>
              </c:strCache>
            </c:strRef>
          </c:tx>
          <c:spPr>
            <a:solidFill>
              <a:schemeClr val="accent4"/>
            </a:solidFill>
            <a:ln>
              <a:noFill/>
            </a:ln>
            <a:effectLst/>
          </c:spPr>
          <c:invertIfNegative val="0"/>
          <c:cat>
            <c:strRef>
              <c:f>Exploratory!$C$19:$C$25</c:f>
              <c:strCache>
                <c:ptCount val="6"/>
                <c:pt idx="0">
                  <c:v>2018</c:v>
                </c:pt>
                <c:pt idx="1">
                  <c:v>2019</c:v>
                </c:pt>
                <c:pt idx="2">
                  <c:v>2020</c:v>
                </c:pt>
                <c:pt idx="3">
                  <c:v>2021</c:v>
                </c:pt>
                <c:pt idx="4">
                  <c:v>2022</c:v>
                </c:pt>
                <c:pt idx="5">
                  <c:v>2023</c:v>
                </c:pt>
              </c:strCache>
            </c:strRef>
          </c:cat>
          <c:val>
            <c:numRef>
              <c:f>Exploratory!$F$19:$F$25</c:f>
              <c:numCache>
                <c:formatCode>[$$-409]#,##0</c:formatCode>
                <c:ptCount val="6"/>
                <c:pt idx="0">
                  <c:v>1324699.5078214062</c:v>
                </c:pt>
                <c:pt idx="1">
                  <c:v>2407881.4108209559</c:v>
                </c:pt>
                <c:pt idx="2">
                  <c:v>3050494.7499306966</c:v>
                </c:pt>
                <c:pt idx="3">
                  <c:v>2386006.5987511203</c:v>
                </c:pt>
                <c:pt idx="4">
                  <c:v>2654253.808468</c:v>
                </c:pt>
                <c:pt idx="5">
                  <c:v>834871.46829999995</c:v>
                </c:pt>
              </c:numCache>
            </c:numRef>
          </c:val>
          <c:extLst>
            <c:ext xmlns:c16="http://schemas.microsoft.com/office/drawing/2014/chart" uri="{C3380CC4-5D6E-409C-BE32-E72D297353CC}">
              <c16:uniqueId val="{0000000F-3441-43F2-B931-31A5BD097A0A}"/>
            </c:ext>
          </c:extLst>
        </c:ser>
        <c:ser>
          <c:idx val="3"/>
          <c:order val="3"/>
          <c:tx>
            <c:strRef>
              <c:f>Exploratory!$G$17:$G$18</c:f>
              <c:strCache>
                <c:ptCount val="1"/>
                <c:pt idx="0">
                  <c:v>Environmental Pollution</c:v>
                </c:pt>
              </c:strCache>
            </c:strRef>
          </c:tx>
          <c:spPr>
            <a:solidFill>
              <a:schemeClr val="accent4">
                <a:tint val="77000"/>
              </a:schemeClr>
            </a:solidFill>
            <a:ln>
              <a:noFill/>
            </a:ln>
            <a:effectLst/>
          </c:spPr>
          <c:invertIfNegative val="0"/>
          <c:cat>
            <c:strRef>
              <c:f>Exploratory!$C$19:$C$25</c:f>
              <c:strCache>
                <c:ptCount val="6"/>
                <c:pt idx="0">
                  <c:v>2018</c:v>
                </c:pt>
                <c:pt idx="1">
                  <c:v>2019</c:v>
                </c:pt>
                <c:pt idx="2">
                  <c:v>2020</c:v>
                </c:pt>
                <c:pt idx="3">
                  <c:v>2021</c:v>
                </c:pt>
                <c:pt idx="4">
                  <c:v>2022</c:v>
                </c:pt>
                <c:pt idx="5">
                  <c:v>2023</c:v>
                </c:pt>
              </c:strCache>
            </c:strRef>
          </c:cat>
          <c:val>
            <c:numRef>
              <c:f>Exploratory!$G$19:$G$25</c:f>
              <c:numCache>
                <c:formatCode>[$$-409]#,##0</c:formatCode>
                <c:ptCount val="6"/>
                <c:pt idx="1">
                  <c:v>3215152.3493829388</c:v>
                </c:pt>
                <c:pt idx="2">
                  <c:v>3693140.9137192685</c:v>
                </c:pt>
                <c:pt idx="3">
                  <c:v>3537852.8211535201</c:v>
                </c:pt>
                <c:pt idx="4">
                  <c:v>8416336.8043120001</c:v>
                </c:pt>
              </c:numCache>
            </c:numRef>
          </c:val>
          <c:extLst>
            <c:ext xmlns:c16="http://schemas.microsoft.com/office/drawing/2014/chart" uri="{C3380CC4-5D6E-409C-BE32-E72D297353CC}">
              <c16:uniqueId val="{00000010-3441-43F2-B931-31A5BD097A0A}"/>
            </c:ext>
          </c:extLst>
        </c:ser>
        <c:ser>
          <c:idx val="4"/>
          <c:order val="4"/>
          <c:tx>
            <c:strRef>
              <c:f>Exploratory!$H$17:$H$18</c:f>
              <c:strCache>
                <c:ptCount val="1"/>
                <c:pt idx="0">
                  <c:v>Injury to Third Parties</c:v>
                </c:pt>
              </c:strCache>
            </c:strRef>
          </c:tx>
          <c:spPr>
            <a:solidFill>
              <a:schemeClr val="accent4">
                <a:tint val="54000"/>
              </a:schemeClr>
            </a:solidFill>
            <a:ln>
              <a:noFill/>
            </a:ln>
            <a:effectLst/>
          </c:spPr>
          <c:invertIfNegative val="0"/>
          <c:cat>
            <c:strRef>
              <c:f>Exploratory!$C$19:$C$25</c:f>
              <c:strCache>
                <c:ptCount val="6"/>
                <c:pt idx="0">
                  <c:v>2018</c:v>
                </c:pt>
                <c:pt idx="1">
                  <c:v>2019</c:v>
                </c:pt>
                <c:pt idx="2">
                  <c:v>2020</c:v>
                </c:pt>
                <c:pt idx="3">
                  <c:v>2021</c:v>
                </c:pt>
                <c:pt idx="4">
                  <c:v>2022</c:v>
                </c:pt>
                <c:pt idx="5">
                  <c:v>2023</c:v>
                </c:pt>
              </c:strCache>
            </c:strRef>
          </c:cat>
          <c:val>
            <c:numRef>
              <c:f>Exploratory!$H$19:$H$25</c:f>
              <c:numCache>
                <c:formatCode>[$$-409]#,##0</c:formatCode>
                <c:ptCount val="6"/>
                <c:pt idx="0">
                  <c:v>2000197.9464693414</c:v>
                </c:pt>
                <c:pt idx="1">
                  <c:v>825320.96309482318</c:v>
                </c:pt>
                <c:pt idx="2">
                  <c:v>1758685.2249286552</c:v>
                </c:pt>
                <c:pt idx="3">
                  <c:v>232953.22239032001</c:v>
                </c:pt>
                <c:pt idx="5">
                  <c:v>3629743.5011</c:v>
                </c:pt>
              </c:numCache>
            </c:numRef>
          </c:val>
          <c:extLst>
            <c:ext xmlns:c16="http://schemas.microsoft.com/office/drawing/2014/chart" uri="{C3380CC4-5D6E-409C-BE32-E72D297353CC}">
              <c16:uniqueId val="{00000011-3441-43F2-B931-31A5BD097A0A}"/>
            </c:ext>
          </c:extLst>
        </c:ser>
        <c:dLbls>
          <c:showLegendKey val="0"/>
          <c:showVal val="0"/>
          <c:showCatName val="0"/>
          <c:showSerName val="0"/>
          <c:showPercent val="0"/>
          <c:showBubbleSize val="0"/>
        </c:dLbls>
        <c:gapWidth val="219"/>
        <c:overlap val="-27"/>
        <c:axId val="1482268640"/>
        <c:axId val="1067637888"/>
      </c:barChart>
      <c:catAx>
        <c:axId val="1482268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7637888"/>
        <c:crosses val="autoZero"/>
        <c:auto val="1"/>
        <c:lblAlgn val="ctr"/>
        <c:lblOffset val="100"/>
        <c:noMultiLvlLbl val="0"/>
      </c:catAx>
      <c:valAx>
        <c:axId val="1067637888"/>
        <c:scaling>
          <c:orientation val="minMax"/>
        </c:scaling>
        <c:delete val="0"/>
        <c:axPos val="l"/>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22686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[Marine Liability Project - Excel (2).xlsx]Exploratory!PivotTable2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 of Claim Type by Year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Exploratory!$D$29:$D$30</c:f>
              <c:strCache>
                <c:ptCount val="1"/>
                <c:pt idx="0">
                  <c:v>Cargo Liability</c:v>
                </c:pt>
              </c:strCache>
            </c:strRef>
          </c:tx>
          <c:spPr>
            <a:solidFill>
              <a:schemeClr val="accent4">
                <a:shade val="53000"/>
              </a:schemeClr>
            </a:solidFill>
            <a:ln>
              <a:noFill/>
            </a:ln>
            <a:effectLst/>
          </c:spPr>
          <c:invertIfNegative val="0"/>
          <c:cat>
            <c:strRef>
              <c:f>Exploratory!$C$31:$C$37</c:f>
              <c:strCache>
                <c:ptCount val="6"/>
                <c:pt idx="0">
                  <c:v>2018</c:v>
                </c:pt>
                <c:pt idx="1">
                  <c:v>2019</c:v>
                </c:pt>
                <c:pt idx="2">
                  <c:v>2020</c:v>
                </c:pt>
                <c:pt idx="3">
                  <c:v>2021</c:v>
                </c:pt>
                <c:pt idx="4">
                  <c:v>2022</c:v>
                </c:pt>
                <c:pt idx="5">
                  <c:v>2023</c:v>
                </c:pt>
              </c:strCache>
            </c:strRef>
          </c:cat>
          <c:val>
            <c:numRef>
              <c:f>Exploratory!$D$31:$D$37</c:f>
              <c:numCache>
                <c:formatCode>General</c:formatCode>
                <c:ptCount val="6"/>
                <c:pt idx="0">
                  <c:v>1</c:v>
                </c:pt>
                <c:pt idx="1">
                  <c:v>1</c:v>
                </c:pt>
                <c:pt idx="2">
                  <c:v>6</c:v>
                </c:pt>
                <c:pt idx="3">
                  <c:v>3</c:v>
                </c:pt>
                <c:pt idx="4">
                  <c:v>5</c:v>
                </c:pt>
                <c:pt idx="5">
                  <c:v>3</c:v>
                </c:pt>
              </c:numCache>
            </c:numRef>
          </c:val>
          <c:extLst>
            <c:ext xmlns:c16="http://schemas.microsoft.com/office/drawing/2014/chart" uri="{C3380CC4-5D6E-409C-BE32-E72D297353CC}">
              <c16:uniqueId val="{0000000C-9475-4F75-81DD-00ED444F57F7}"/>
            </c:ext>
          </c:extLst>
        </c:ser>
        <c:ser>
          <c:idx val="1"/>
          <c:order val="1"/>
          <c:tx>
            <c:strRef>
              <c:f>Exploratory!$E$29:$E$30</c:f>
              <c:strCache>
                <c:ptCount val="1"/>
                <c:pt idx="0">
                  <c:v>Collision Liability</c:v>
                </c:pt>
              </c:strCache>
            </c:strRef>
          </c:tx>
          <c:spPr>
            <a:solidFill>
              <a:schemeClr val="accent4">
                <a:shade val="76000"/>
              </a:schemeClr>
            </a:solidFill>
            <a:ln>
              <a:noFill/>
            </a:ln>
            <a:effectLst/>
          </c:spPr>
          <c:invertIfNegative val="0"/>
          <c:cat>
            <c:strRef>
              <c:f>Exploratory!$C$31:$C$37</c:f>
              <c:strCache>
                <c:ptCount val="6"/>
                <c:pt idx="0">
                  <c:v>2018</c:v>
                </c:pt>
                <c:pt idx="1">
                  <c:v>2019</c:v>
                </c:pt>
                <c:pt idx="2">
                  <c:v>2020</c:v>
                </c:pt>
                <c:pt idx="3">
                  <c:v>2021</c:v>
                </c:pt>
                <c:pt idx="4">
                  <c:v>2022</c:v>
                </c:pt>
                <c:pt idx="5">
                  <c:v>2023</c:v>
                </c:pt>
              </c:strCache>
            </c:strRef>
          </c:cat>
          <c:val>
            <c:numRef>
              <c:f>Exploratory!$E$31:$E$37</c:f>
              <c:numCache>
                <c:formatCode>General</c:formatCode>
                <c:ptCount val="6"/>
                <c:pt idx="0">
                  <c:v>4</c:v>
                </c:pt>
                <c:pt idx="1">
                  <c:v>6</c:v>
                </c:pt>
                <c:pt idx="3">
                  <c:v>6</c:v>
                </c:pt>
                <c:pt idx="4">
                  <c:v>3</c:v>
                </c:pt>
                <c:pt idx="5">
                  <c:v>2</c:v>
                </c:pt>
              </c:numCache>
            </c:numRef>
          </c:val>
          <c:extLst>
            <c:ext xmlns:c16="http://schemas.microsoft.com/office/drawing/2014/chart" uri="{C3380CC4-5D6E-409C-BE32-E72D297353CC}">
              <c16:uniqueId val="{0000000D-9475-4F75-81DD-00ED444F57F7}"/>
            </c:ext>
          </c:extLst>
        </c:ser>
        <c:ser>
          <c:idx val="2"/>
          <c:order val="2"/>
          <c:tx>
            <c:strRef>
              <c:f>Exploratory!$F$29:$F$30</c:f>
              <c:strCache>
                <c:ptCount val="1"/>
                <c:pt idx="0">
                  <c:v>Damage to Other Vessels</c:v>
                </c:pt>
              </c:strCache>
            </c:strRef>
          </c:tx>
          <c:spPr>
            <a:solidFill>
              <a:schemeClr val="accent4"/>
            </a:solidFill>
            <a:ln>
              <a:noFill/>
            </a:ln>
            <a:effectLst/>
          </c:spPr>
          <c:invertIfNegative val="0"/>
          <c:cat>
            <c:strRef>
              <c:f>Exploratory!$C$31:$C$37</c:f>
              <c:strCache>
                <c:ptCount val="6"/>
                <c:pt idx="0">
                  <c:v>2018</c:v>
                </c:pt>
                <c:pt idx="1">
                  <c:v>2019</c:v>
                </c:pt>
                <c:pt idx="2">
                  <c:v>2020</c:v>
                </c:pt>
                <c:pt idx="3">
                  <c:v>2021</c:v>
                </c:pt>
                <c:pt idx="4">
                  <c:v>2022</c:v>
                </c:pt>
                <c:pt idx="5">
                  <c:v>2023</c:v>
                </c:pt>
              </c:strCache>
            </c:strRef>
          </c:cat>
          <c:val>
            <c:numRef>
              <c:f>Exploratory!$F$31:$F$37</c:f>
              <c:numCache>
                <c:formatCode>General</c:formatCode>
                <c:ptCount val="6"/>
                <c:pt idx="0">
                  <c:v>2</c:v>
                </c:pt>
                <c:pt idx="1">
                  <c:v>3</c:v>
                </c:pt>
                <c:pt idx="2">
                  <c:v>5</c:v>
                </c:pt>
                <c:pt idx="3">
                  <c:v>4</c:v>
                </c:pt>
                <c:pt idx="4">
                  <c:v>4</c:v>
                </c:pt>
                <c:pt idx="5">
                  <c:v>2</c:v>
                </c:pt>
              </c:numCache>
            </c:numRef>
          </c:val>
          <c:extLst>
            <c:ext xmlns:c16="http://schemas.microsoft.com/office/drawing/2014/chart" uri="{C3380CC4-5D6E-409C-BE32-E72D297353CC}">
              <c16:uniqueId val="{0000000E-9475-4F75-81DD-00ED444F57F7}"/>
            </c:ext>
          </c:extLst>
        </c:ser>
        <c:ser>
          <c:idx val="3"/>
          <c:order val="3"/>
          <c:tx>
            <c:strRef>
              <c:f>Exploratory!$G$29:$G$30</c:f>
              <c:strCache>
                <c:ptCount val="1"/>
                <c:pt idx="0">
                  <c:v>Environmental Pollution</c:v>
                </c:pt>
              </c:strCache>
            </c:strRef>
          </c:tx>
          <c:spPr>
            <a:solidFill>
              <a:schemeClr val="accent4">
                <a:tint val="77000"/>
              </a:schemeClr>
            </a:solidFill>
            <a:ln>
              <a:noFill/>
            </a:ln>
            <a:effectLst/>
          </c:spPr>
          <c:invertIfNegative val="0"/>
          <c:cat>
            <c:strRef>
              <c:f>Exploratory!$C$31:$C$37</c:f>
              <c:strCache>
                <c:ptCount val="6"/>
                <c:pt idx="0">
                  <c:v>2018</c:v>
                </c:pt>
                <c:pt idx="1">
                  <c:v>2019</c:v>
                </c:pt>
                <c:pt idx="2">
                  <c:v>2020</c:v>
                </c:pt>
                <c:pt idx="3">
                  <c:v>2021</c:v>
                </c:pt>
                <c:pt idx="4">
                  <c:v>2022</c:v>
                </c:pt>
                <c:pt idx="5">
                  <c:v>2023</c:v>
                </c:pt>
              </c:strCache>
            </c:strRef>
          </c:cat>
          <c:val>
            <c:numRef>
              <c:f>Exploratory!$G$31:$G$37</c:f>
              <c:numCache>
                <c:formatCode>General</c:formatCode>
                <c:ptCount val="6"/>
                <c:pt idx="1">
                  <c:v>5</c:v>
                </c:pt>
                <c:pt idx="2">
                  <c:v>6</c:v>
                </c:pt>
                <c:pt idx="3">
                  <c:v>6</c:v>
                </c:pt>
                <c:pt idx="4">
                  <c:v>5</c:v>
                </c:pt>
              </c:numCache>
            </c:numRef>
          </c:val>
          <c:extLst>
            <c:ext xmlns:c16="http://schemas.microsoft.com/office/drawing/2014/chart" uri="{C3380CC4-5D6E-409C-BE32-E72D297353CC}">
              <c16:uniqueId val="{0000000F-9475-4F75-81DD-00ED444F57F7}"/>
            </c:ext>
          </c:extLst>
        </c:ser>
        <c:ser>
          <c:idx val="4"/>
          <c:order val="4"/>
          <c:tx>
            <c:strRef>
              <c:f>Exploratory!$H$29:$H$30</c:f>
              <c:strCache>
                <c:ptCount val="1"/>
                <c:pt idx="0">
                  <c:v>Injury to Third Parties</c:v>
                </c:pt>
              </c:strCache>
            </c:strRef>
          </c:tx>
          <c:spPr>
            <a:solidFill>
              <a:schemeClr val="accent4">
                <a:tint val="54000"/>
              </a:schemeClr>
            </a:solidFill>
            <a:ln>
              <a:noFill/>
            </a:ln>
            <a:effectLst/>
          </c:spPr>
          <c:invertIfNegative val="0"/>
          <c:cat>
            <c:strRef>
              <c:f>Exploratory!$C$31:$C$37</c:f>
              <c:strCache>
                <c:ptCount val="6"/>
                <c:pt idx="0">
                  <c:v>2018</c:v>
                </c:pt>
                <c:pt idx="1">
                  <c:v>2019</c:v>
                </c:pt>
                <c:pt idx="2">
                  <c:v>2020</c:v>
                </c:pt>
                <c:pt idx="3">
                  <c:v>2021</c:v>
                </c:pt>
                <c:pt idx="4">
                  <c:v>2022</c:v>
                </c:pt>
                <c:pt idx="5">
                  <c:v>2023</c:v>
                </c:pt>
              </c:strCache>
            </c:strRef>
          </c:cat>
          <c:val>
            <c:numRef>
              <c:f>Exploratory!$H$31:$H$37</c:f>
              <c:numCache>
                <c:formatCode>General</c:formatCode>
                <c:ptCount val="6"/>
                <c:pt idx="0">
                  <c:v>3</c:v>
                </c:pt>
                <c:pt idx="1">
                  <c:v>2</c:v>
                </c:pt>
                <c:pt idx="2">
                  <c:v>3</c:v>
                </c:pt>
                <c:pt idx="3">
                  <c:v>1</c:v>
                </c:pt>
                <c:pt idx="5">
                  <c:v>9</c:v>
                </c:pt>
              </c:numCache>
            </c:numRef>
          </c:val>
          <c:extLst>
            <c:ext xmlns:c16="http://schemas.microsoft.com/office/drawing/2014/chart" uri="{C3380CC4-5D6E-409C-BE32-E72D297353CC}">
              <c16:uniqueId val="{00000010-9475-4F75-81DD-00ED444F57F7}"/>
            </c:ext>
          </c:extLst>
        </c:ser>
        <c:dLbls>
          <c:showLegendKey val="0"/>
          <c:showVal val="0"/>
          <c:showCatName val="0"/>
          <c:showSerName val="0"/>
          <c:showPercent val="0"/>
          <c:showBubbleSize val="0"/>
        </c:dLbls>
        <c:gapWidth val="219"/>
        <c:overlap val="-27"/>
        <c:axId val="728442320"/>
        <c:axId val="728444032"/>
      </c:barChart>
      <c:catAx>
        <c:axId val="7284423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8444032"/>
        <c:crosses val="autoZero"/>
        <c:auto val="1"/>
        <c:lblAlgn val="ctr"/>
        <c:lblOffset val="100"/>
        <c:noMultiLvlLbl val="0"/>
      </c:catAx>
      <c:valAx>
        <c:axId val="7284440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84423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[Marine Liability Project - Excel (2).xlsx]PivotWork!PivotTable7</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a:t>Avg Severity by Claim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PivotWork!$B$15</c:f>
              <c:strCache>
                <c:ptCount val="1"/>
                <c:pt idx="0">
                  <c:v>Total</c:v>
                </c:pt>
              </c:strCache>
            </c:strRef>
          </c:tx>
          <c:spPr>
            <a:solidFill>
              <a:schemeClr val="accent1"/>
            </a:solidFill>
            <a:ln>
              <a:noFill/>
            </a:ln>
            <a:effectLst/>
          </c:spPr>
          <c:invertIfNegative val="0"/>
          <c:cat>
            <c:strRef>
              <c:f>PivotWork!$A$16:$A$20</c:f>
              <c:strCache>
                <c:ptCount val="5"/>
                <c:pt idx="0">
                  <c:v>Cargo Liability</c:v>
                </c:pt>
                <c:pt idx="1">
                  <c:v>Collision Liability</c:v>
                </c:pt>
                <c:pt idx="2">
                  <c:v>Damage to Other Vessels</c:v>
                </c:pt>
                <c:pt idx="3">
                  <c:v>Environmental Pollution</c:v>
                </c:pt>
                <c:pt idx="4">
                  <c:v>Injury to Third Parties</c:v>
                </c:pt>
              </c:strCache>
            </c:strRef>
          </c:cat>
          <c:val>
            <c:numRef>
              <c:f>PivotWork!$B$16:$B$20</c:f>
              <c:numCache>
                <c:formatCode>_("$"* #,##0_);_("$"* \(#,##0\);_("$"* "-"??_);_(@_)</c:formatCode>
                <c:ptCount val="5"/>
                <c:pt idx="0">
                  <c:v>573839.54</c:v>
                </c:pt>
                <c:pt idx="1">
                  <c:v>469324.84833333333</c:v>
                </c:pt>
                <c:pt idx="2">
                  <c:v>702039.87</c:v>
                </c:pt>
                <c:pt idx="3">
                  <c:v>556438.30199999991</c:v>
                </c:pt>
                <c:pt idx="4">
                  <c:v>356211.06</c:v>
                </c:pt>
              </c:numCache>
            </c:numRef>
          </c:val>
          <c:extLst>
            <c:ext xmlns:c16="http://schemas.microsoft.com/office/drawing/2014/chart" uri="{C3380CC4-5D6E-409C-BE32-E72D297353CC}">
              <c16:uniqueId val="{00000002-8C3F-BE4C-824B-C6DD7220A688}"/>
            </c:ext>
          </c:extLst>
        </c:ser>
        <c:dLbls>
          <c:showLegendKey val="0"/>
          <c:showVal val="0"/>
          <c:showCatName val="0"/>
          <c:showSerName val="0"/>
          <c:showPercent val="0"/>
          <c:showBubbleSize val="0"/>
        </c:dLbls>
        <c:gapWidth val="219"/>
        <c:axId val="1618558784"/>
        <c:axId val="1618543968"/>
      </c:barChart>
      <c:catAx>
        <c:axId val="16185587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8543968"/>
        <c:crossesAt val="0"/>
        <c:auto val="1"/>
        <c:lblAlgn val="ctr"/>
        <c:lblOffset val="100"/>
        <c:noMultiLvlLbl val="0"/>
      </c:catAx>
      <c:valAx>
        <c:axId val="1618543968"/>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855878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[Marine Liability Project - Excel (2).xlsx]PivotWork!PivotTable8</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a:t>Total Claims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PivotWork!$B$30</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PivotWork!$A$31:$A$36</c:f>
              <c:strCache>
                <c:ptCount val="6"/>
                <c:pt idx="0">
                  <c:v>2018</c:v>
                </c:pt>
                <c:pt idx="1">
                  <c:v>2019</c:v>
                </c:pt>
                <c:pt idx="2">
                  <c:v>2020</c:v>
                </c:pt>
                <c:pt idx="3">
                  <c:v>2021</c:v>
                </c:pt>
                <c:pt idx="4">
                  <c:v>2022</c:v>
                </c:pt>
                <c:pt idx="5">
                  <c:v>2023</c:v>
                </c:pt>
              </c:strCache>
            </c:strRef>
          </c:cat>
          <c:val>
            <c:numRef>
              <c:f>PivotWork!$B$31:$B$36</c:f>
              <c:numCache>
                <c:formatCode>0</c:formatCode>
                <c:ptCount val="6"/>
                <c:pt idx="0">
                  <c:v>10</c:v>
                </c:pt>
                <c:pt idx="1">
                  <c:v>17</c:v>
                </c:pt>
                <c:pt idx="2">
                  <c:v>20</c:v>
                </c:pt>
                <c:pt idx="3">
                  <c:v>20</c:v>
                </c:pt>
                <c:pt idx="4">
                  <c:v>17</c:v>
                </c:pt>
                <c:pt idx="5">
                  <c:v>16</c:v>
                </c:pt>
              </c:numCache>
            </c:numRef>
          </c:val>
          <c:smooth val="0"/>
          <c:extLst>
            <c:ext xmlns:c16="http://schemas.microsoft.com/office/drawing/2014/chart" uri="{C3380CC4-5D6E-409C-BE32-E72D297353CC}">
              <c16:uniqueId val="{00000000-B241-C745-AD7D-61AE76E7B0BE}"/>
            </c:ext>
          </c:extLst>
        </c:ser>
        <c:dLbls>
          <c:showLegendKey val="0"/>
          <c:showVal val="0"/>
          <c:showCatName val="0"/>
          <c:showSerName val="0"/>
          <c:showPercent val="0"/>
          <c:showBubbleSize val="0"/>
        </c:dLbls>
        <c:marker val="1"/>
        <c:smooth val="0"/>
        <c:axId val="1618315696"/>
        <c:axId val="773360768"/>
      </c:lineChart>
      <c:catAx>
        <c:axId val="1618315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3360768"/>
        <c:crosses val="autoZero"/>
        <c:auto val="1"/>
        <c:lblAlgn val="ctr"/>
        <c:lblOffset val="100"/>
        <c:noMultiLvlLbl val="0"/>
      </c:catAx>
      <c:valAx>
        <c:axId val="7733607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831569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[Marine Liability Project - Excel (2).xlsx]PivotWork!PivotTable10</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a:solidFill>
                  <a:schemeClr val="tx1"/>
                </a:solidFill>
              </a:rPr>
              <a:t>Loss Share by Claim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hade val="53000"/>
            </a:schemeClr>
          </a:solidFill>
          <a:ln w="19050">
            <a:solidFill>
              <a:schemeClr val="lt1"/>
            </a:solidFill>
          </a:ln>
          <a:effectLst/>
        </c:spPr>
      </c:pivotFmt>
      <c:pivotFmt>
        <c:idx val="2"/>
        <c:spPr>
          <a:solidFill>
            <a:schemeClr val="accent1">
              <a:shade val="76000"/>
            </a:schemeClr>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tint val="77000"/>
            </a:schemeClr>
          </a:solidFill>
          <a:ln w="19050">
            <a:solidFill>
              <a:schemeClr val="lt1"/>
            </a:solidFill>
          </a:ln>
          <a:effectLst/>
        </c:spPr>
      </c:pivotFmt>
      <c:pivotFmt>
        <c:idx val="5"/>
        <c:spPr>
          <a:solidFill>
            <a:schemeClr val="accent1">
              <a:tint val="54000"/>
            </a:schemeClr>
          </a:solidFill>
          <a:ln w="19050">
            <a:solidFill>
              <a:schemeClr val="lt1"/>
            </a:solidFill>
          </a:ln>
          <a:effectLst/>
        </c:spPr>
      </c:pivotFmt>
    </c:pivotFmts>
    <c:plotArea>
      <c:layout/>
      <c:pieChart>
        <c:varyColors val="1"/>
        <c:ser>
          <c:idx val="0"/>
          <c:order val="0"/>
          <c:tx>
            <c:strRef>
              <c:f>PivotWork!$B$44</c:f>
              <c:strCache>
                <c:ptCount val="1"/>
                <c:pt idx="0">
                  <c:v>Total</c:v>
                </c:pt>
              </c:strCache>
            </c:strRef>
          </c:tx>
          <c:dPt>
            <c:idx val="0"/>
            <c:bubble3D val="0"/>
            <c:spPr>
              <a:solidFill>
                <a:schemeClr val="accent1">
                  <a:shade val="53000"/>
                </a:schemeClr>
              </a:solidFill>
              <a:ln w="19050">
                <a:solidFill>
                  <a:schemeClr val="lt1"/>
                </a:solidFill>
              </a:ln>
              <a:effectLst/>
            </c:spPr>
            <c:extLst>
              <c:ext xmlns:c16="http://schemas.microsoft.com/office/drawing/2014/chart" uri="{C3380CC4-5D6E-409C-BE32-E72D297353CC}">
                <c16:uniqueId val="{00000001-85E3-4016-9E6A-DA8CA1421CF4}"/>
              </c:ext>
            </c:extLst>
          </c:dPt>
          <c:dPt>
            <c:idx val="1"/>
            <c:bubble3D val="0"/>
            <c:spPr>
              <a:solidFill>
                <a:schemeClr val="accent1">
                  <a:shade val="76000"/>
                </a:schemeClr>
              </a:solidFill>
              <a:ln w="19050">
                <a:solidFill>
                  <a:schemeClr val="lt1"/>
                </a:solidFill>
              </a:ln>
              <a:effectLst/>
            </c:spPr>
            <c:extLst>
              <c:ext xmlns:c16="http://schemas.microsoft.com/office/drawing/2014/chart" uri="{C3380CC4-5D6E-409C-BE32-E72D297353CC}">
                <c16:uniqueId val="{00000003-85E3-4016-9E6A-DA8CA1421CF4}"/>
              </c:ext>
            </c:extLst>
          </c:dPt>
          <c:dPt>
            <c:idx val="2"/>
            <c:bubble3D val="0"/>
            <c:spPr>
              <a:solidFill>
                <a:schemeClr val="accent1"/>
              </a:solidFill>
              <a:ln w="19050">
                <a:solidFill>
                  <a:schemeClr val="lt1"/>
                </a:solidFill>
              </a:ln>
              <a:effectLst/>
            </c:spPr>
            <c:extLst>
              <c:ext xmlns:c16="http://schemas.microsoft.com/office/drawing/2014/chart" uri="{C3380CC4-5D6E-409C-BE32-E72D297353CC}">
                <c16:uniqueId val="{00000005-85E3-4016-9E6A-DA8CA1421CF4}"/>
              </c:ext>
            </c:extLst>
          </c:dPt>
          <c:dPt>
            <c:idx val="3"/>
            <c:bubble3D val="0"/>
            <c:spPr>
              <a:solidFill>
                <a:schemeClr val="accent1">
                  <a:tint val="77000"/>
                </a:schemeClr>
              </a:solidFill>
              <a:ln w="19050">
                <a:solidFill>
                  <a:schemeClr val="lt1"/>
                </a:solidFill>
              </a:ln>
              <a:effectLst/>
            </c:spPr>
            <c:extLst>
              <c:ext xmlns:c16="http://schemas.microsoft.com/office/drawing/2014/chart" uri="{C3380CC4-5D6E-409C-BE32-E72D297353CC}">
                <c16:uniqueId val="{00000007-85E3-4016-9E6A-DA8CA1421CF4}"/>
              </c:ext>
            </c:extLst>
          </c:dPt>
          <c:dPt>
            <c:idx val="4"/>
            <c:bubble3D val="0"/>
            <c:spPr>
              <a:solidFill>
                <a:schemeClr val="accent1">
                  <a:tint val="54000"/>
                </a:schemeClr>
              </a:solidFill>
              <a:ln w="19050">
                <a:solidFill>
                  <a:schemeClr val="lt1"/>
                </a:solidFill>
              </a:ln>
              <a:effectLst/>
            </c:spPr>
            <c:extLst>
              <c:ext xmlns:c16="http://schemas.microsoft.com/office/drawing/2014/chart" uri="{C3380CC4-5D6E-409C-BE32-E72D297353CC}">
                <c16:uniqueId val="{00000009-85E3-4016-9E6A-DA8CA1421CF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PivotWork!$A$45:$A$49</c:f>
              <c:strCache>
                <c:ptCount val="5"/>
                <c:pt idx="0">
                  <c:v>Cargo Liability</c:v>
                </c:pt>
                <c:pt idx="1">
                  <c:v>Collision Liability</c:v>
                </c:pt>
                <c:pt idx="2">
                  <c:v>Damage to Other Vessels</c:v>
                </c:pt>
                <c:pt idx="3">
                  <c:v>Environmental Pollution</c:v>
                </c:pt>
                <c:pt idx="4">
                  <c:v>Injury to Third Parties</c:v>
                </c:pt>
              </c:strCache>
            </c:strRef>
          </c:cat>
          <c:val>
            <c:numRef>
              <c:f>PivotWork!$B$45:$B$49</c:f>
              <c:numCache>
                <c:formatCode>_("$"* #,##0_);_("$"* \(#,##0\);_("$"* "-"??_);_(@_)</c:formatCode>
                <c:ptCount val="5"/>
                <c:pt idx="0">
                  <c:v>573839.54</c:v>
                </c:pt>
                <c:pt idx="1">
                  <c:v>2815949.09</c:v>
                </c:pt>
                <c:pt idx="2">
                  <c:v>2106119.61</c:v>
                </c:pt>
                <c:pt idx="3">
                  <c:v>2782191.51</c:v>
                </c:pt>
                <c:pt idx="4">
                  <c:v>712422.12</c:v>
                </c:pt>
              </c:numCache>
            </c:numRef>
          </c:val>
          <c:extLst>
            <c:ext xmlns:c16="http://schemas.microsoft.com/office/drawing/2014/chart" uri="{C3380CC4-5D6E-409C-BE32-E72D297353CC}">
              <c16:uniqueId val="{00000000-6C0C-1E4E-9BEA-BBC51176ACBA}"/>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59444444444444444"/>
          <c:y val="0.33612569262175557"/>
          <c:w val="0.36666666666666664"/>
          <c:h val="0.4361512102653835"/>
        </c:manualLayout>
      </c:layout>
      <c:overlay val="0"/>
      <c:spPr>
        <a:noFill/>
        <a:ln>
          <a:noFill/>
        </a:ln>
        <a:effectLst/>
      </c:spPr>
      <c:txPr>
        <a:bodyPr rot="0" spcFirstLastPara="1" vertOverflow="ellipsis" vert="horz" wrap="square" anchor="ctr" anchorCtr="1"/>
        <a:lstStyle/>
        <a:p>
          <a:pPr>
            <a:defRPr sz="1050" b="0" i="0" u="none" strike="noStrike" kern="1200" baseline="0">
              <a:solidFill>
                <a:schemeClr val="tx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[Marine Liability Project - Excel (2).xlsx]PivotWork!PivotTable11</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a:solidFill>
                  <a:schemeClr val="tx1"/>
                </a:solidFill>
              </a:rPr>
              <a:t>Loss Share by Location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hade val="53000"/>
            </a:schemeClr>
          </a:solidFill>
          <a:ln w="19050">
            <a:solidFill>
              <a:schemeClr val="lt1"/>
            </a:solidFill>
          </a:ln>
          <a:effectLst/>
        </c:spPr>
      </c:pivotFmt>
      <c:pivotFmt>
        <c:idx val="2"/>
        <c:spPr>
          <a:solidFill>
            <a:schemeClr val="accent1">
              <a:shade val="76000"/>
            </a:schemeClr>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tint val="77000"/>
            </a:schemeClr>
          </a:solidFill>
          <a:ln w="19050">
            <a:solidFill>
              <a:schemeClr val="lt1"/>
            </a:solidFill>
          </a:ln>
          <a:effectLst/>
        </c:spPr>
      </c:pivotFmt>
      <c:pivotFmt>
        <c:idx val="5"/>
        <c:spPr>
          <a:solidFill>
            <a:schemeClr val="accent1">
              <a:tint val="54000"/>
            </a:schemeClr>
          </a:solidFill>
          <a:ln w="19050">
            <a:solidFill>
              <a:schemeClr val="lt1"/>
            </a:solidFill>
          </a:ln>
          <a:effectLst/>
        </c:spPr>
      </c:pivotFmt>
    </c:pivotFmts>
    <c:plotArea>
      <c:layout>
        <c:manualLayout>
          <c:layoutTarget val="inner"/>
          <c:xMode val="edge"/>
          <c:yMode val="edge"/>
          <c:x val="0.37802768605537207"/>
          <c:y val="0.15431745689323084"/>
          <c:w val="0.4648243767916107"/>
          <c:h val="0.78956469482410585"/>
        </c:manualLayout>
      </c:layout>
      <c:doughnutChart>
        <c:varyColors val="1"/>
        <c:ser>
          <c:idx val="0"/>
          <c:order val="0"/>
          <c:tx>
            <c:strRef>
              <c:f>PivotWork!$B$60</c:f>
              <c:strCache>
                <c:ptCount val="1"/>
                <c:pt idx="0">
                  <c:v>Total</c:v>
                </c:pt>
              </c:strCache>
            </c:strRef>
          </c:tx>
          <c:explosion val="1"/>
          <c:dPt>
            <c:idx val="0"/>
            <c:bubble3D val="0"/>
            <c:spPr>
              <a:solidFill>
                <a:schemeClr val="accent1">
                  <a:shade val="53000"/>
                </a:schemeClr>
              </a:solidFill>
              <a:ln w="19050">
                <a:solidFill>
                  <a:schemeClr val="lt1"/>
                </a:solidFill>
              </a:ln>
              <a:effectLst/>
            </c:spPr>
            <c:extLst>
              <c:ext xmlns:c16="http://schemas.microsoft.com/office/drawing/2014/chart" uri="{C3380CC4-5D6E-409C-BE32-E72D297353CC}">
                <c16:uniqueId val="{00000001-1C22-4171-85D8-9D5472C6ED94}"/>
              </c:ext>
            </c:extLst>
          </c:dPt>
          <c:dPt>
            <c:idx val="1"/>
            <c:bubble3D val="0"/>
            <c:spPr>
              <a:solidFill>
                <a:schemeClr val="accent1">
                  <a:shade val="76000"/>
                </a:schemeClr>
              </a:solidFill>
              <a:ln w="19050">
                <a:solidFill>
                  <a:schemeClr val="lt1"/>
                </a:solidFill>
              </a:ln>
              <a:effectLst/>
            </c:spPr>
            <c:extLst>
              <c:ext xmlns:c16="http://schemas.microsoft.com/office/drawing/2014/chart" uri="{C3380CC4-5D6E-409C-BE32-E72D297353CC}">
                <c16:uniqueId val="{00000003-1C22-4171-85D8-9D5472C6ED94}"/>
              </c:ext>
            </c:extLst>
          </c:dPt>
          <c:dPt>
            <c:idx val="2"/>
            <c:bubble3D val="0"/>
            <c:spPr>
              <a:solidFill>
                <a:schemeClr val="accent1"/>
              </a:solidFill>
              <a:ln w="19050">
                <a:solidFill>
                  <a:schemeClr val="lt1"/>
                </a:solidFill>
              </a:ln>
              <a:effectLst/>
            </c:spPr>
            <c:extLst>
              <c:ext xmlns:c16="http://schemas.microsoft.com/office/drawing/2014/chart" uri="{C3380CC4-5D6E-409C-BE32-E72D297353CC}">
                <c16:uniqueId val="{00000005-1C22-4171-85D8-9D5472C6ED94}"/>
              </c:ext>
            </c:extLst>
          </c:dPt>
          <c:dPt>
            <c:idx val="3"/>
            <c:bubble3D val="0"/>
            <c:spPr>
              <a:solidFill>
                <a:schemeClr val="accent1">
                  <a:tint val="77000"/>
                </a:schemeClr>
              </a:solidFill>
              <a:ln w="19050">
                <a:solidFill>
                  <a:schemeClr val="lt1"/>
                </a:solidFill>
              </a:ln>
              <a:effectLst/>
            </c:spPr>
            <c:extLst>
              <c:ext xmlns:c16="http://schemas.microsoft.com/office/drawing/2014/chart" uri="{C3380CC4-5D6E-409C-BE32-E72D297353CC}">
                <c16:uniqueId val="{00000007-1C22-4171-85D8-9D5472C6ED94}"/>
              </c:ext>
            </c:extLst>
          </c:dPt>
          <c:dPt>
            <c:idx val="4"/>
            <c:bubble3D val="0"/>
            <c:spPr>
              <a:solidFill>
                <a:schemeClr val="accent1">
                  <a:tint val="54000"/>
                </a:schemeClr>
              </a:solidFill>
              <a:ln w="19050">
                <a:solidFill>
                  <a:schemeClr val="lt1"/>
                </a:solidFill>
              </a:ln>
              <a:effectLst/>
            </c:spPr>
            <c:extLst>
              <c:ext xmlns:c16="http://schemas.microsoft.com/office/drawing/2014/chart" uri="{C3380CC4-5D6E-409C-BE32-E72D297353CC}">
                <c16:uniqueId val="{00000009-1C22-4171-85D8-9D5472C6ED9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PivotWork!$A$61:$A$65</c:f>
              <c:strCache>
                <c:ptCount val="5"/>
                <c:pt idx="0">
                  <c:v>Atlantic Ocean</c:v>
                </c:pt>
                <c:pt idx="1">
                  <c:v>Indian Ocean</c:v>
                </c:pt>
                <c:pt idx="2">
                  <c:v>Mediterranean Sea</c:v>
                </c:pt>
                <c:pt idx="3">
                  <c:v>North Sea</c:v>
                </c:pt>
                <c:pt idx="4">
                  <c:v>Pacific Ocean</c:v>
                </c:pt>
              </c:strCache>
            </c:strRef>
          </c:cat>
          <c:val>
            <c:numRef>
              <c:f>PivotWork!$B$61:$B$65</c:f>
              <c:numCache>
                <c:formatCode>_("$"* #,##0_);_("$"* \(#,##0\);_("$"* "-"??_);_(@_)</c:formatCode>
                <c:ptCount val="5"/>
                <c:pt idx="0">
                  <c:v>2665361.73</c:v>
                </c:pt>
                <c:pt idx="1">
                  <c:v>2339443.5</c:v>
                </c:pt>
                <c:pt idx="2">
                  <c:v>1212688.83</c:v>
                </c:pt>
                <c:pt idx="3">
                  <c:v>1425561.1</c:v>
                </c:pt>
                <c:pt idx="4">
                  <c:v>1347466.71</c:v>
                </c:pt>
              </c:numCache>
            </c:numRef>
          </c:val>
          <c:extLst>
            <c:ext xmlns:c16="http://schemas.microsoft.com/office/drawing/2014/chart" uri="{C3380CC4-5D6E-409C-BE32-E72D297353CC}">
              <c16:uniqueId val="{00000000-F17B-0347-89DC-AF0D748ABD9C}"/>
            </c:ext>
          </c:extLst>
        </c:ser>
        <c:dLbls>
          <c:showLegendKey val="0"/>
          <c:showVal val="0"/>
          <c:showCatName val="0"/>
          <c:showSerName val="0"/>
          <c:showPercent val="0"/>
          <c:showBubbleSize val="0"/>
          <c:showLeaderLines val="1"/>
        </c:dLbls>
        <c:firstSliceAng val="0"/>
        <c:holeSize val="53"/>
      </c:doughnutChart>
      <c:spPr>
        <a:noFill/>
        <a:ln>
          <a:noFill/>
        </a:ln>
        <a:effectLst/>
      </c:spPr>
    </c:plotArea>
    <c:legend>
      <c:legendPos val="l"/>
      <c:layout>
        <c:manualLayout>
          <c:xMode val="edge"/>
          <c:yMode val="edge"/>
          <c:x val="4.7378672541278595E-2"/>
          <c:y val="0.39880518359862543"/>
          <c:w val="0.29538268589002553"/>
          <c:h val="0.35021807218335627"/>
        </c:manualLayout>
      </c:layout>
      <c:overlay val="0"/>
      <c:spPr>
        <a:noFill/>
        <a:ln>
          <a:noFill/>
        </a:ln>
        <a:effectLst/>
      </c:spPr>
      <c:txPr>
        <a:bodyPr rot="0" spcFirstLastPara="1" vertOverflow="ellipsis" vert="horz" wrap="square" anchor="ctr" anchorCtr="1"/>
        <a:lstStyle/>
        <a:p>
          <a:pPr>
            <a:defRPr sz="1050" b="0" i="0" u="none" strike="noStrike" kern="1200" baseline="0">
              <a:solidFill>
                <a:schemeClr val="tx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[Marine Liability Project - Excel (2).xlsx]PivotWork!PivotTable14</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a:solidFill>
                  <a:schemeClr val="tx1"/>
                </a:solidFill>
              </a:rPr>
              <a:t>Total Loss by Year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PivotWork!$B$2</c:f>
              <c:strCache>
                <c:ptCount val="1"/>
                <c:pt idx="0">
                  <c:v>Total</c:v>
                </c:pt>
              </c:strCache>
            </c:strRef>
          </c:tx>
          <c:spPr>
            <a:solidFill>
              <a:schemeClr val="accent1"/>
            </a:solidFill>
            <a:ln>
              <a:noFill/>
            </a:ln>
            <a:effectLst/>
          </c:spPr>
          <c:invertIfNegative val="0"/>
          <c:cat>
            <c:strRef>
              <c:f>PivotWork!$A$3:$A$8</c:f>
              <c:strCache>
                <c:ptCount val="6"/>
                <c:pt idx="0">
                  <c:v>2018</c:v>
                </c:pt>
                <c:pt idx="1">
                  <c:v>2019</c:v>
                </c:pt>
                <c:pt idx="2">
                  <c:v>2020</c:v>
                </c:pt>
                <c:pt idx="3">
                  <c:v>2021</c:v>
                </c:pt>
                <c:pt idx="4">
                  <c:v>2022</c:v>
                </c:pt>
                <c:pt idx="5">
                  <c:v>2023</c:v>
                </c:pt>
              </c:strCache>
            </c:strRef>
          </c:cat>
          <c:val>
            <c:numRef>
              <c:f>PivotWork!$B$3:$B$8</c:f>
              <c:numCache>
                <c:formatCode>_("$"* #,##0_);_("$"* \(#,##0\);_("$"* "-"??_);_(@_)</c:formatCode>
                <c:ptCount val="6"/>
                <c:pt idx="0">
                  <c:v>5338978.59</c:v>
                </c:pt>
                <c:pt idx="1">
                  <c:v>8990521.8699999992</c:v>
                </c:pt>
                <c:pt idx="2">
                  <c:v>10876207.710000001</c:v>
                </c:pt>
                <c:pt idx="3">
                  <c:v>11129343.550000003</c:v>
                </c:pt>
                <c:pt idx="4">
                  <c:v>14259556.129999999</c:v>
                </c:pt>
                <c:pt idx="5">
                  <c:v>7215626.96</c:v>
                </c:pt>
              </c:numCache>
            </c:numRef>
          </c:val>
          <c:extLst>
            <c:ext xmlns:c16="http://schemas.microsoft.com/office/drawing/2014/chart" uri="{C3380CC4-5D6E-409C-BE32-E72D297353CC}">
              <c16:uniqueId val="{00000000-AF68-3E47-B048-432B57C26E5A}"/>
            </c:ext>
          </c:extLst>
        </c:ser>
        <c:dLbls>
          <c:showLegendKey val="0"/>
          <c:showVal val="0"/>
          <c:showCatName val="0"/>
          <c:showSerName val="0"/>
          <c:showPercent val="0"/>
          <c:showBubbleSize val="0"/>
        </c:dLbls>
        <c:gapWidth val="219"/>
        <c:overlap val="-27"/>
        <c:axId val="948294607"/>
        <c:axId val="222324287"/>
      </c:barChart>
      <c:catAx>
        <c:axId val="948294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2324287"/>
        <c:crosses val="autoZero"/>
        <c:auto val="1"/>
        <c:lblAlgn val="ctr"/>
        <c:lblOffset val="100"/>
        <c:noMultiLvlLbl val="0"/>
      </c:catAx>
      <c:valAx>
        <c:axId val="222324287"/>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29460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[Marine Liability Project - Excel (2).xlsx]PivotWork!PivotTable14</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800" b="1">
                <a:solidFill>
                  <a:schemeClr val="tx1"/>
                </a:solidFill>
              </a:rPr>
              <a:t>Total Loss by Year</a:t>
            </a:r>
          </a:p>
        </c:rich>
      </c:tx>
      <c:layout>
        <c:manualLayout>
          <c:xMode val="edge"/>
          <c:yMode val="edge"/>
          <c:x val="0.30886545876571214"/>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1509896168944297E-2"/>
          <c:y val="0.25152696353152959"/>
          <c:w val="0.95698020766211145"/>
          <c:h val="0.61349264421911864"/>
        </c:manualLayout>
      </c:layout>
      <c:barChart>
        <c:barDir val="col"/>
        <c:grouping val="clustered"/>
        <c:varyColors val="0"/>
        <c:ser>
          <c:idx val="0"/>
          <c:order val="0"/>
          <c:tx>
            <c:strRef>
              <c:f>PivotWork!$B$2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PivotWork!$A$3:$A$8</c:f>
              <c:strCache>
                <c:ptCount val="6"/>
                <c:pt idx="0">
                  <c:v>2018</c:v>
                </c:pt>
                <c:pt idx="1">
                  <c:v>2019</c:v>
                </c:pt>
                <c:pt idx="2">
                  <c:v>2020</c:v>
                </c:pt>
                <c:pt idx="3">
                  <c:v>2021</c:v>
                </c:pt>
                <c:pt idx="4">
                  <c:v>2022</c:v>
                </c:pt>
                <c:pt idx="5">
                  <c:v>2023</c:v>
                </c:pt>
              </c:strCache>
            </c:strRef>
          </c:cat>
          <c:val>
            <c:numRef>
              <c:f>PivotWork!$B$3:$B$8</c:f>
              <c:numCache>
                <c:formatCode>_("$"* #,##0_);_("$"* \(#,##0\);_("$"* "-"??_);_(@_)</c:formatCode>
                <c:ptCount val="6"/>
                <c:pt idx="0">
                  <c:v>5338978.59</c:v>
                </c:pt>
                <c:pt idx="1">
                  <c:v>8990521.8699999992</c:v>
                </c:pt>
                <c:pt idx="2">
                  <c:v>10876207.710000001</c:v>
                </c:pt>
                <c:pt idx="3">
                  <c:v>11129343.550000003</c:v>
                </c:pt>
                <c:pt idx="4">
                  <c:v>14259556.129999999</c:v>
                </c:pt>
                <c:pt idx="5">
                  <c:v>7215626.96</c:v>
                </c:pt>
              </c:numCache>
            </c:numRef>
          </c:val>
          <c:extLst>
            <c:ext xmlns:c16="http://schemas.microsoft.com/office/drawing/2014/chart" uri="{C3380CC4-5D6E-409C-BE32-E72D297353CC}">
              <c16:uniqueId val="{00000000-AB2C-5247-99FB-FD8B8CFB0910}"/>
            </c:ext>
          </c:extLst>
        </c:ser>
        <c:dLbls>
          <c:dLblPos val="outEnd"/>
          <c:showLegendKey val="0"/>
          <c:showVal val="1"/>
          <c:showCatName val="0"/>
          <c:showSerName val="0"/>
          <c:showPercent val="0"/>
          <c:showBubbleSize val="0"/>
        </c:dLbls>
        <c:gapWidth val="219"/>
        <c:overlap val="-27"/>
        <c:axId val="948294607"/>
        <c:axId val="222324287"/>
      </c:barChart>
      <c:catAx>
        <c:axId val="948294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crossAx val="222324287"/>
        <c:crosses val="autoZero"/>
        <c:auto val="1"/>
        <c:lblAlgn val="ctr"/>
        <c:lblOffset val="100"/>
        <c:noMultiLvlLbl val="0"/>
      </c:catAx>
      <c:valAx>
        <c:axId val="222324287"/>
        <c:scaling>
          <c:orientation val="minMax"/>
        </c:scaling>
        <c:delete val="1"/>
        <c:axPos val="l"/>
        <c:majorGridlines>
          <c:spPr>
            <a:ln w="9525" cap="flat" cmpd="sng" algn="ctr">
              <a:noFill/>
              <a:round/>
            </a:ln>
            <a:effectLst/>
          </c:spPr>
        </c:majorGridlines>
        <c:numFmt formatCode="&quot;$&quot;#,##0" sourceLinked="0"/>
        <c:majorTickMark val="none"/>
        <c:minorTickMark val="none"/>
        <c:tickLblPos val="nextTo"/>
        <c:crossAx val="94829460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[Marine Liability Project - Excel (2).xlsx]PivotWork!PivotTable8</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800" b="1">
                <a:solidFill>
                  <a:schemeClr val="tx1"/>
                </a:solidFill>
              </a:rPr>
              <a:t>Total Claims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119512272461558E-2"/>
          <c:y val="0.36662742446015345"/>
          <c:w val="0.9576097545507688"/>
          <c:h val="0.38479498293783604"/>
        </c:manualLayout>
      </c:layout>
      <c:lineChart>
        <c:grouping val="standard"/>
        <c:varyColors val="0"/>
        <c:ser>
          <c:idx val="0"/>
          <c:order val="0"/>
          <c:tx>
            <c:strRef>
              <c:f>PivotWork!$B$30</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PivotWork!$A$31:$A$36</c:f>
              <c:strCache>
                <c:ptCount val="6"/>
                <c:pt idx="0">
                  <c:v>2018</c:v>
                </c:pt>
                <c:pt idx="1">
                  <c:v>2019</c:v>
                </c:pt>
                <c:pt idx="2">
                  <c:v>2020</c:v>
                </c:pt>
                <c:pt idx="3">
                  <c:v>2021</c:v>
                </c:pt>
                <c:pt idx="4">
                  <c:v>2022</c:v>
                </c:pt>
                <c:pt idx="5">
                  <c:v>2023</c:v>
                </c:pt>
              </c:strCache>
            </c:strRef>
          </c:cat>
          <c:val>
            <c:numRef>
              <c:f>PivotWork!$B$31:$B$36</c:f>
              <c:numCache>
                <c:formatCode>0</c:formatCode>
                <c:ptCount val="6"/>
                <c:pt idx="0">
                  <c:v>10</c:v>
                </c:pt>
                <c:pt idx="1">
                  <c:v>17</c:v>
                </c:pt>
                <c:pt idx="2">
                  <c:v>20</c:v>
                </c:pt>
                <c:pt idx="3">
                  <c:v>20</c:v>
                </c:pt>
                <c:pt idx="4">
                  <c:v>17</c:v>
                </c:pt>
                <c:pt idx="5">
                  <c:v>16</c:v>
                </c:pt>
              </c:numCache>
            </c:numRef>
          </c:val>
          <c:smooth val="0"/>
          <c:extLst>
            <c:ext xmlns:c16="http://schemas.microsoft.com/office/drawing/2014/chart" uri="{C3380CC4-5D6E-409C-BE32-E72D297353CC}">
              <c16:uniqueId val="{00000000-6D55-104D-8B3C-4111A1CB71EA}"/>
            </c:ext>
          </c:extLst>
        </c:ser>
        <c:dLbls>
          <c:dLblPos val="t"/>
          <c:showLegendKey val="0"/>
          <c:showVal val="1"/>
          <c:showCatName val="0"/>
          <c:showSerName val="0"/>
          <c:showPercent val="0"/>
          <c:showBubbleSize val="0"/>
        </c:dLbls>
        <c:marker val="1"/>
        <c:smooth val="0"/>
        <c:axId val="1618315696"/>
        <c:axId val="773360768"/>
      </c:lineChart>
      <c:catAx>
        <c:axId val="1618315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crossAx val="773360768"/>
        <c:crosses val="autoZero"/>
        <c:auto val="1"/>
        <c:lblAlgn val="ctr"/>
        <c:lblOffset val="100"/>
        <c:noMultiLvlLbl val="0"/>
      </c:catAx>
      <c:valAx>
        <c:axId val="773360768"/>
        <c:scaling>
          <c:orientation val="minMax"/>
        </c:scaling>
        <c:delete val="1"/>
        <c:axPos val="l"/>
        <c:majorGridlines>
          <c:spPr>
            <a:ln w="9525" cap="flat" cmpd="sng" algn="ctr">
              <a:noFill/>
              <a:round/>
            </a:ln>
            <a:effectLst/>
          </c:spPr>
        </c:majorGridlines>
        <c:numFmt formatCode="0" sourceLinked="1"/>
        <c:majorTickMark val="none"/>
        <c:minorTickMark val="none"/>
        <c:tickLblPos val="nextTo"/>
        <c:crossAx val="161831569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[Marine Liability Project - Excel (2).xlsx]PivotWork!PivotTable10</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800" b="1">
                <a:solidFill>
                  <a:schemeClr val="tx1"/>
                </a:solidFill>
              </a:rPr>
              <a:t>Loss Share by Claim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hade val="53000"/>
            </a:schemeClr>
          </a:solidFill>
          <a:ln w="19050">
            <a:solidFill>
              <a:schemeClr val="lt1"/>
            </a:solidFill>
          </a:ln>
          <a:effectLst/>
        </c:spPr>
      </c:pivotFmt>
      <c:pivotFmt>
        <c:idx val="2"/>
        <c:spPr>
          <a:solidFill>
            <a:schemeClr val="accent1">
              <a:shade val="76000"/>
            </a:schemeClr>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tint val="77000"/>
            </a:schemeClr>
          </a:solidFill>
          <a:ln w="19050">
            <a:solidFill>
              <a:schemeClr val="lt1"/>
            </a:solidFill>
          </a:ln>
          <a:effectLst/>
        </c:spPr>
      </c:pivotFmt>
      <c:pivotFmt>
        <c:idx val="5"/>
        <c:spPr>
          <a:solidFill>
            <a:schemeClr val="accent1">
              <a:tint val="54000"/>
            </a:schemeClr>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hade val="53000"/>
            </a:schemeClr>
          </a:solidFill>
          <a:ln w="19050">
            <a:solidFill>
              <a:schemeClr val="lt1"/>
            </a:solidFill>
          </a:ln>
          <a:effectLst/>
        </c:spPr>
      </c:pivotFmt>
      <c:pivotFmt>
        <c:idx val="8"/>
        <c:spPr>
          <a:solidFill>
            <a:schemeClr val="accent1">
              <a:shade val="76000"/>
            </a:schemeClr>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tint val="77000"/>
            </a:schemeClr>
          </a:solidFill>
          <a:ln w="19050">
            <a:solidFill>
              <a:schemeClr val="lt1"/>
            </a:solidFill>
          </a:ln>
          <a:effectLst/>
        </c:spPr>
      </c:pivotFmt>
      <c:pivotFmt>
        <c:idx val="11"/>
        <c:spPr>
          <a:solidFill>
            <a:schemeClr val="accent1">
              <a:tint val="54000"/>
            </a:schemeClr>
          </a:solidFill>
          <a:ln w="19050">
            <a:solidFill>
              <a:schemeClr val="lt1"/>
            </a:solidFill>
          </a:ln>
          <a:effectLst/>
        </c:spPr>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cap="none" spc="50" baseline="0">
                  <a:ln w="9525" cmpd="sng">
                    <a:noFill/>
                    <a:prstDash val="solid"/>
                  </a:ln>
                  <a:solidFill>
                    <a:schemeClr val="bg1"/>
                  </a:solidFill>
                  <a:effectLst>
                    <a:glow rad="63500">
                      <a:schemeClr val="accent1">
                        <a:satMod val="175000"/>
                        <a:alpha val="40000"/>
                      </a:schemeClr>
                    </a:glow>
                  </a:effectLst>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accent1">
              <a:shade val="53000"/>
            </a:schemeClr>
          </a:solidFill>
          <a:ln w="19050">
            <a:solidFill>
              <a:schemeClr val="lt1"/>
            </a:solidFill>
          </a:ln>
          <a:effectLst/>
        </c:spPr>
      </c:pivotFmt>
      <c:pivotFmt>
        <c:idx val="14"/>
        <c:spPr>
          <a:solidFill>
            <a:schemeClr val="accent1">
              <a:shade val="76000"/>
            </a:schemeClr>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tint val="77000"/>
            </a:schemeClr>
          </a:solidFill>
          <a:ln w="19050">
            <a:solidFill>
              <a:schemeClr val="lt1"/>
            </a:solidFill>
          </a:ln>
          <a:effectLst/>
        </c:spPr>
      </c:pivotFmt>
      <c:pivotFmt>
        <c:idx val="17"/>
        <c:spPr>
          <a:solidFill>
            <a:schemeClr val="accent1">
              <a:tint val="54000"/>
            </a:schemeClr>
          </a:solidFill>
          <a:ln w="19050">
            <a:solidFill>
              <a:schemeClr val="lt1"/>
            </a:solidFill>
          </a:ln>
          <a:effectLst/>
        </c:spPr>
      </c:pivotFmt>
    </c:pivotFmts>
    <c:plotArea>
      <c:layout/>
      <c:pieChart>
        <c:varyColors val="1"/>
        <c:ser>
          <c:idx val="0"/>
          <c:order val="0"/>
          <c:tx>
            <c:strRef>
              <c:f>PivotWork!$B$44</c:f>
              <c:strCache>
                <c:ptCount val="1"/>
                <c:pt idx="0">
                  <c:v>Total</c:v>
                </c:pt>
              </c:strCache>
            </c:strRef>
          </c:tx>
          <c:dPt>
            <c:idx val="0"/>
            <c:bubble3D val="0"/>
            <c:spPr>
              <a:solidFill>
                <a:schemeClr val="accent1">
                  <a:shade val="53000"/>
                </a:schemeClr>
              </a:solidFill>
              <a:ln w="19050">
                <a:solidFill>
                  <a:schemeClr val="lt1"/>
                </a:solidFill>
              </a:ln>
              <a:effectLst/>
            </c:spPr>
            <c:extLst>
              <c:ext xmlns:c16="http://schemas.microsoft.com/office/drawing/2014/chart" uri="{C3380CC4-5D6E-409C-BE32-E72D297353CC}">
                <c16:uniqueId val="{00000001-6565-DD47-AC46-8462835E6445}"/>
              </c:ext>
            </c:extLst>
          </c:dPt>
          <c:dPt>
            <c:idx val="1"/>
            <c:bubble3D val="0"/>
            <c:spPr>
              <a:solidFill>
                <a:schemeClr val="accent1">
                  <a:shade val="76000"/>
                </a:schemeClr>
              </a:solidFill>
              <a:ln w="19050">
                <a:solidFill>
                  <a:schemeClr val="lt1"/>
                </a:solidFill>
              </a:ln>
              <a:effectLst/>
            </c:spPr>
            <c:extLst>
              <c:ext xmlns:c16="http://schemas.microsoft.com/office/drawing/2014/chart" uri="{C3380CC4-5D6E-409C-BE32-E72D297353CC}">
                <c16:uniqueId val="{00000003-6565-DD47-AC46-8462835E6445}"/>
              </c:ext>
            </c:extLst>
          </c:dPt>
          <c:dPt>
            <c:idx val="2"/>
            <c:bubble3D val="0"/>
            <c:spPr>
              <a:solidFill>
                <a:schemeClr val="accent1"/>
              </a:solidFill>
              <a:ln w="19050">
                <a:solidFill>
                  <a:schemeClr val="lt1"/>
                </a:solidFill>
              </a:ln>
              <a:effectLst/>
            </c:spPr>
            <c:extLst>
              <c:ext xmlns:c16="http://schemas.microsoft.com/office/drawing/2014/chart" uri="{C3380CC4-5D6E-409C-BE32-E72D297353CC}">
                <c16:uniqueId val="{00000005-6565-DD47-AC46-8462835E6445}"/>
              </c:ext>
            </c:extLst>
          </c:dPt>
          <c:dPt>
            <c:idx val="3"/>
            <c:bubble3D val="0"/>
            <c:spPr>
              <a:solidFill>
                <a:schemeClr val="accent1">
                  <a:tint val="77000"/>
                </a:schemeClr>
              </a:solidFill>
              <a:ln w="19050">
                <a:solidFill>
                  <a:schemeClr val="lt1"/>
                </a:solidFill>
              </a:ln>
              <a:effectLst/>
            </c:spPr>
            <c:extLst>
              <c:ext xmlns:c16="http://schemas.microsoft.com/office/drawing/2014/chart" uri="{C3380CC4-5D6E-409C-BE32-E72D297353CC}">
                <c16:uniqueId val="{00000007-6565-DD47-AC46-8462835E6445}"/>
              </c:ext>
            </c:extLst>
          </c:dPt>
          <c:dPt>
            <c:idx val="4"/>
            <c:bubble3D val="0"/>
            <c:spPr>
              <a:solidFill>
                <a:schemeClr val="accent1">
                  <a:tint val="54000"/>
                </a:schemeClr>
              </a:solidFill>
              <a:ln w="19050">
                <a:solidFill>
                  <a:schemeClr val="lt1"/>
                </a:solidFill>
              </a:ln>
              <a:effectLst/>
            </c:spPr>
            <c:extLst>
              <c:ext xmlns:c16="http://schemas.microsoft.com/office/drawing/2014/chart" uri="{C3380CC4-5D6E-409C-BE32-E72D297353CC}">
                <c16:uniqueId val="{00000009-6565-DD47-AC46-8462835E6445}"/>
              </c:ext>
            </c:extLst>
          </c:dPt>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cap="none" spc="50" baseline="0">
                    <a:ln w="9525" cmpd="sng">
                      <a:noFill/>
                      <a:prstDash val="solid"/>
                    </a:ln>
                    <a:solidFill>
                      <a:schemeClr val="bg1"/>
                    </a:solidFill>
                    <a:effectLst>
                      <a:glow rad="63500">
                        <a:schemeClr val="accent1">
                          <a:satMod val="175000"/>
                          <a:alpha val="40000"/>
                        </a:schemeClr>
                      </a:glow>
                    </a:effectLst>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PivotWork!$A$45:$A$49</c:f>
              <c:strCache>
                <c:ptCount val="5"/>
                <c:pt idx="0">
                  <c:v>Cargo Liability</c:v>
                </c:pt>
                <c:pt idx="1">
                  <c:v>Collision Liability</c:v>
                </c:pt>
                <c:pt idx="2">
                  <c:v>Damage to Other Vessels</c:v>
                </c:pt>
                <c:pt idx="3">
                  <c:v>Environmental Pollution</c:v>
                </c:pt>
                <c:pt idx="4">
                  <c:v>Injury to Third Parties</c:v>
                </c:pt>
              </c:strCache>
            </c:strRef>
          </c:cat>
          <c:val>
            <c:numRef>
              <c:f>PivotWork!$B$45:$B$49</c:f>
              <c:numCache>
                <c:formatCode>_("$"* #,##0_);_("$"* \(#,##0\);_("$"* "-"??_);_(@_)</c:formatCode>
                <c:ptCount val="5"/>
                <c:pt idx="0">
                  <c:v>573839.54</c:v>
                </c:pt>
                <c:pt idx="1">
                  <c:v>2815949.09</c:v>
                </c:pt>
                <c:pt idx="2">
                  <c:v>2106119.61</c:v>
                </c:pt>
                <c:pt idx="3">
                  <c:v>2782191.51</c:v>
                </c:pt>
                <c:pt idx="4">
                  <c:v>712422.12</c:v>
                </c:pt>
              </c:numCache>
            </c:numRef>
          </c:val>
          <c:extLst>
            <c:ext xmlns:c16="http://schemas.microsoft.com/office/drawing/2014/chart" uri="{C3380CC4-5D6E-409C-BE32-E72D297353CC}">
              <c16:uniqueId val="{0000000A-6565-DD47-AC46-8462835E6445}"/>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53764707556451807"/>
          <c:y val="0.36651020926419675"/>
          <c:w val="0.42862738959676699"/>
          <c:h val="0.41444783228513821"/>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[Marine Liability Project - Excel (2).xlsx]PivotWork!PivotTable11</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800" b="1">
                <a:solidFill>
                  <a:schemeClr val="tx1"/>
                </a:solidFill>
              </a:rPr>
              <a:t>Loss Share by Location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hade val="53000"/>
            </a:schemeClr>
          </a:solidFill>
          <a:ln w="19050">
            <a:solidFill>
              <a:schemeClr val="lt1"/>
            </a:solidFill>
          </a:ln>
          <a:effectLst/>
        </c:spPr>
      </c:pivotFmt>
      <c:pivotFmt>
        <c:idx val="2"/>
        <c:spPr>
          <a:solidFill>
            <a:schemeClr val="accent1">
              <a:shade val="76000"/>
            </a:schemeClr>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tint val="77000"/>
            </a:schemeClr>
          </a:solidFill>
          <a:ln w="19050">
            <a:solidFill>
              <a:schemeClr val="lt1"/>
            </a:solidFill>
          </a:ln>
          <a:effectLst/>
        </c:spPr>
      </c:pivotFmt>
      <c:pivotFmt>
        <c:idx val="5"/>
        <c:spPr>
          <a:solidFill>
            <a:schemeClr val="accent1">
              <a:tint val="54000"/>
            </a:schemeClr>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hade val="53000"/>
            </a:schemeClr>
          </a:solidFill>
          <a:ln w="19050">
            <a:solidFill>
              <a:schemeClr val="lt1"/>
            </a:solidFill>
          </a:ln>
          <a:effectLst/>
        </c:spPr>
      </c:pivotFmt>
      <c:pivotFmt>
        <c:idx val="8"/>
        <c:spPr>
          <a:solidFill>
            <a:schemeClr val="accent1">
              <a:shade val="76000"/>
            </a:schemeClr>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tint val="77000"/>
            </a:schemeClr>
          </a:solidFill>
          <a:ln w="19050">
            <a:solidFill>
              <a:schemeClr val="lt1"/>
            </a:solidFill>
          </a:ln>
          <a:effectLst/>
        </c:spPr>
      </c:pivotFmt>
      <c:pivotFmt>
        <c:idx val="11"/>
        <c:spPr>
          <a:solidFill>
            <a:schemeClr val="accent1">
              <a:tint val="54000"/>
            </a:schemeClr>
          </a:solidFill>
          <a:ln w="19050">
            <a:solidFill>
              <a:schemeClr val="lt1"/>
            </a:solidFill>
          </a:ln>
          <a:effectLst/>
        </c:spPr>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effectLst>
                    <a:glow rad="63500">
                      <a:schemeClr val="accent1">
                        <a:satMod val="175000"/>
                        <a:alpha val="40000"/>
                      </a:schemeClr>
                    </a:glow>
                  </a:effectLst>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accent1">
              <a:shade val="53000"/>
            </a:schemeClr>
          </a:solidFill>
          <a:ln w="19050">
            <a:solidFill>
              <a:schemeClr val="lt1"/>
            </a:solidFill>
          </a:ln>
          <a:effectLst/>
        </c:spPr>
      </c:pivotFmt>
      <c:pivotFmt>
        <c:idx val="14"/>
        <c:spPr>
          <a:solidFill>
            <a:schemeClr val="accent1">
              <a:shade val="76000"/>
            </a:schemeClr>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tint val="77000"/>
            </a:schemeClr>
          </a:solidFill>
          <a:ln w="19050">
            <a:solidFill>
              <a:schemeClr val="lt1"/>
            </a:solidFill>
          </a:ln>
          <a:effectLst/>
        </c:spPr>
      </c:pivotFmt>
      <c:pivotFmt>
        <c:idx val="17"/>
        <c:spPr>
          <a:solidFill>
            <a:schemeClr val="accent1">
              <a:tint val="54000"/>
            </a:schemeClr>
          </a:solidFill>
          <a:ln w="19050">
            <a:solidFill>
              <a:schemeClr val="lt1"/>
            </a:solidFill>
          </a:ln>
          <a:effectLst/>
        </c:spPr>
      </c:pivotFmt>
    </c:pivotFmts>
    <c:plotArea>
      <c:layout>
        <c:manualLayout>
          <c:layoutTarget val="inner"/>
          <c:xMode val="edge"/>
          <c:yMode val="edge"/>
          <c:x val="0.37802768605537207"/>
          <c:y val="0.15431745689323084"/>
          <c:w val="0.4648243767916107"/>
          <c:h val="0.78956469482410585"/>
        </c:manualLayout>
      </c:layout>
      <c:doughnutChart>
        <c:varyColors val="1"/>
        <c:ser>
          <c:idx val="0"/>
          <c:order val="0"/>
          <c:tx>
            <c:strRef>
              <c:f>PivotWork!$B$60</c:f>
              <c:strCache>
                <c:ptCount val="1"/>
                <c:pt idx="0">
                  <c:v>Total</c:v>
                </c:pt>
              </c:strCache>
            </c:strRef>
          </c:tx>
          <c:explosion val="1"/>
          <c:dPt>
            <c:idx val="0"/>
            <c:bubble3D val="0"/>
            <c:spPr>
              <a:solidFill>
                <a:schemeClr val="accent1">
                  <a:shade val="53000"/>
                </a:schemeClr>
              </a:solidFill>
              <a:ln w="19050">
                <a:solidFill>
                  <a:schemeClr val="lt1"/>
                </a:solidFill>
              </a:ln>
              <a:effectLst/>
            </c:spPr>
            <c:extLst>
              <c:ext xmlns:c16="http://schemas.microsoft.com/office/drawing/2014/chart" uri="{C3380CC4-5D6E-409C-BE32-E72D297353CC}">
                <c16:uniqueId val="{00000001-1C34-CA4F-9538-6C8B0544C35E}"/>
              </c:ext>
            </c:extLst>
          </c:dPt>
          <c:dPt>
            <c:idx val="1"/>
            <c:bubble3D val="0"/>
            <c:spPr>
              <a:solidFill>
                <a:schemeClr val="accent1">
                  <a:shade val="76000"/>
                </a:schemeClr>
              </a:solidFill>
              <a:ln w="19050">
                <a:solidFill>
                  <a:schemeClr val="lt1"/>
                </a:solidFill>
              </a:ln>
              <a:effectLst/>
            </c:spPr>
            <c:extLst>
              <c:ext xmlns:c16="http://schemas.microsoft.com/office/drawing/2014/chart" uri="{C3380CC4-5D6E-409C-BE32-E72D297353CC}">
                <c16:uniqueId val="{00000003-1C34-CA4F-9538-6C8B0544C35E}"/>
              </c:ext>
            </c:extLst>
          </c:dPt>
          <c:dPt>
            <c:idx val="2"/>
            <c:bubble3D val="0"/>
            <c:spPr>
              <a:solidFill>
                <a:schemeClr val="accent1"/>
              </a:solidFill>
              <a:ln w="19050">
                <a:solidFill>
                  <a:schemeClr val="lt1"/>
                </a:solidFill>
              </a:ln>
              <a:effectLst/>
            </c:spPr>
            <c:extLst>
              <c:ext xmlns:c16="http://schemas.microsoft.com/office/drawing/2014/chart" uri="{C3380CC4-5D6E-409C-BE32-E72D297353CC}">
                <c16:uniqueId val="{00000005-1C34-CA4F-9538-6C8B0544C35E}"/>
              </c:ext>
            </c:extLst>
          </c:dPt>
          <c:dPt>
            <c:idx val="3"/>
            <c:bubble3D val="0"/>
            <c:spPr>
              <a:solidFill>
                <a:schemeClr val="accent1">
                  <a:tint val="77000"/>
                </a:schemeClr>
              </a:solidFill>
              <a:ln w="19050">
                <a:solidFill>
                  <a:schemeClr val="lt1"/>
                </a:solidFill>
              </a:ln>
              <a:effectLst/>
            </c:spPr>
            <c:extLst>
              <c:ext xmlns:c16="http://schemas.microsoft.com/office/drawing/2014/chart" uri="{C3380CC4-5D6E-409C-BE32-E72D297353CC}">
                <c16:uniqueId val="{00000007-1C34-CA4F-9538-6C8B0544C35E}"/>
              </c:ext>
            </c:extLst>
          </c:dPt>
          <c:dPt>
            <c:idx val="4"/>
            <c:bubble3D val="0"/>
            <c:spPr>
              <a:solidFill>
                <a:schemeClr val="accent1">
                  <a:tint val="54000"/>
                </a:schemeClr>
              </a:solidFill>
              <a:ln w="19050">
                <a:solidFill>
                  <a:schemeClr val="lt1"/>
                </a:solidFill>
              </a:ln>
              <a:effectLst/>
            </c:spPr>
            <c:extLst>
              <c:ext xmlns:c16="http://schemas.microsoft.com/office/drawing/2014/chart" uri="{C3380CC4-5D6E-409C-BE32-E72D297353CC}">
                <c16:uniqueId val="{00000009-1C34-CA4F-9538-6C8B0544C35E}"/>
              </c:ext>
            </c:extLst>
          </c:dPt>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effectLst>
                      <a:glow rad="63500">
                        <a:schemeClr val="accent1">
                          <a:satMod val="175000"/>
                          <a:alpha val="40000"/>
                        </a:schemeClr>
                      </a:glow>
                    </a:effectLst>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PivotWork!$A$61:$A$65</c:f>
              <c:strCache>
                <c:ptCount val="5"/>
                <c:pt idx="0">
                  <c:v>Atlantic Ocean</c:v>
                </c:pt>
                <c:pt idx="1">
                  <c:v>Indian Ocean</c:v>
                </c:pt>
                <c:pt idx="2">
                  <c:v>Mediterranean Sea</c:v>
                </c:pt>
                <c:pt idx="3">
                  <c:v>North Sea</c:v>
                </c:pt>
                <c:pt idx="4">
                  <c:v>Pacific Ocean</c:v>
                </c:pt>
              </c:strCache>
            </c:strRef>
          </c:cat>
          <c:val>
            <c:numRef>
              <c:f>PivotWork!$B$61:$B$65</c:f>
              <c:numCache>
                <c:formatCode>_("$"* #,##0_);_("$"* \(#,##0\);_("$"* "-"??_);_(@_)</c:formatCode>
                <c:ptCount val="5"/>
                <c:pt idx="0">
                  <c:v>2665361.73</c:v>
                </c:pt>
                <c:pt idx="1">
                  <c:v>2339443.5</c:v>
                </c:pt>
                <c:pt idx="2">
                  <c:v>1212688.83</c:v>
                </c:pt>
                <c:pt idx="3">
                  <c:v>1425561.1</c:v>
                </c:pt>
                <c:pt idx="4">
                  <c:v>1347466.71</c:v>
                </c:pt>
              </c:numCache>
            </c:numRef>
          </c:val>
          <c:extLst>
            <c:ext xmlns:c16="http://schemas.microsoft.com/office/drawing/2014/chart" uri="{C3380CC4-5D6E-409C-BE32-E72D297353CC}">
              <c16:uniqueId val="{0000000A-1C34-CA4F-9538-6C8B0544C35E}"/>
            </c:ext>
          </c:extLst>
        </c:ser>
        <c:dLbls>
          <c:showLegendKey val="0"/>
          <c:showVal val="0"/>
          <c:showCatName val="0"/>
          <c:showSerName val="0"/>
          <c:showPercent val="0"/>
          <c:showBubbleSize val="0"/>
          <c:showLeaderLines val="1"/>
        </c:dLbls>
        <c:firstSliceAng val="0"/>
        <c:holeSize val="53"/>
      </c:doughnutChart>
      <c:spPr>
        <a:noFill/>
        <a:ln>
          <a:noFill/>
        </a:ln>
        <a:effectLst/>
      </c:spPr>
    </c:plotArea>
    <c:legend>
      <c:legendPos val="l"/>
      <c:layout>
        <c:manualLayout>
          <c:xMode val="edge"/>
          <c:yMode val="edge"/>
          <c:x val="4.7378672541278595E-2"/>
          <c:y val="0.39880518359862543"/>
          <c:w val="0.29538268589002553"/>
          <c:h val="0.35021807218335627"/>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[Marine Liability Project - Excel (2).xlsx]PivotWork!PivotTable7</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800" b="1">
                <a:solidFill>
                  <a:schemeClr val="tx1"/>
                </a:solidFill>
              </a:rPr>
              <a:t>Avg Severity by Claim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0">
            <a:solidFill>
              <a:schemeClr val="accent1">
                <a:shade val="1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PivotWork!$B$15</c:f>
              <c:strCache>
                <c:ptCount val="1"/>
                <c:pt idx="0">
                  <c:v>Total</c:v>
                </c:pt>
              </c:strCache>
            </c:strRef>
          </c:tx>
          <c:spPr>
            <a:solidFill>
              <a:schemeClr val="accent1"/>
            </a:solidFill>
            <a:ln w="0">
              <a:solidFill>
                <a:schemeClr val="accent1">
                  <a:shade val="15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PivotWork!$A$16:$A$20</c:f>
              <c:strCache>
                <c:ptCount val="5"/>
                <c:pt idx="0">
                  <c:v>Cargo Liability</c:v>
                </c:pt>
                <c:pt idx="1">
                  <c:v>Collision Liability</c:v>
                </c:pt>
                <c:pt idx="2">
                  <c:v>Damage to Other Vessels</c:v>
                </c:pt>
                <c:pt idx="3">
                  <c:v>Environmental Pollution</c:v>
                </c:pt>
                <c:pt idx="4">
                  <c:v>Injury to Third Parties</c:v>
                </c:pt>
              </c:strCache>
            </c:strRef>
          </c:cat>
          <c:val>
            <c:numRef>
              <c:f>PivotWork!$B$16:$B$20</c:f>
              <c:numCache>
                <c:formatCode>_("$"* #,##0_);_("$"* \(#,##0\);_("$"* "-"??_);_(@_)</c:formatCode>
                <c:ptCount val="5"/>
                <c:pt idx="0">
                  <c:v>573839.54</c:v>
                </c:pt>
                <c:pt idx="1">
                  <c:v>469324.84833333333</c:v>
                </c:pt>
                <c:pt idx="2">
                  <c:v>702039.87</c:v>
                </c:pt>
                <c:pt idx="3">
                  <c:v>556438.30199999991</c:v>
                </c:pt>
                <c:pt idx="4">
                  <c:v>356211.06</c:v>
                </c:pt>
              </c:numCache>
            </c:numRef>
          </c:val>
          <c:extLst>
            <c:ext xmlns:c16="http://schemas.microsoft.com/office/drawing/2014/chart" uri="{C3380CC4-5D6E-409C-BE32-E72D297353CC}">
              <c16:uniqueId val="{00000000-6A59-4445-B976-266F84EAAD53}"/>
            </c:ext>
          </c:extLst>
        </c:ser>
        <c:dLbls>
          <c:dLblPos val="ctr"/>
          <c:showLegendKey val="0"/>
          <c:showVal val="1"/>
          <c:showCatName val="0"/>
          <c:showSerName val="0"/>
          <c:showPercent val="0"/>
          <c:showBubbleSize val="0"/>
        </c:dLbls>
        <c:gapWidth val="100"/>
        <c:axId val="1618558784"/>
        <c:axId val="1618543968"/>
      </c:barChart>
      <c:catAx>
        <c:axId val="16185587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crossAx val="1618543968"/>
        <c:crossesAt val="0"/>
        <c:auto val="1"/>
        <c:lblAlgn val="ctr"/>
        <c:lblOffset val="100"/>
        <c:noMultiLvlLbl val="0"/>
      </c:catAx>
      <c:valAx>
        <c:axId val="1618543968"/>
        <c:scaling>
          <c:orientation val="minMax"/>
        </c:scaling>
        <c:delete val="1"/>
        <c:axPos val="b"/>
        <c:majorGridlines>
          <c:spPr>
            <a:ln w="9525" cap="flat" cmpd="sng" algn="ctr">
              <a:noFill/>
              <a:round/>
            </a:ln>
            <a:effectLst/>
          </c:spPr>
        </c:majorGridlines>
        <c:numFmt formatCode="&quot;$&quot;#,##0" sourceLinked="0"/>
        <c:majorTickMark val="none"/>
        <c:minorTickMark val="none"/>
        <c:tickLblPos val="nextTo"/>
        <c:crossAx val="161855878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7">
  <a:schemeClr val="accent4"/>
</cs:colorStyle>
</file>

<file path=xl/charts/colors2.xml><?xml version="1.0" encoding="utf-8"?>
<cs:colorStyle xmlns:cs="http://schemas.microsoft.com/office/drawing/2012/chartStyle" xmlns:a="http://schemas.openxmlformats.org/drawingml/2006/main" meth="withinLinear" id="17">
  <a:schemeClr val="accent4"/>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4">
  <a:schemeClr val="accent1"/>
</cs:colorStyle>
</file>

<file path=xl/charts/colors6.xml><?xml version="1.0" encoding="utf-8"?>
<cs:colorStyle xmlns:cs="http://schemas.microsoft.com/office/drawing/2012/chartStyle" xmlns:a="http://schemas.openxmlformats.org/drawingml/2006/main" meth="withinLinear" id="14">
  <a:schemeClr val="accent1"/>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withinLinear" id="14">
  <a:schemeClr val="accent1"/>
</cs:colorStyle>
</file>

<file path=xl/charts/colors11.xml><?xml version="1.0" encoding="utf-8"?>
<cs:colorStyle xmlns:cs="http://schemas.microsoft.com/office/drawing/2012/chartStyle" xmlns:a="http://schemas.openxmlformats.org/drawingml/2006/main" meth="withinLinear" id="14">
  <a:schemeClr val="accent1"/>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5" Type="http://schemas.openxmlformats.org/officeDocument/2006/relationships/chart" Target="../charts/chart7.xml"/><Relationship Id="rId4" Type="http://schemas.openxmlformats.org/officeDocument/2006/relationships/chart" Target="../charts/chart6.xml"/></Relationships>
</file>

<file path=xl/drawings/_rels/drawing3.xml.rels><?xml version="1.0" encoding="UTF-8" standalone="yes"?>
<Relationships xmlns="http://schemas.openxmlformats.org/package/2006/relationships"><Relationship Id="rId8" Type="http://schemas.openxmlformats.org/officeDocument/2006/relationships/image" Target="../media/image3.svg"/><Relationship Id="rId3" Type="http://schemas.openxmlformats.org/officeDocument/2006/relationships/chart" Target="../charts/chart9.xml"/><Relationship Id="rId7" Type="http://schemas.openxmlformats.org/officeDocument/2006/relationships/image" Target="../media/image2.png"/><Relationship Id="rId2" Type="http://schemas.openxmlformats.org/officeDocument/2006/relationships/chart" Target="../charts/chart8.xml"/><Relationship Id="rId1" Type="http://schemas.openxmlformats.org/officeDocument/2006/relationships/image" Target="../media/image1.png"/><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10</xdr:col>
      <xdr:colOff>1480457</xdr:colOff>
      <xdr:row>39</xdr:row>
      <xdr:rowOff>176893</xdr:rowOff>
    </xdr:from>
    <xdr:to>
      <xdr:col>17</xdr:col>
      <xdr:colOff>1543957</xdr:colOff>
      <xdr:row>59</xdr:row>
      <xdr:rowOff>157843</xdr:rowOff>
    </xdr:to>
    <xdr:graphicFrame macro="">
      <xdr:nvGraphicFramePr>
        <xdr:cNvPr id="2" name="Chart 1">
          <a:extLst>
            <a:ext uri="{FF2B5EF4-FFF2-40B4-BE49-F238E27FC236}">
              <a16:creationId xmlns:a16="http://schemas.microsoft.com/office/drawing/2014/main" id="{F159FCC9-877D-41F2-AD46-C5F4206CA6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1561193</xdr:colOff>
      <xdr:row>61</xdr:row>
      <xdr:rowOff>178707</xdr:rowOff>
    </xdr:from>
    <xdr:to>
      <xdr:col>18</xdr:col>
      <xdr:colOff>150585</xdr:colOff>
      <xdr:row>83</xdr:row>
      <xdr:rowOff>172357</xdr:rowOff>
    </xdr:to>
    <xdr:graphicFrame macro="">
      <xdr:nvGraphicFramePr>
        <xdr:cNvPr id="3" name="Chart 2">
          <a:extLst>
            <a:ext uri="{FF2B5EF4-FFF2-40B4-BE49-F238E27FC236}">
              <a16:creationId xmlns:a16="http://schemas.microsoft.com/office/drawing/2014/main" id="{D186241B-5DBC-414F-A731-A387DE0EF3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304800</xdr:colOff>
      <xdr:row>14</xdr:row>
      <xdr:rowOff>6350</xdr:rowOff>
    </xdr:from>
    <xdr:to>
      <xdr:col>9</xdr:col>
      <xdr:colOff>609600</xdr:colOff>
      <xdr:row>28</xdr:row>
      <xdr:rowOff>0</xdr:rowOff>
    </xdr:to>
    <xdr:graphicFrame macro="">
      <xdr:nvGraphicFramePr>
        <xdr:cNvPr id="9" name="Chart 8">
          <a:extLst>
            <a:ext uri="{FF2B5EF4-FFF2-40B4-BE49-F238E27FC236}">
              <a16:creationId xmlns:a16="http://schemas.microsoft.com/office/drawing/2014/main" id="{31F1FB7E-4BB0-7FB8-D4AD-82E088D4F4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330200</xdr:colOff>
      <xdr:row>28</xdr:row>
      <xdr:rowOff>146050</xdr:rowOff>
    </xdr:from>
    <xdr:to>
      <xdr:col>6</xdr:col>
      <xdr:colOff>558800</xdr:colOff>
      <xdr:row>42</xdr:row>
      <xdr:rowOff>88900</xdr:rowOff>
    </xdr:to>
    <xdr:graphicFrame macro="">
      <xdr:nvGraphicFramePr>
        <xdr:cNvPr id="10" name="Chart 9">
          <a:extLst>
            <a:ext uri="{FF2B5EF4-FFF2-40B4-BE49-F238E27FC236}">
              <a16:creationId xmlns:a16="http://schemas.microsoft.com/office/drawing/2014/main" id="{13128A84-C0E5-C494-F006-0E4518309A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317500</xdr:colOff>
      <xdr:row>43</xdr:row>
      <xdr:rowOff>158750</xdr:rowOff>
    </xdr:from>
    <xdr:to>
      <xdr:col>7</xdr:col>
      <xdr:colOff>304800</xdr:colOff>
      <xdr:row>58</xdr:row>
      <xdr:rowOff>44450</xdr:rowOff>
    </xdr:to>
    <xdr:graphicFrame macro="">
      <xdr:nvGraphicFramePr>
        <xdr:cNvPr id="11" name="Chart 10">
          <a:extLst>
            <a:ext uri="{FF2B5EF4-FFF2-40B4-BE49-F238E27FC236}">
              <a16:creationId xmlns:a16="http://schemas.microsoft.com/office/drawing/2014/main" id="{C1FDEE0C-1822-4509-A3A7-631F65E765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292100</xdr:colOff>
      <xdr:row>59</xdr:row>
      <xdr:rowOff>25400</xdr:rowOff>
    </xdr:from>
    <xdr:to>
      <xdr:col>7</xdr:col>
      <xdr:colOff>292100</xdr:colOff>
      <xdr:row>76</xdr:row>
      <xdr:rowOff>63500</xdr:rowOff>
    </xdr:to>
    <xdr:graphicFrame macro="">
      <xdr:nvGraphicFramePr>
        <xdr:cNvPr id="12" name="Chart 11">
          <a:extLst>
            <a:ext uri="{FF2B5EF4-FFF2-40B4-BE49-F238E27FC236}">
              <a16:creationId xmlns:a16="http://schemas.microsoft.com/office/drawing/2014/main" id="{A2EC603D-5DDF-51E8-AA9A-CAF39647A3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10</xdr:col>
      <xdr:colOff>863600</xdr:colOff>
      <xdr:row>25</xdr:row>
      <xdr:rowOff>175260</xdr:rowOff>
    </xdr:from>
    <xdr:to>
      <xdr:col>12</xdr:col>
      <xdr:colOff>180340</xdr:colOff>
      <xdr:row>45</xdr:row>
      <xdr:rowOff>152400</xdr:rowOff>
    </xdr:to>
    <mc:AlternateContent xmlns:mc="http://schemas.openxmlformats.org/markup-compatibility/2006" xmlns:a14="http://schemas.microsoft.com/office/drawing/2010/main">
      <mc:Choice Requires="a14">
        <xdr:graphicFrame macro="">
          <xdr:nvGraphicFramePr>
            <xdr:cNvPr id="18" name="Year">
              <a:extLst>
                <a:ext uri="{FF2B5EF4-FFF2-40B4-BE49-F238E27FC236}">
                  <a16:creationId xmlns:a16="http://schemas.microsoft.com/office/drawing/2014/main" id="{6D4CA9E9-CC4E-011B-C90E-3DEC23A82F4D}"/>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2217400" y="4937760"/>
              <a:ext cx="1485900" cy="37871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3</xdr:col>
      <xdr:colOff>25400</xdr:colOff>
      <xdr:row>0</xdr:row>
      <xdr:rowOff>0</xdr:rowOff>
    </xdr:from>
    <xdr:to>
      <xdr:col>8</xdr:col>
      <xdr:colOff>292100</xdr:colOff>
      <xdr:row>14</xdr:row>
      <xdr:rowOff>76200</xdr:rowOff>
    </xdr:to>
    <xdr:graphicFrame macro="">
      <xdr:nvGraphicFramePr>
        <xdr:cNvPr id="2" name="Chart 1">
          <a:extLst>
            <a:ext uri="{FF2B5EF4-FFF2-40B4-BE49-F238E27FC236}">
              <a16:creationId xmlns:a16="http://schemas.microsoft.com/office/drawing/2014/main" id="{A6556D28-BE6D-A0F8-D04A-84FF24AD8B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80380</xdr:colOff>
      <xdr:row>0</xdr:row>
      <xdr:rowOff>80380</xdr:rowOff>
    </xdr:from>
    <xdr:to>
      <xdr:col>21</xdr:col>
      <xdr:colOff>779203</xdr:colOff>
      <xdr:row>40</xdr:row>
      <xdr:rowOff>144683</xdr:rowOff>
    </xdr:to>
    <xdr:grpSp>
      <xdr:nvGrpSpPr>
        <xdr:cNvPr id="49" name="Group 48">
          <a:extLst>
            <a:ext uri="{FF2B5EF4-FFF2-40B4-BE49-F238E27FC236}">
              <a16:creationId xmlns:a16="http://schemas.microsoft.com/office/drawing/2014/main" id="{5BC8CAB4-52F5-CD52-F41A-C6F5CAE0F275}"/>
            </a:ext>
          </a:extLst>
        </xdr:cNvPr>
        <xdr:cNvGrpSpPr/>
      </xdr:nvGrpSpPr>
      <xdr:grpSpPr>
        <a:xfrm>
          <a:off x="80380" y="80380"/>
          <a:ext cx="18072423" cy="7902017"/>
          <a:chOff x="88898" y="50800"/>
          <a:chExt cx="17916165" cy="7796835"/>
        </a:xfrm>
      </xdr:grpSpPr>
      <xdr:sp macro="" textlink="">
        <xdr:nvSpPr>
          <xdr:cNvPr id="2" name="Rectangle: Rounded Corners 1">
            <a:extLst>
              <a:ext uri="{FF2B5EF4-FFF2-40B4-BE49-F238E27FC236}">
                <a16:creationId xmlns:a16="http://schemas.microsoft.com/office/drawing/2014/main" id="{05D1735A-1E57-D141-BFD8-0DDA69683248}"/>
              </a:ext>
            </a:extLst>
          </xdr:cNvPr>
          <xdr:cNvSpPr/>
        </xdr:nvSpPr>
        <xdr:spPr>
          <a:xfrm>
            <a:off x="88898" y="50800"/>
            <a:ext cx="17916165" cy="694944"/>
          </a:xfrm>
          <a:prstGeom prst="roundRect">
            <a:avLst>
              <a:gd name="adj" fmla="val 16359"/>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cap="none" spc="0">
              <a:ln w="12700">
                <a:solidFill>
                  <a:schemeClr val="tx2">
                    <a:lumMod val="75000"/>
                  </a:schemeClr>
                </a:solidFill>
                <a:prstDash val="solid"/>
              </a:ln>
              <a:pattFill prst="dkUpDiag">
                <a:fgClr>
                  <a:schemeClr val="tx2"/>
                </a:fgClr>
                <a:bgClr>
                  <a:schemeClr val="tx2">
                    <a:lumMod val="20000"/>
                    <a:lumOff val="80000"/>
                  </a:schemeClr>
                </a:bgClr>
              </a:pattFill>
              <a:effectLst>
                <a:outerShdw dist="38100" dir="2640000" algn="bl" rotWithShape="0">
                  <a:schemeClr val="tx2">
                    <a:lumMod val="75000"/>
                  </a:schemeClr>
                </a:outerShdw>
              </a:effectLst>
            </a:endParaRPr>
          </a:p>
        </xdr:txBody>
      </xdr:sp>
      <xdr:sp macro="" textlink="">
        <xdr:nvSpPr>
          <xdr:cNvPr id="4" name="Rectangle: Rounded Corners 1">
            <a:extLst>
              <a:ext uri="{FF2B5EF4-FFF2-40B4-BE49-F238E27FC236}">
                <a16:creationId xmlns:a16="http://schemas.microsoft.com/office/drawing/2014/main" id="{67F47A5A-1855-DD42-9824-5E896EA3648E}"/>
              </a:ext>
            </a:extLst>
          </xdr:cNvPr>
          <xdr:cNvSpPr/>
        </xdr:nvSpPr>
        <xdr:spPr>
          <a:xfrm>
            <a:off x="104975" y="800422"/>
            <a:ext cx="2331720" cy="1439279"/>
          </a:xfrm>
          <a:prstGeom prst="roundRect">
            <a:avLst>
              <a:gd name="adj" fmla="val 8848"/>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cap="none" spc="0">
              <a:ln w="12700">
                <a:solidFill>
                  <a:schemeClr val="tx2">
                    <a:lumMod val="75000"/>
                  </a:schemeClr>
                </a:solidFill>
                <a:prstDash val="solid"/>
              </a:ln>
              <a:pattFill prst="dkUpDiag">
                <a:fgClr>
                  <a:schemeClr val="tx2"/>
                </a:fgClr>
                <a:bgClr>
                  <a:schemeClr val="tx2">
                    <a:lumMod val="20000"/>
                    <a:lumOff val="80000"/>
                  </a:schemeClr>
                </a:bgClr>
              </a:pattFill>
              <a:effectLst>
                <a:outerShdw dist="38100" dir="2640000" algn="bl" rotWithShape="0">
                  <a:schemeClr val="tx2">
                    <a:lumMod val="75000"/>
                  </a:schemeClr>
                </a:outerShdw>
              </a:effectLst>
            </a:endParaRPr>
          </a:p>
        </xdr:txBody>
      </xdr:sp>
      <xdr:sp macro="" textlink="">
        <xdr:nvSpPr>
          <xdr:cNvPr id="6" name="Rectangle: Rounded Corners 1">
            <a:extLst>
              <a:ext uri="{FF2B5EF4-FFF2-40B4-BE49-F238E27FC236}">
                <a16:creationId xmlns:a16="http://schemas.microsoft.com/office/drawing/2014/main" id="{AC9B4780-58A8-7640-92CB-81F788C694A9}"/>
              </a:ext>
            </a:extLst>
          </xdr:cNvPr>
          <xdr:cNvSpPr/>
        </xdr:nvSpPr>
        <xdr:spPr>
          <a:xfrm>
            <a:off x="1708872" y="2282968"/>
            <a:ext cx="6980659" cy="3217580"/>
          </a:xfrm>
          <a:prstGeom prst="roundRect">
            <a:avLst>
              <a:gd name="adj" fmla="val 3730"/>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cap="none" spc="0">
              <a:ln w="12700">
                <a:solidFill>
                  <a:schemeClr val="tx2">
                    <a:lumMod val="75000"/>
                  </a:schemeClr>
                </a:solidFill>
                <a:prstDash val="solid"/>
              </a:ln>
              <a:pattFill prst="dkUpDiag">
                <a:fgClr>
                  <a:schemeClr val="tx2"/>
                </a:fgClr>
                <a:bgClr>
                  <a:schemeClr val="tx2">
                    <a:lumMod val="20000"/>
                    <a:lumOff val="80000"/>
                  </a:schemeClr>
                </a:bgClr>
              </a:pattFill>
              <a:effectLst>
                <a:outerShdw dist="38100" dir="2640000" algn="bl" rotWithShape="0">
                  <a:schemeClr val="tx2">
                    <a:lumMod val="75000"/>
                  </a:schemeClr>
                </a:outerShdw>
              </a:effectLst>
            </a:endParaRPr>
          </a:p>
        </xdr:txBody>
      </xdr:sp>
      <xdr:sp macro="" textlink="">
        <xdr:nvSpPr>
          <xdr:cNvPr id="15" name="Rectangle: Rounded Corners 1">
            <a:extLst>
              <a:ext uri="{FF2B5EF4-FFF2-40B4-BE49-F238E27FC236}">
                <a16:creationId xmlns:a16="http://schemas.microsoft.com/office/drawing/2014/main" id="{98FFCD3F-6125-D94F-8310-E825139F469F}"/>
              </a:ext>
            </a:extLst>
          </xdr:cNvPr>
          <xdr:cNvSpPr/>
        </xdr:nvSpPr>
        <xdr:spPr>
          <a:xfrm>
            <a:off x="2475696" y="800421"/>
            <a:ext cx="3456329" cy="1439279"/>
          </a:xfrm>
          <a:prstGeom prst="roundRect">
            <a:avLst>
              <a:gd name="adj" fmla="val 8848"/>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cap="none" spc="0">
              <a:ln w="12700">
                <a:solidFill>
                  <a:schemeClr val="tx2">
                    <a:lumMod val="75000"/>
                  </a:schemeClr>
                </a:solidFill>
                <a:prstDash val="solid"/>
              </a:ln>
              <a:pattFill prst="dkUpDiag">
                <a:fgClr>
                  <a:schemeClr val="tx2"/>
                </a:fgClr>
                <a:bgClr>
                  <a:schemeClr val="tx2">
                    <a:lumMod val="20000"/>
                    <a:lumOff val="80000"/>
                  </a:schemeClr>
                </a:bgClr>
              </a:pattFill>
              <a:effectLst>
                <a:outerShdw dist="38100" dir="2640000" algn="bl" rotWithShape="0">
                  <a:schemeClr val="tx2">
                    <a:lumMod val="75000"/>
                  </a:schemeClr>
                </a:outerShdw>
              </a:effectLst>
            </a:endParaRPr>
          </a:p>
        </xdr:txBody>
      </xdr:sp>
      <xdr:sp macro="" textlink="">
        <xdr:nvSpPr>
          <xdr:cNvPr id="31" name="Rectangle: Rounded Corners 1">
            <a:extLst>
              <a:ext uri="{FF2B5EF4-FFF2-40B4-BE49-F238E27FC236}">
                <a16:creationId xmlns:a16="http://schemas.microsoft.com/office/drawing/2014/main" id="{233ABC5E-494B-774F-8106-E89BB62EB7D7}"/>
              </a:ext>
            </a:extLst>
          </xdr:cNvPr>
          <xdr:cNvSpPr/>
        </xdr:nvSpPr>
        <xdr:spPr>
          <a:xfrm>
            <a:off x="5980253" y="797045"/>
            <a:ext cx="2700761" cy="1435608"/>
          </a:xfrm>
          <a:prstGeom prst="roundRect">
            <a:avLst>
              <a:gd name="adj" fmla="val 7674"/>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cap="none" spc="0">
              <a:ln w="12700">
                <a:solidFill>
                  <a:schemeClr val="tx2">
                    <a:lumMod val="75000"/>
                  </a:schemeClr>
                </a:solidFill>
                <a:prstDash val="solid"/>
              </a:ln>
              <a:pattFill prst="dkUpDiag">
                <a:fgClr>
                  <a:schemeClr val="tx2"/>
                </a:fgClr>
                <a:bgClr>
                  <a:schemeClr val="tx2">
                    <a:lumMod val="20000"/>
                    <a:lumOff val="80000"/>
                  </a:schemeClr>
                </a:bgClr>
              </a:pattFill>
              <a:effectLst>
                <a:outerShdw dist="38100" dir="2640000" algn="bl" rotWithShape="0">
                  <a:schemeClr val="tx2">
                    <a:lumMod val="75000"/>
                  </a:schemeClr>
                </a:outerShdw>
              </a:effectLst>
            </a:endParaRPr>
          </a:p>
        </xdr:txBody>
      </xdr:sp>
      <xdr:sp macro="" textlink="">
        <xdr:nvSpPr>
          <xdr:cNvPr id="32" name="Rectangle: Rounded Corners 1">
            <a:extLst>
              <a:ext uri="{FF2B5EF4-FFF2-40B4-BE49-F238E27FC236}">
                <a16:creationId xmlns:a16="http://schemas.microsoft.com/office/drawing/2014/main" id="{4B16B0DD-4379-6048-9326-F7877CB0A179}"/>
              </a:ext>
            </a:extLst>
          </xdr:cNvPr>
          <xdr:cNvSpPr/>
        </xdr:nvSpPr>
        <xdr:spPr>
          <a:xfrm>
            <a:off x="8729241" y="797045"/>
            <a:ext cx="5272911" cy="1435608"/>
          </a:xfrm>
          <a:prstGeom prst="roundRect">
            <a:avLst>
              <a:gd name="adj" fmla="val 5359"/>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cap="none" spc="0">
              <a:ln w="12700">
                <a:solidFill>
                  <a:schemeClr val="tx2">
                    <a:lumMod val="75000"/>
                  </a:schemeClr>
                </a:solidFill>
                <a:prstDash val="solid"/>
              </a:ln>
              <a:pattFill prst="dkUpDiag">
                <a:fgClr>
                  <a:schemeClr val="tx2"/>
                </a:fgClr>
                <a:bgClr>
                  <a:schemeClr val="tx2">
                    <a:lumMod val="20000"/>
                    <a:lumOff val="80000"/>
                  </a:schemeClr>
                </a:bgClr>
              </a:pattFill>
              <a:effectLst>
                <a:outerShdw dist="38100" dir="2640000" algn="bl" rotWithShape="0">
                  <a:schemeClr val="tx2">
                    <a:lumMod val="75000"/>
                  </a:schemeClr>
                </a:outerShdw>
              </a:effectLst>
            </a:endParaRPr>
          </a:p>
        </xdr:txBody>
      </xdr:sp>
      <xdr:sp macro="" textlink="">
        <xdr:nvSpPr>
          <xdr:cNvPr id="33" name="Rectangle: Rounded Corners 1">
            <a:extLst>
              <a:ext uri="{FF2B5EF4-FFF2-40B4-BE49-F238E27FC236}">
                <a16:creationId xmlns:a16="http://schemas.microsoft.com/office/drawing/2014/main" id="{F7FEF00E-80AB-6A41-A5D3-133FDE035C18}"/>
              </a:ext>
            </a:extLst>
          </xdr:cNvPr>
          <xdr:cNvSpPr/>
        </xdr:nvSpPr>
        <xdr:spPr>
          <a:xfrm>
            <a:off x="14050380" y="787722"/>
            <a:ext cx="3950729" cy="1433331"/>
          </a:xfrm>
          <a:prstGeom prst="roundRect">
            <a:avLst>
              <a:gd name="adj" fmla="val 6492"/>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cap="none" spc="0">
              <a:ln w="12700">
                <a:solidFill>
                  <a:schemeClr val="tx2">
                    <a:lumMod val="75000"/>
                  </a:schemeClr>
                </a:solidFill>
                <a:prstDash val="solid"/>
              </a:ln>
              <a:pattFill prst="dkUpDiag">
                <a:fgClr>
                  <a:schemeClr val="tx2"/>
                </a:fgClr>
                <a:bgClr>
                  <a:schemeClr val="tx2">
                    <a:lumMod val="20000"/>
                    <a:lumOff val="80000"/>
                  </a:schemeClr>
                </a:bgClr>
              </a:pattFill>
              <a:effectLst>
                <a:outerShdw dist="38100" dir="2640000" algn="bl" rotWithShape="0">
                  <a:schemeClr val="tx2">
                    <a:lumMod val="75000"/>
                  </a:schemeClr>
                </a:outerShdw>
              </a:effectLst>
            </a:endParaRPr>
          </a:p>
        </xdr:txBody>
      </xdr:sp>
      <xdr:sp macro="" textlink="">
        <xdr:nvSpPr>
          <xdr:cNvPr id="34" name="Rectangle: Rounded Corners 1">
            <a:extLst>
              <a:ext uri="{FF2B5EF4-FFF2-40B4-BE49-F238E27FC236}">
                <a16:creationId xmlns:a16="http://schemas.microsoft.com/office/drawing/2014/main" id="{DF2D942A-9991-174A-B14F-A0184898F549}"/>
              </a:ext>
            </a:extLst>
          </xdr:cNvPr>
          <xdr:cNvSpPr/>
        </xdr:nvSpPr>
        <xdr:spPr>
          <a:xfrm>
            <a:off x="101598" y="2282784"/>
            <a:ext cx="1557439" cy="5564851"/>
          </a:xfrm>
          <a:prstGeom prst="roundRect">
            <a:avLst>
              <a:gd name="adj" fmla="val 8326"/>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cap="none" spc="0">
              <a:ln w="12700">
                <a:solidFill>
                  <a:schemeClr val="tx2">
                    <a:lumMod val="75000"/>
                  </a:schemeClr>
                </a:solidFill>
                <a:prstDash val="solid"/>
              </a:ln>
              <a:pattFill prst="dkUpDiag">
                <a:fgClr>
                  <a:schemeClr val="tx2"/>
                </a:fgClr>
                <a:bgClr>
                  <a:schemeClr val="tx2">
                    <a:lumMod val="20000"/>
                    <a:lumOff val="80000"/>
                  </a:schemeClr>
                </a:bgClr>
              </a:pattFill>
              <a:effectLst>
                <a:outerShdw dist="38100" dir="2640000" algn="bl" rotWithShape="0">
                  <a:schemeClr val="tx2">
                    <a:lumMod val="75000"/>
                  </a:schemeClr>
                </a:outerShdw>
              </a:effectLst>
            </a:endParaRPr>
          </a:p>
        </xdr:txBody>
      </xdr:sp>
      <xdr:sp macro="" textlink="">
        <xdr:nvSpPr>
          <xdr:cNvPr id="41" name="Rectangle: Rounded Corners 1">
            <a:extLst>
              <a:ext uri="{FF2B5EF4-FFF2-40B4-BE49-F238E27FC236}">
                <a16:creationId xmlns:a16="http://schemas.microsoft.com/office/drawing/2014/main" id="{D5E13276-A204-4245-BD9E-9F7A18FD7AF0}"/>
              </a:ext>
            </a:extLst>
          </xdr:cNvPr>
          <xdr:cNvSpPr/>
        </xdr:nvSpPr>
        <xdr:spPr>
          <a:xfrm>
            <a:off x="1719323" y="5548774"/>
            <a:ext cx="6970208" cy="2298861"/>
          </a:xfrm>
          <a:prstGeom prst="roundRect">
            <a:avLst>
              <a:gd name="adj" fmla="val 2988"/>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cap="none" spc="0">
              <a:ln w="12700">
                <a:solidFill>
                  <a:schemeClr val="tx2">
                    <a:lumMod val="75000"/>
                  </a:schemeClr>
                </a:solidFill>
                <a:prstDash val="solid"/>
              </a:ln>
              <a:pattFill prst="dkUpDiag">
                <a:fgClr>
                  <a:schemeClr val="tx2"/>
                </a:fgClr>
                <a:bgClr>
                  <a:schemeClr val="tx2">
                    <a:lumMod val="20000"/>
                    <a:lumOff val="80000"/>
                  </a:schemeClr>
                </a:bgClr>
              </a:pattFill>
              <a:effectLst>
                <a:outerShdw dist="38100" dir="2640000" algn="bl" rotWithShape="0">
                  <a:schemeClr val="tx2">
                    <a:lumMod val="75000"/>
                  </a:schemeClr>
                </a:outerShdw>
              </a:effectLst>
            </a:endParaRPr>
          </a:p>
        </xdr:txBody>
      </xdr:sp>
      <xdr:sp macro="" textlink="">
        <xdr:nvSpPr>
          <xdr:cNvPr id="44" name="Rectangle: Rounded Corners 1">
            <a:extLst>
              <a:ext uri="{FF2B5EF4-FFF2-40B4-BE49-F238E27FC236}">
                <a16:creationId xmlns:a16="http://schemas.microsoft.com/office/drawing/2014/main" id="{E5C513EB-4285-974E-ACE3-B3A9B7714394}"/>
              </a:ext>
            </a:extLst>
          </xdr:cNvPr>
          <xdr:cNvSpPr/>
        </xdr:nvSpPr>
        <xdr:spPr>
          <a:xfrm>
            <a:off x="8745316" y="5305062"/>
            <a:ext cx="9252189" cy="2526497"/>
          </a:xfrm>
          <a:prstGeom prst="roundRect">
            <a:avLst>
              <a:gd name="adj" fmla="val 2988"/>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cap="none" spc="0">
              <a:ln w="12700">
                <a:solidFill>
                  <a:schemeClr val="tx2">
                    <a:lumMod val="75000"/>
                  </a:schemeClr>
                </a:solidFill>
                <a:prstDash val="solid"/>
              </a:ln>
              <a:pattFill prst="dkUpDiag">
                <a:fgClr>
                  <a:schemeClr val="tx2"/>
                </a:fgClr>
                <a:bgClr>
                  <a:schemeClr val="tx2">
                    <a:lumMod val="20000"/>
                    <a:lumOff val="80000"/>
                  </a:schemeClr>
                </a:bgClr>
              </a:pattFill>
              <a:effectLst>
                <a:outerShdw dist="38100" dir="2640000" algn="bl" rotWithShape="0">
                  <a:schemeClr val="tx2">
                    <a:lumMod val="75000"/>
                  </a:schemeClr>
                </a:outerShdw>
              </a:effectLst>
            </a:endParaRPr>
          </a:p>
        </xdr:txBody>
      </xdr:sp>
      <xdr:sp macro="" textlink="">
        <xdr:nvSpPr>
          <xdr:cNvPr id="45" name="Rectangle: Rounded Corners 1">
            <a:extLst>
              <a:ext uri="{FF2B5EF4-FFF2-40B4-BE49-F238E27FC236}">
                <a16:creationId xmlns:a16="http://schemas.microsoft.com/office/drawing/2014/main" id="{F3E55023-5D9D-A04B-BDD7-0C669248E5D0}"/>
              </a:ext>
            </a:extLst>
          </xdr:cNvPr>
          <xdr:cNvSpPr/>
        </xdr:nvSpPr>
        <xdr:spPr>
          <a:xfrm>
            <a:off x="8743064" y="2285357"/>
            <a:ext cx="4640644" cy="2957973"/>
          </a:xfrm>
          <a:prstGeom prst="roundRect">
            <a:avLst>
              <a:gd name="adj" fmla="val 2521"/>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cap="none" spc="0">
              <a:ln w="12700">
                <a:solidFill>
                  <a:schemeClr val="tx2">
                    <a:lumMod val="75000"/>
                  </a:schemeClr>
                </a:solidFill>
                <a:prstDash val="solid"/>
              </a:ln>
              <a:pattFill prst="dkUpDiag">
                <a:fgClr>
                  <a:schemeClr val="tx2"/>
                </a:fgClr>
                <a:bgClr>
                  <a:schemeClr val="tx2">
                    <a:lumMod val="20000"/>
                    <a:lumOff val="80000"/>
                  </a:schemeClr>
                </a:bgClr>
              </a:pattFill>
              <a:effectLst>
                <a:outerShdw dist="38100" dir="2640000" algn="bl" rotWithShape="0">
                  <a:schemeClr val="tx2">
                    <a:lumMod val="75000"/>
                  </a:schemeClr>
                </a:outerShdw>
              </a:effectLst>
            </a:endParaRPr>
          </a:p>
        </xdr:txBody>
      </xdr:sp>
    </xdr:grpSp>
    <xdr:clientData/>
  </xdr:twoCellAnchor>
  <xdr:twoCellAnchor>
    <xdr:from>
      <xdr:col>0</xdr:col>
      <xdr:colOff>96457</xdr:colOff>
      <xdr:row>0</xdr:row>
      <xdr:rowOff>160760</xdr:rowOff>
    </xdr:from>
    <xdr:to>
      <xdr:col>21</xdr:col>
      <xdr:colOff>755569</xdr:colOff>
      <xdr:row>3</xdr:row>
      <xdr:rowOff>112532</xdr:rowOff>
    </xdr:to>
    <xdr:sp macro="" textlink="">
      <xdr:nvSpPr>
        <xdr:cNvPr id="50" name="TextBox 49">
          <a:extLst>
            <a:ext uri="{FF2B5EF4-FFF2-40B4-BE49-F238E27FC236}">
              <a16:creationId xmlns:a16="http://schemas.microsoft.com/office/drawing/2014/main" id="{A062DF1E-A286-CFE3-F43A-E9889FB8E742}"/>
            </a:ext>
          </a:extLst>
        </xdr:cNvPr>
        <xdr:cNvSpPr txBox="1"/>
      </xdr:nvSpPr>
      <xdr:spPr>
        <a:xfrm>
          <a:off x="96457" y="160760"/>
          <a:ext cx="17876454" cy="5305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scene3d>
            <a:camera prst="orthographicFront"/>
            <a:lightRig rig="soft" dir="t">
              <a:rot lat="0" lon="0" rev="15600000"/>
            </a:lightRig>
          </a:scene3d>
          <a:sp3d extrusionH="57150" prstMaterial="softEdge">
            <a:bevelT w="25400" h="38100"/>
          </a:sp3d>
        </a:bodyPr>
        <a:lstStyle/>
        <a:p>
          <a:pPr algn="ctr"/>
          <a:r>
            <a:rPr lang="en-US" sz="4000" b="1" cap="none" spc="0">
              <a:ln/>
              <a:solidFill>
                <a:schemeClr val="tx2">
                  <a:lumMod val="50000"/>
                  <a:lumOff val="50000"/>
                </a:schemeClr>
              </a:solidFill>
              <a:effectLst/>
            </a:rPr>
            <a:t>Marine</a:t>
          </a:r>
          <a:r>
            <a:rPr lang="en-US" sz="4000" b="1" cap="none" spc="0" baseline="0">
              <a:ln/>
              <a:solidFill>
                <a:schemeClr val="tx2">
                  <a:lumMod val="50000"/>
                  <a:lumOff val="50000"/>
                </a:schemeClr>
              </a:solidFill>
              <a:effectLst/>
            </a:rPr>
            <a:t>  Liability  Pricing &amp; Risk Analysis Dashboard</a:t>
          </a:r>
          <a:endParaRPr lang="en-US" sz="4000" b="1" cap="none" spc="0">
            <a:ln/>
            <a:solidFill>
              <a:schemeClr val="tx2">
                <a:lumMod val="50000"/>
                <a:lumOff val="50000"/>
              </a:schemeClr>
            </a:solidFill>
            <a:effectLst/>
          </a:endParaRPr>
        </a:p>
      </xdr:txBody>
    </xdr:sp>
    <xdr:clientData/>
  </xdr:twoCellAnchor>
  <xdr:twoCellAnchor editAs="oneCell">
    <xdr:from>
      <xdr:col>3</xdr:col>
      <xdr:colOff>451283</xdr:colOff>
      <xdr:row>0</xdr:row>
      <xdr:rowOff>64304</xdr:rowOff>
    </xdr:from>
    <xdr:to>
      <xdr:col>4</xdr:col>
      <xdr:colOff>354828</xdr:colOff>
      <xdr:row>4</xdr:row>
      <xdr:rowOff>0</xdr:rowOff>
    </xdr:to>
    <xdr:pic>
      <xdr:nvPicPr>
        <xdr:cNvPr id="52" name="Picture 51">
          <a:extLst>
            <a:ext uri="{FF2B5EF4-FFF2-40B4-BE49-F238E27FC236}">
              <a16:creationId xmlns:a16="http://schemas.microsoft.com/office/drawing/2014/main" id="{C7A668A6-DBC7-1C00-4F6C-A0D4874BA91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33226" y="64304"/>
          <a:ext cx="730859" cy="719467"/>
        </a:xfrm>
        <a:prstGeom prst="rect">
          <a:avLst/>
        </a:prstGeom>
      </xdr:spPr>
    </xdr:pic>
    <xdr:clientData/>
  </xdr:twoCellAnchor>
  <xdr:twoCellAnchor>
    <xdr:from>
      <xdr:col>0</xdr:col>
      <xdr:colOff>192911</xdr:colOff>
      <xdr:row>4</xdr:row>
      <xdr:rowOff>80379</xdr:rowOff>
    </xdr:from>
    <xdr:to>
      <xdr:col>2</xdr:col>
      <xdr:colOff>675190</xdr:colOff>
      <xdr:row>7</xdr:row>
      <xdr:rowOff>96455</xdr:rowOff>
    </xdr:to>
    <xdr:sp macro="" textlink="">
      <xdr:nvSpPr>
        <xdr:cNvPr id="53" name="TextBox 52">
          <a:extLst>
            <a:ext uri="{FF2B5EF4-FFF2-40B4-BE49-F238E27FC236}">
              <a16:creationId xmlns:a16="http://schemas.microsoft.com/office/drawing/2014/main" id="{FBD444C4-5CCF-AB9A-834C-C21EAC269867}"/>
            </a:ext>
          </a:extLst>
        </xdr:cNvPr>
        <xdr:cNvSpPr txBox="1"/>
      </xdr:nvSpPr>
      <xdr:spPr>
        <a:xfrm>
          <a:off x="192911" y="868101"/>
          <a:ext cx="2122026" cy="5948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800" b="1"/>
            <a:t>Total Claims</a:t>
          </a:r>
        </a:p>
      </xdr:txBody>
    </xdr:sp>
    <xdr:clientData/>
  </xdr:twoCellAnchor>
  <xdr:twoCellAnchor>
    <xdr:from>
      <xdr:col>3</xdr:col>
      <xdr:colOff>88095</xdr:colOff>
      <xdr:row>4</xdr:row>
      <xdr:rowOff>88095</xdr:rowOff>
    </xdr:from>
    <xdr:to>
      <xdr:col>7</xdr:col>
      <xdr:colOff>144683</xdr:colOff>
      <xdr:row>7</xdr:row>
      <xdr:rowOff>104171</xdr:rowOff>
    </xdr:to>
    <xdr:sp macro="" textlink="">
      <xdr:nvSpPr>
        <xdr:cNvPr id="55" name="TextBox 54">
          <a:extLst>
            <a:ext uri="{FF2B5EF4-FFF2-40B4-BE49-F238E27FC236}">
              <a16:creationId xmlns:a16="http://schemas.microsoft.com/office/drawing/2014/main" id="{7E830FCF-3C13-3945-AB3E-98D462E4604D}"/>
            </a:ext>
          </a:extLst>
        </xdr:cNvPr>
        <xdr:cNvSpPr txBox="1"/>
      </xdr:nvSpPr>
      <xdr:spPr>
        <a:xfrm>
          <a:off x="2547715" y="875817"/>
          <a:ext cx="3336082" cy="5948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800" b="1"/>
            <a:t>Total Loss ($)</a:t>
          </a:r>
        </a:p>
      </xdr:txBody>
    </xdr:sp>
    <xdr:clientData/>
  </xdr:twoCellAnchor>
  <xdr:twoCellAnchor>
    <xdr:from>
      <xdr:col>7</xdr:col>
      <xdr:colOff>369748</xdr:colOff>
      <xdr:row>4</xdr:row>
      <xdr:rowOff>79736</xdr:rowOff>
    </xdr:from>
    <xdr:to>
      <xdr:col>10</xdr:col>
      <xdr:colOff>466204</xdr:colOff>
      <xdr:row>7</xdr:row>
      <xdr:rowOff>95812</xdr:rowOff>
    </xdr:to>
    <xdr:sp macro="" textlink="">
      <xdr:nvSpPr>
        <xdr:cNvPr id="56" name="TextBox 55">
          <a:extLst>
            <a:ext uri="{FF2B5EF4-FFF2-40B4-BE49-F238E27FC236}">
              <a16:creationId xmlns:a16="http://schemas.microsoft.com/office/drawing/2014/main" id="{7C7A03CB-C8E1-1943-97E2-A532A82D14F3}"/>
            </a:ext>
          </a:extLst>
        </xdr:cNvPr>
        <xdr:cNvSpPr txBox="1"/>
      </xdr:nvSpPr>
      <xdr:spPr>
        <a:xfrm>
          <a:off x="6108862" y="867458"/>
          <a:ext cx="2556076" cy="5948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800" b="1"/>
            <a:t>Avg Severity ($)</a:t>
          </a:r>
        </a:p>
      </xdr:txBody>
    </xdr:sp>
    <xdr:clientData/>
  </xdr:twoCellAnchor>
  <xdr:twoCellAnchor>
    <xdr:from>
      <xdr:col>10</xdr:col>
      <xdr:colOff>610886</xdr:colOff>
      <xdr:row>4</xdr:row>
      <xdr:rowOff>55299</xdr:rowOff>
    </xdr:from>
    <xdr:to>
      <xdr:col>16</xdr:col>
      <xdr:colOff>755569</xdr:colOff>
      <xdr:row>7</xdr:row>
      <xdr:rowOff>160759</xdr:rowOff>
    </xdr:to>
    <xdr:sp macro="" textlink="">
      <xdr:nvSpPr>
        <xdr:cNvPr id="57" name="TextBox 56">
          <a:extLst>
            <a:ext uri="{FF2B5EF4-FFF2-40B4-BE49-F238E27FC236}">
              <a16:creationId xmlns:a16="http://schemas.microsoft.com/office/drawing/2014/main" id="{D236DA77-30FB-B744-BBE1-EE51887D12A2}"/>
            </a:ext>
          </a:extLst>
        </xdr:cNvPr>
        <xdr:cNvSpPr txBox="1"/>
      </xdr:nvSpPr>
      <xdr:spPr>
        <a:xfrm>
          <a:off x="8809620" y="843021"/>
          <a:ext cx="5063924" cy="6841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800" b="1"/>
            <a:t>Top Claim Type</a:t>
          </a:r>
        </a:p>
      </xdr:txBody>
    </xdr:sp>
    <xdr:clientData/>
  </xdr:twoCellAnchor>
  <xdr:twoCellAnchor>
    <xdr:from>
      <xdr:col>17</xdr:col>
      <xdr:colOff>128608</xdr:colOff>
      <xdr:row>4</xdr:row>
      <xdr:rowOff>95166</xdr:rowOff>
    </xdr:from>
    <xdr:to>
      <xdr:col>21</xdr:col>
      <xdr:colOff>770359</xdr:colOff>
      <xdr:row>7</xdr:row>
      <xdr:rowOff>111242</xdr:rowOff>
    </xdr:to>
    <xdr:sp macro="" textlink="">
      <xdr:nvSpPr>
        <xdr:cNvPr id="58" name="TextBox 57">
          <a:extLst>
            <a:ext uri="{FF2B5EF4-FFF2-40B4-BE49-F238E27FC236}">
              <a16:creationId xmlns:a16="http://schemas.microsoft.com/office/drawing/2014/main" id="{A29B2634-B665-D246-A13E-8AB9EDC338D8}"/>
            </a:ext>
          </a:extLst>
        </xdr:cNvPr>
        <xdr:cNvSpPr txBox="1"/>
      </xdr:nvSpPr>
      <xdr:spPr>
        <a:xfrm>
          <a:off x="14066456" y="882888"/>
          <a:ext cx="3921245" cy="5948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800" b="1"/>
            <a:t>Top Loss Location</a:t>
          </a:r>
        </a:p>
      </xdr:txBody>
    </xdr:sp>
    <xdr:clientData/>
  </xdr:twoCellAnchor>
  <xdr:twoCellAnchor>
    <xdr:from>
      <xdr:col>0</xdr:col>
      <xdr:colOff>32152</xdr:colOff>
      <xdr:row>7</xdr:row>
      <xdr:rowOff>115103</xdr:rowOff>
    </xdr:from>
    <xdr:to>
      <xdr:col>2</xdr:col>
      <xdr:colOff>803797</xdr:colOff>
      <xdr:row>11</xdr:row>
      <xdr:rowOff>144684</xdr:rowOff>
    </xdr:to>
    <xdr:sp macro="" textlink="PivotWork!L3">
      <xdr:nvSpPr>
        <xdr:cNvPr id="3" name="TextBox 2">
          <a:extLst>
            <a:ext uri="{FF2B5EF4-FFF2-40B4-BE49-F238E27FC236}">
              <a16:creationId xmlns:a16="http://schemas.microsoft.com/office/drawing/2014/main" id="{386F379A-1E61-6346-AD1B-F6A8BC08AD26}"/>
            </a:ext>
          </a:extLst>
        </xdr:cNvPr>
        <xdr:cNvSpPr txBox="1"/>
      </xdr:nvSpPr>
      <xdr:spPr>
        <a:xfrm>
          <a:off x="32152" y="1481559"/>
          <a:ext cx="2411392" cy="8012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scene3d>
            <a:camera prst="orthographicFront"/>
            <a:lightRig rig="soft" dir="t">
              <a:rot lat="0" lon="0" rev="15600000"/>
            </a:lightRig>
          </a:scene3d>
          <a:sp3d extrusionH="57150" prstMaterial="softEdge">
            <a:bevelT w="25400" h="38100"/>
          </a:sp3d>
        </a:bodyPr>
        <a:lstStyle/>
        <a:p>
          <a:pPr algn="ctr"/>
          <a:fld id="{73074BE1-E8E3-B148-8401-7F8C8C171DFB}" type="TxLink">
            <a:rPr lang="en-US" sz="4000" b="1" i="0" u="none" strike="noStrike" cap="none" spc="0">
              <a:ln/>
              <a:solidFill>
                <a:schemeClr val="accent1">
                  <a:lumMod val="40000"/>
                  <a:lumOff val="60000"/>
                </a:schemeClr>
              </a:solidFill>
              <a:effectLst/>
              <a:latin typeface="Aptos Narrow"/>
            </a:rPr>
            <a:pPr algn="ctr"/>
            <a:t>17</a:t>
          </a:fld>
          <a:endParaRPr lang="en-US" sz="4000" b="1" cap="none" spc="0">
            <a:ln/>
            <a:solidFill>
              <a:schemeClr val="accent1">
                <a:lumMod val="40000"/>
                <a:lumOff val="60000"/>
              </a:schemeClr>
            </a:solidFill>
            <a:effectLst/>
          </a:endParaRPr>
        </a:p>
      </xdr:txBody>
    </xdr:sp>
    <xdr:clientData/>
  </xdr:twoCellAnchor>
  <xdr:twoCellAnchor>
    <xdr:from>
      <xdr:col>2</xdr:col>
      <xdr:colOff>771645</xdr:colOff>
      <xdr:row>7</xdr:row>
      <xdr:rowOff>99027</xdr:rowOff>
    </xdr:from>
    <xdr:to>
      <xdr:col>7</xdr:col>
      <xdr:colOff>128608</xdr:colOff>
      <xdr:row>11</xdr:row>
      <xdr:rowOff>48228</xdr:rowOff>
    </xdr:to>
    <xdr:sp macro="" textlink="PivotWork!L6">
      <xdr:nvSpPr>
        <xdr:cNvPr id="5" name="TextBox 4">
          <a:extLst>
            <a:ext uri="{FF2B5EF4-FFF2-40B4-BE49-F238E27FC236}">
              <a16:creationId xmlns:a16="http://schemas.microsoft.com/office/drawing/2014/main" id="{9C028342-1A2B-F54F-9BF5-57E6008FC5FA}"/>
            </a:ext>
          </a:extLst>
        </xdr:cNvPr>
        <xdr:cNvSpPr txBox="1"/>
      </xdr:nvSpPr>
      <xdr:spPr>
        <a:xfrm>
          <a:off x="2411392" y="1465483"/>
          <a:ext cx="3456330" cy="7208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scene3d>
            <a:camera prst="orthographicFront"/>
            <a:lightRig rig="soft" dir="t">
              <a:rot lat="0" lon="0" rev="15600000"/>
            </a:lightRig>
          </a:scene3d>
          <a:sp3d extrusionH="57150" prstMaterial="softEdge">
            <a:bevelT w="25400" h="38100"/>
          </a:sp3d>
        </a:bodyPr>
        <a:lstStyle/>
        <a:p>
          <a:pPr algn="ctr"/>
          <a:fld id="{2B2B3717-6253-0844-AB8C-3DE87902791A}" type="TxLink">
            <a:rPr lang="en-US" sz="4000" b="1" i="0" u="none" strike="noStrike" cap="none" spc="0">
              <a:ln/>
              <a:solidFill>
                <a:schemeClr val="accent1">
                  <a:lumMod val="40000"/>
                  <a:lumOff val="60000"/>
                </a:schemeClr>
              </a:solidFill>
              <a:effectLst/>
              <a:latin typeface="Aptos Narrow"/>
            </a:rPr>
            <a:pPr algn="ctr"/>
            <a:t> $8,990,522 </a:t>
          </a:fld>
          <a:endParaRPr lang="en-US" sz="4000" b="1" cap="none" spc="0">
            <a:ln/>
            <a:solidFill>
              <a:schemeClr val="accent1">
                <a:lumMod val="40000"/>
                <a:lumOff val="60000"/>
              </a:schemeClr>
            </a:solidFill>
            <a:effectLst/>
          </a:endParaRPr>
        </a:p>
      </xdr:txBody>
    </xdr:sp>
    <xdr:clientData/>
  </xdr:twoCellAnchor>
  <xdr:twoCellAnchor>
    <xdr:from>
      <xdr:col>7</xdr:col>
      <xdr:colOff>128608</xdr:colOff>
      <xdr:row>7</xdr:row>
      <xdr:rowOff>82951</xdr:rowOff>
    </xdr:from>
    <xdr:to>
      <xdr:col>10</xdr:col>
      <xdr:colOff>450127</xdr:colOff>
      <xdr:row>11</xdr:row>
      <xdr:rowOff>32152</xdr:rowOff>
    </xdr:to>
    <xdr:sp macro="" textlink="PivotWork!L9">
      <xdr:nvSpPr>
        <xdr:cNvPr id="7" name="TextBox 6">
          <a:extLst>
            <a:ext uri="{FF2B5EF4-FFF2-40B4-BE49-F238E27FC236}">
              <a16:creationId xmlns:a16="http://schemas.microsoft.com/office/drawing/2014/main" id="{C4572DF7-4DFC-E84A-BEAE-AA9E49660BD2}"/>
            </a:ext>
          </a:extLst>
        </xdr:cNvPr>
        <xdr:cNvSpPr txBox="1"/>
      </xdr:nvSpPr>
      <xdr:spPr>
        <a:xfrm>
          <a:off x="5867722" y="1449407"/>
          <a:ext cx="2781139" cy="7208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scene3d>
            <a:camera prst="orthographicFront"/>
            <a:lightRig rig="soft" dir="t">
              <a:rot lat="0" lon="0" rev="15600000"/>
            </a:lightRig>
          </a:scene3d>
          <a:sp3d extrusionH="57150" prstMaterial="softEdge">
            <a:bevelT w="25400" h="38100"/>
          </a:sp3d>
        </a:bodyPr>
        <a:lstStyle/>
        <a:p>
          <a:pPr algn="ctr"/>
          <a:fld id="{9EF681FA-A17A-AC4C-B25B-ED1AECBB2F9B}" type="TxLink">
            <a:rPr lang="en-US" sz="4000" b="1" i="0" u="none" strike="noStrike" cap="none" spc="0">
              <a:ln/>
              <a:solidFill>
                <a:schemeClr val="accent1">
                  <a:lumMod val="40000"/>
                  <a:lumOff val="60000"/>
                </a:schemeClr>
              </a:solidFill>
              <a:effectLst/>
              <a:latin typeface="Aptos Narrow"/>
            </a:rPr>
            <a:pPr algn="ctr"/>
            <a:t> $528,854 </a:t>
          </a:fld>
          <a:endParaRPr lang="en-US" sz="4000" b="1" cap="none" spc="0">
            <a:ln/>
            <a:solidFill>
              <a:schemeClr val="accent1">
                <a:lumMod val="40000"/>
                <a:lumOff val="60000"/>
              </a:schemeClr>
            </a:solidFill>
            <a:effectLst/>
          </a:endParaRPr>
        </a:p>
      </xdr:txBody>
    </xdr:sp>
    <xdr:clientData/>
  </xdr:twoCellAnchor>
  <xdr:twoCellAnchor>
    <xdr:from>
      <xdr:col>10</xdr:col>
      <xdr:colOff>417975</xdr:colOff>
      <xdr:row>7</xdr:row>
      <xdr:rowOff>99027</xdr:rowOff>
    </xdr:from>
    <xdr:to>
      <xdr:col>17</xdr:col>
      <xdr:colOff>192911</xdr:colOff>
      <xdr:row>11</xdr:row>
      <xdr:rowOff>48228</xdr:rowOff>
    </xdr:to>
    <xdr:sp macro="" textlink="PivotWork!L12">
      <xdr:nvSpPr>
        <xdr:cNvPr id="8" name="TextBox 7">
          <a:extLst>
            <a:ext uri="{FF2B5EF4-FFF2-40B4-BE49-F238E27FC236}">
              <a16:creationId xmlns:a16="http://schemas.microsoft.com/office/drawing/2014/main" id="{547FE226-5978-C048-BD1E-880CEC48F1D6}"/>
            </a:ext>
          </a:extLst>
        </xdr:cNvPr>
        <xdr:cNvSpPr txBox="1"/>
      </xdr:nvSpPr>
      <xdr:spPr>
        <a:xfrm>
          <a:off x="8616709" y="1465483"/>
          <a:ext cx="5514050" cy="7208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scene3d>
            <a:camera prst="orthographicFront"/>
            <a:lightRig rig="soft" dir="t">
              <a:rot lat="0" lon="0" rev="15600000"/>
            </a:lightRig>
          </a:scene3d>
          <a:sp3d extrusionH="57150" prstMaterial="softEdge">
            <a:bevelT w="25400" h="38100"/>
          </a:sp3d>
        </a:bodyPr>
        <a:lstStyle/>
        <a:p>
          <a:pPr algn="ctr"/>
          <a:fld id="{1C1341B8-848C-DF43-B215-5B146B2D1A8E}" type="TxLink">
            <a:rPr lang="en-US" sz="4000" b="1" i="0" u="none" strike="noStrike" cap="none" spc="0">
              <a:ln/>
              <a:solidFill>
                <a:schemeClr val="accent1">
                  <a:lumMod val="40000"/>
                  <a:lumOff val="60000"/>
                </a:schemeClr>
              </a:solidFill>
              <a:effectLst/>
              <a:latin typeface="Aptos Narrow"/>
            </a:rPr>
            <a:pPr algn="ctr"/>
            <a:t>Cargo Liability</a:t>
          </a:fld>
          <a:endParaRPr lang="en-US" sz="4000" b="1" cap="none" spc="0">
            <a:ln/>
            <a:solidFill>
              <a:schemeClr val="accent1">
                <a:lumMod val="40000"/>
                <a:lumOff val="60000"/>
              </a:schemeClr>
            </a:solidFill>
            <a:effectLst/>
          </a:endParaRPr>
        </a:p>
      </xdr:txBody>
    </xdr:sp>
    <xdr:clientData/>
  </xdr:twoCellAnchor>
  <xdr:twoCellAnchor>
    <xdr:from>
      <xdr:col>17</xdr:col>
      <xdr:colOff>273291</xdr:colOff>
      <xdr:row>7</xdr:row>
      <xdr:rowOff>115103</xdr:rowOff>
    </xdr:from>
    <xdr:to>
      <xdr:col>21</xdr:col>
      <xdr:colOff>755569</xdr:colOff>
      <xdr:row>11</xdr:row>
      <xdr:rowOff>64304</xdr:rowOff>
    </xdr:to>
    <xdr:sp macro="" textlink="PivotWork!L20">
      <xdr:nvSpPr>
        <xdr:cNvPr id="9" name="TextBox 8">
          <a:extLst>
            <a:ext uri="{FF2B5EF4-FFF2-40B4-BE49-F238E27FC236}">
              <a16:creationId xmlns:a16="http://schemas.microsoft.com/office/drawing/2014/main" id="{30B8D222-D387-6349-AD8C-6C553F145EC6}"/>
            </a:ext>
          </a:extLst>
        </xdr:cNvPr>
        <xdr:cNvSpPr txBox="1"/>
      </xdr:nvSpPr>
      <xdr:spPr>
        <a:xfrm>
          <a:off x="14211139" y="1481559"/>
          <a:ext cx="3761772" cy="7208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scene3d>
            <a:camera prst="orthographicFront"/>
            <a:lightRig rig="soft" dir="t">
              <a:rot lat="0" lon="0" rev="15600000"/>
            </a:lightRig>
          </a:scene3d>
          <a:sp3d extrusionH="57150" prstMaterial="softEdge">
            <a:bevelT w="25400" h="38100"/>
          </a:sp3d>
        </a:bodyPr>
        <a:lstStyle/>
        <a:p>
          <a:pPr algn="ctr"/>
          <a:fld id="{AACF4409-6292-BE48-8CFD-72648B53A764}" type="TxLink">
            <a:rPr lang="en-US" sz="4000" b="1" i="0" u="none" strike="noStrike" cap="none" spc="0">
              <a:ln/>
              <a:solidFill>
                <a:schemeClr val="accent1">
                  <a:lumMod val="40000"/>
                  <a:lumOff val="60000"/>
                </a:schemeClr>
              </a:solidFill>
              <a:effectLst/>
              <a:latin typeface="Aptos Narrow"/>
            </a:rPr>
            <a:pPr algn="ctr"/>
            <a:t>Atlantic Ocean</a:t>
          </a:fld>
          <a:endParaRPr lang="en-US" sz="19900" b="1" cap="none" spc="0">
            <a:ln/>
            <a:solidFill>
              <a:schemeClr val="accent1">
                <a:lumMod val="40000"/>
                <a:lumOff val="60000"/>
              </a:schemeClr>
            </a:solidFill>
            <a:effectLst/>
          </a:endParaRPr>
        </a:p>
      </xdr:txBody>
    </xdr:sp>
    <xdr:clientData/>
  </xdr:twoCellAnchor>
  <xdr:twoCellAnchor editAs="oneCell">
    <xdr:from>
      <xdr:col>0</xdr:col>
      <xdr:colOff>204644</xdr:colOff>
      <xdr:row>12</xdr:row>
      <xdr:rowOff>118319</xdr:rowOff>
    </xdr:from>
    <xdr:to>
      <xdr:col>1</xdr:col>
      <xdr:colOff>723417</xdr:colOff>
      <xdr:row>39</xdr:row>
      <xdr:rowOff>144684</xdr:rowOff>
    </xdr:to>
    <mc:AlternateContent xmlns:mc="http://schemas.openxmlformats.org/markup-compatibility/2006" xmlns:a14="http://schemas.microsoft.com/office/drawing/2010/main">
      <mc:Choice Requires="a14">
        <xdr:graphicFrame macro="">
          <xdr:nvGraphicFramePr>
            <xdr:cNvPr id="16" name="Year 1">
              <a:extLst>
                <a:ext uri="{FF2B5EF4-FFF2-40B4-BE49-F238E27FC236}">
                  <a16:creationId xmlns:a16="http://schemas.microsoft.com/office/drawing/2014/main" id="{FED95E3B-CB43-4354-8174-8F6F574EAFBC}"/>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204644" y="2449332"/>
              <a:ext cx="1338646" cy="52349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2</xdr:col>
      <xdr:colOff>0</xdr:colOff>
      <xdr:row>12</xdr:row>
      <xdr:rowOff>96455</xdr:rowOff>
    </xdr:from>
    <xdr:to>
      <xdr:col>10</xdr:col>
      <xdr:colOff>530507</xdr:colOff>
      <xdr:row>28</xdr:row>
      <xdr:rowOff>0</xdr:rowOff>
    </xdr:to>
    <xdr:graphicFrame macro="">
      <xdr:nvGraphicFramePr>
        <xdr:cNvPr id="10" name="Chart 9">
          <a:extLst>
            <a:ext uri="{FF2B5EF4-FFF2-40B4-BE49-F238E27FC236}">
              <a16:creationId xmlns:a16="http://schemas.microsoft.com/office/drawing/2014/main" id="{5A468235-F7E2-9E4A-8E43-F9D1294FE4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803798</xdr:colOff>
      <xdr:row>28</xdr:row>
      <xdr:rowOff>144683</xdr:rowOff>
    </xdr:from>
    <xdr:to>
      <xdr:col>10</xdr:col>
      <xdr:colOff>530507</xdr:colOff>
      <xdr:row>41</xdr:row>
      <xdr:rowOff>16076</xdr:rowOff>
    </xdr:to>
    <xdr:graphicFrame macro="">
      <xdr:nvGraphicFramePr>
        <xdr:cNvPr id="12" name="Chart 11">
          <a:extLst>
            <a:ext uri="{FF2B5EF4-FFF2-40B4-BE49-F238E27FC236}">
              <a16:creationId xmlns:a16="http://schemas.microsoft.com/office/drawing/2014/main" id="{72DA7517-D71D-9342-B0B2-68F9D6BF63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305443</xdr:colOff>
      <xdr:row>11</xdr:row>
      <xdr:rowOff>160760</xdr:rowOff>
    </xdr:from>
    <xdr:to>
      <xdr:col>21</xdr:col>
      <xdr:colOff>782415</xdr:colOff>
      <xdr:row>27</xdr:row>
      <xdr:rowOff>47102</xdr:rowOff>
    </xdr:to>
    <xdr:sp macro="" textlink="">
      <xdr:nvSpPr>
        <xdr:cNvPr id="13" name="Rectangle: Rounded Corners 1">
          <a:extLst>
            <a:ext uri="{FF2B5EF4-FFF2-40B4-BE49-F238E27FC236}">
              <a16:creationId xmlns:a16="http://schemas.microsoft.com/office/drawing/2014/main" id="{7AF8E51C-DCB4-3D49-A24B-253956847B94}"/>
            </a:ext>
          </a:extLst>
        </xdr:cNvPr>
        <xdr:cNvSpPr/>
      </xdr:nvSpPr>
      <xdr:spPr>
        <a:xfrm>
          <a:off x="13423418" y="2298861"/>
          <a:ext cx="4576339" cy="2972925"/>
        </a:xfrm>
        <a:prstGeom prst="roundRect">
          <a:avLst>
            <a:gd name="adj" fmla="val 2521"/>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cap="none" spc="0">
            <a:ln w="12700">
              <a:solidFill>
                <a:schemeClr val="tx2">
                  <a:lumMod val="75000"/>
                </a:schemeClr>
              </a:solidFill>
              <a:prstDash val="solid"/>
            </a:ln>
            <a:pattFill prst="dkUpDiag">
              <a:fgClr>
                <a:schemeClr val="tx2"/>
              </a:fgClr>
              <a:bgClr>
                <a:schemeClr val="tx2">
                  <a:lumMod val="20000"/>
                  <a:lumOff val="80000"/>
                </a:schemeClr>
              </a:bgClr>
            </a:pattFill>
            <a:effectLst>
              <a:outerShdw dist="38100" dir="2640000" algn="bl" rotWithShape="0">
                <a:schemeClr val="tx2">
                  <a:lumMod val="75000"/>
                </a:schemeClr>
              </a:outerShdw>
            </a:effectLst>
          </a:endParaRPr>
        </a:p>
      </xdr:txBody>
    </xdr:sp>
    <xdr:clientData/>
  </xdr:twoCellAnchor>
  <xdr:twoCellAnchor>
    <xdr:from>
      <xdr:col>10</xdr:col>
      <xdr:colOff>401899</xdr:colOff>
      <xdr:row>12</xdr:row>
      <xdr:rowOff>48227</xdr:rowOff>
    </xdr:from>
    <xdr:to>
      <xdr:col>16</xdr:col>
      <xdr:colOff>401898</xdr:colOff>
      <xdr:row>27</xdr:row>
      <xdr:rowOff>32152</xdr:rowOff>
    </xdr:to>
    <xdr:graphicFrame macro="">
      <xdr:nvGraphicFramePr>
        <xdr:cNvPr id="18" name="Chart 17">
          <a:extLst>
            <a:ext uri="{FF2B5EF4-FFF2-40B4-BE49-F238E27FC236}">
              <a16:creationId xmlns:a16="http://schemas.microsoft.com/office/drawing/2014/main" id="{1A3DBD93-D72D-3749-96E6-570C61855B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305443</xdr:colOff>
      <xdr:row>11</xdr:row>
      <xdr:rowOff>160760</xdr:rowOff>
    </xdr:from>
    <xdr:to>
      <xdr:col>22</xdr:col>
      <xdr:colOff>16076</xdr:colOff>
      <xdr:row>28</xdr:row>
      <xdr:rowOff>96456</xdr:rowOff>
    </xdr:to>
    <xdr:graphicFrame macro="">
      <xdr:nvGraphicFramePr>
        <xdr:cNvPr id="19" name="Chart 18">
          <a:extLst>
            <a:ext uri="{FF2B5EF4-FFF2-40B4-BE49-F238E27FC236}">
              <a16:creationId xmlns:a16="http://schemas.microsoft.com/office/drawing/2014/main" id="{ECC0CB4C-B19D-FC45-A6E6-560C325661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546582</xdr:colOff>
      <xdr:row>27</xdr:row>
      <xdr:rowOff>128608</xdr:rowOff>
    </xdr:from>
    <xdr:to>
      <xdr:col>21</xdr:col>
      <xdr:colOff>707341</xdr:colOff>
      <xdr:row>40</xdr:row>
      <xdr:rowOff>112531</xdr:rowOff>
    </xdr:to>
    <xdr:graphicFrame macro="">
      <xdr:nvGraphicFramePr>
        <xdr:cNvPr id="20" name="Chart 19">
          <a:extLst>
            <a:ext uri="{FF2B5EF4-FFF2-40B4-BE49-F238E27FC236}">
              <a16:creationId xmlns:a16="http://schemas.microsoft.com/office/drawing/2014/main" id="{D80FDA95-6BAC-6941-B0E9-8291A3740F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17</xdr:col>
      <xdr:colOff>435428</xdr:colOff>
      <xdr:row>0</xdr:row>
      <xdr:rowOff>130633</xdr:rowOff>
    </xdr:from>
    <xdr:to>
      <xdr:col>18</xdr:col>
      <xdr:colOff>206827</xdr:colOff>
      <xdr:row>3</xdr:row>
      <xdr:rowOff>141517</xdr:rowOff>
    </xdr:to>
    <xdr:pic>
      <xdr:nvPicPr>
        <xdr:cNvPr id="14" name="Graphic 13" descr="Anchor with solid fill">
          <a:extLst>
            <a:ext uri="{FF2B5EF4-FFF2-40B4-BE49-F238E27FC236}">
              <a16:creationId xmlns:a16="http://schemas.microsoft.com/office/drawing/2014/main" id="{521D18DA-4C19-5418-A490-B79D827722D3}"/>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14499771" y="130633"/>
          <a:ext cx="598713" cy="59871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oneCellAnchor>
    <xdr:from>
      <xdr:col>1</xdr:col>
      <xdr:colOff>101600</xdr:colOff>
      <xdr:row>1</xdr:row>
      <xdr:rowOff>50800</xdr:rowOff>
    </xdr:from>
    <xdr:ext cx="7499350" cy="24199850"/>
    <xdr:sp macro="" textlink="">
      <xdr:nvSpPr>
        <xdr:cNvPr id="2" name="TextBox 1">
          <a:extLst>
            <a:ext uri="{FF2B5EF4-FFF2-40B4-BE49-F238E27FC236}">
              <a16:creationId xmlns:a16="http://schemas.microsoft.com/office/drawing/2014/main" id="{22A03F87-E601-D63A-1E54-C83FB70F13C0}"/>
            </a:ext>
          </a:extLst>
        </xdr:cNvPr>
        <xdr:cNvSpPr txBox="1"/>
      </xdr:nvSpPr>
      <xdr:spPr>
        <a:xfrm>
          <a:off x="927100" y="254000"/>
          <a:ext cx="7499350" cy="241998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b="1"/>
            <a:t>Marine Liability Insurance Pricing Report</a:t>
          </a:r>
        </a:p>
        <a:p>
          <a:br>
            <a:rPr lang="en-US" b="1"/>
          </a:br>
          <a:r>
            <a:rPr lang="en-US" b="1"/>
            <a:t>1. Executive Summary</a:t>
          </a:r>
        </a:p>
        <a:p>
          <a:r>
            <a:rPr lang="en-US"/>
            <a:t>This report assesses the pricing for Marine Liability Insurance using claims data from 2018 to 2023. Individual policies run from </a:t>
          </a:r>
          <a:r>
            <a:rPr lang="en-US" b="1"/>
            <a:t>1/1 – 31/12</a:t>
          </a:r>
          <a:r>
            <a:rPr lang="en-US"/>
            <a:t> for each year. The analysis focuses on key pricing elements, including loss frequency and severity on a </a:t>
          </a:r>
          <a:r>
            <a:rPr lang="en-US" b="1"/>
            <a:t>yearly basis</a:t>
          </a:r>
          <a:r>
            <a:rPr lang="en-US"/>
            <a:t> and key considerations such</a:t>
          </a:r>
          <a:r>
            <a:rPr lang="en-US" baseline="0"/>
            <a:t> as </a:t>
          </a:r>
          <a:r>
            <a:rPr lang="en-US"/>
            <a:t>inflation adjustments, large loss handling, and premium calculations. Recommendations are provided to adjust premiums based on observed trends (if any), exposure, and assumptions about future claims, including handling for large loss events.</a:t>
          </a:r>
          <a:br>
            <a:rPr lang="en-US"/>
          </a:br>
          <a:br>
            <a:rPr lang="en-US"/>
          </a:br>
          <a:r>
            <a:rPr lang="en-US" b="1"/>
            <a:t>2. Data Overview</a:t>
          </a:r>
        </a:p>
        <a:p>
          <a:r>
            <a:rPr lang="en-US"/>
            <a:t>The dataset comprises 100 Marine Liability claims reported between 2018 and 2023. The key variables analysed include:</a:t>
          </a:r>
        </a:p>
        <a:p>
          <a:r>
            <a:rPr lang="en-US" b="1"/>
            <a:t>Claim Types</a:t>
          </a:r>
          <a:r>
            <a:rPr lang="en-US"/>
            <a:t>: Collision, Cargo Liability, Damage to Other Vessels, Environmental Pollution, and Injury to Third Parties.</a:t>
          </a:r>
        </a:p>
        <a:p>
          <a:r>
            <a:rPr lang="en-US" b="1"/>
            <a:t>Amount Gross Inflation Adjusted Claimed</a:t>
          </a:r>
          <a:r>
            <a:rPr lang="en-US"/>
            <a:t>: Ranges from $114,000 to $5,300,000.</a:t>
          </a:r>
        </a:p>
        <a:p>
          <a:r>
            <a:rPr lang="en-US" b="1"/>
            <a:t>Policy Limits</a:t>
          </a:r>
          <a:r>
            <a:rPr lang="en-US"/>
            <a:t>: Vary from $500,000 to $10,000,000.</a:t>
          </a:r>
        </a:p>
        <a:p>
          <a:r>
            <a:rPr lang="en-US" b="1"/>
            <a:t>Deductibles</a:t>
          </a:r>
          <a:r>
            <a:rPr lang="en-US"/>
            <a:t>: Range from $10,000 to $50,000.</a:t>
          </a:r>
        </a:p>
        <a:p>
          <a:r>
            <a:rPr lang="en-US" b="1"/>
            <a:t>Claim Status</a:t>
          </a:r>
          <a:r>
            <a:rPr lang="en-US"/>
            <a:t>: 65 claims are closed, with the remainder either open or in litigation.</a:t>
          </a:r>
          <a:br>
            <a:rPr lang="en-US"/>
          </a:br>
          <a:endParaRPr lang="en-US"/>
        </a:p>
        <a:p>
          <a:r>
            <a:rPr lang="en-US" b="1"/>
            <a:t>3. Exploratory Data Analysis (EDA)</a:t>
          </a:r>
        </a:p>
        <a:p>
          <a:r>
            <a:rPr lang="en-US"/>
            <a:t>The claims data shows that:</a:t>
          </a:r>
        </a:p>
        <a:p>
          <a:r>
            <a:rPr lang="en-US" b="1"/>
            <a:t>Collision and Environmental</a:t>
          </a:r>
          <a:r>
            <a:rPr lang="en-US" b="1" baseline="0"/>
            <a:t> Pollution</a:t>
          </a:r>
          <a:r>
            <a:rPr lang="en-US" b="1"/>
            <a:t> Liability</a:t>
          </a:r>
          <a:r>
            <a:rPr lang="en-US"/>
            <a:t> claims are the most frequent, accounting for over 43% of all claims.</a:t>
          </a:r>
        </a:p>
        <a:p>
          <a:r>
            <a:rPr lang="en-US"/>
            <a:t>The </a:t>
          </a:r>
          <a:r>
            <a:rPr lang="en-US" b="1"/>
            <a:t>highest severity</a:t>
          </a:r>
          <a:r>
            <a:rPr lang="en-US"/>
            <a:t> claims are in </a:t>
          </a:r>
          <a:r>
            <a:rPr lang="en-US" b="1"/>
            <a:t>Environmental Pollution</a:t>
          </a:r>
          <a:r>
            <a:rPr lang="en-US"/>
            <a:t>, with one large loss event exceeding $5 million.</a:t>
          </a:r>
        </a:p>
        <a:p>
          <a:r>
            <a:rPr lang="en-US" b="1"/>
            <a:t>Claims Frequency</a:t>
          </a:r>
          <a:r>
            <a:rPr lang="en-US"/>
            <a:t>: Steady growth over the years, with a noticeable increase in 2020 due to cargo liability claims.</a:t>
          </a:r>
        </a:p>
        <a:p>
          <a:r>
            <a:rPr lang="en-US" b="1"/>
            <a:t>Outliers</a:t>
          </a:r>
          <a:r>
            <a:rPr lang="en-US"/>
            <a:t>: The large loss claim in 2021 is significantly higher than other claims and will require special handling in the premium calculation.</a:t>
          </a:r>
          <a:br>
            <a:rPr lang="en-US"/>
          </a:br>
          <a:endParaRPr lang="en-US"/>
        </a:p>
        <a:p>
          <a:r>
            <a:rPr lang="en-US" b="1">
              <a:solidFill>
                <a:sysClr val="windowText" lastClr="000000"/>
              </a:solidFill>
            </a:rPr>
            <a:t>4. Risk Assessment</a:t>
          </a:r>
        </a:p>
        <a:p>
          <a:r>
            <a:rPr lang="en-US">
              <a:solidFill>
                <a:sysClr val="windowText" lastClr="000000"/>
              </a:solidFill>
            </a:rPr>
            <a:t>Based on the historical claims data:</a:t>
          </a:r>
        </a:p>
        <a:p>
          <a:r>
            <a:rPr lang="en-US" b="1">
              <a:solidFill>
                <a:sysClr val="windowText" lastClr="000000"/>
              </a:solidFill>
            </a:rPr>
            <a:t>Loss Severity</a:t>
          </a:r>
          <a:r>
            <a:rPr lang="en-US">
              <a:solidFill>
                <a:sysClr val="windowText" lastClr="000000"/>
              </a:solidFill>
            </a:rPr>
            <a:t> </a:t>
          </a:r>
          <a:r>
            <a:rPr lang="en-US" b="1" i="0">
              <a:solidFill>
                <a:sysClr val="windowText" lastClr="000000"/>
              </a:solidFill>
            </a:rPr>
            <a:t>by claim</a:t>
          </a:r>
          <a:r>
            <a:rPr lang="en-US" b="1" i="0" baseline="0">
              <a:solidFill>
                <a:sysClr val="windowText" lastClr="000000"/>
              </a:solidFill>
            </a:rPr>
            <a:t> type </a:t>
          </a:r>
          <a:r>
            <a:rPr lang="en-US">
              <a:solidFill>
                <a:sysClr val="windowText" lastClr="000000"/>
              </a:solidFill>
            </a:rPr>
            <a:t>(adjusted for inflation):</a:t>
          </a:r>
        </a:p>
        <a:p>
          <a:pPr lvl="1"/>
          <a:r>
            <a:rPr lang="en-US">
              <a:solidFill>
                <a:sysClr val="windowText" lastClr="000000"/>
              </a:solidFill>
            </a:rPr>
            <a:t>Collision Liability : $575,994</a:t>
          </a:r>
        </a:p>
        <a:p>
          <a:pPr lvl="1"/>
          <a:r>
            <a:rPr lang="en-US">
              <a:solidFill>
                <a:sysClr val="windowText" lastClr="000000"/>
              </a:solidFill>
            </a:rPr>
            <a:t>Cargo Liability: $590,583</a:t>
          </a:r>
        </a:p>
        <a:p>
          <a:pPr lvl="1"/>
          <a:r>
            <a:rPr lang="en-US">
              <a:solidFill>
                <a:sysClr val="windowText" lastClr="000000"/>
              </a:solidFill>
            </a:rPr>
            <a:t>Damage</a:t>
          </a:r>
          <a:r>
            <a:rPr lang="en-US" baseline="0">
              <a:solidFill>
                <a:sysClr val="windowText" lastClr="000000"/>
              </a:solidFill>
            </a:rPr>
            <a:t> to other vessels: $632,910</a:t>
          </a:r>
          <a:endParaRPr lang="en-US">
            <a:solidFill>
              <a:sysClr val="windowText" lastClr="000000"/>
            </a:solidFill>
          </a:endParaRPr>
        </a:p>
        <a:p>
          <a:pPr lvl="1"/>
          <a:r>
            <a:rPr lang="en-US">
              <a:solidFill>
                <a:sysClr val="windowText" lastClr="000000"/>
              </a:solidFill>
            </a:rPr>
            <a:t>Environmental Pollution: $857,386</a:t>
          </a:r>
        </a:p>
        <a:p>
          <a:pPr lvl="1"/>
          <a:r>
            <a:rPr lang="en-US">
              <a:solidFill>
                <a:sysClr val="windowText" lastClr="000000"/>
              </a:solidFill>
            </a:rPr>
            <a:t>Injury</a:t>
          </a:r>
          <a:r>
            <a:rPr lang="en-US" baseline="0">
              <a:solidFill>
                <a:sysClr val="windowText" lastClr="000000"/>
              </a:solidFill>
            </a:rPr>
            <a:t> to third parties: $469,272</a:t>
          </a:r>
        </a:p>
        <a:p>
          <a:pPr lvl="1"/>
          <a:endParaRPr lang="en-US">
            <a:solidFill>
              <a:sysClr val="windowText" lastClr="000000"/>
            </a:solidFill>
          </a:endParaRPr>
        </a:p>
        <a:p>
          <a:r>
            <a:rPr lang="en-US" sz="1100" b="1">
              <a:solidFill>
                <a:sysClr val="windowText" lastClr="000000"/>
              </a:solidFill>
              <a:effectLst/>
              <a:latin typeface="+mn-lt"/>
              <a:ea typeface="+mn-ea"/>
              <a:cs typeface="+mn-cs"/>
            </a:rPr>
            <a:t>Claim count </a:t>
          </a:r>
          <a:r>
            <a:rPr lang="en-US" sz="1100" b="1" i="0">
              <a:solidFill>
                <a:sysClr val="windowText" lastClr="000000"/>
              </a:solidFill>
              <a:effectLst/>
              <a:latin typeface="+mn-lt"/>
              <a:ea typeface="+mn-ea"/>
              <a:cs typeface="+mn-cs"/>
            </a:rPr>
            <a:t>by claim</a:t>
          </a:r>
          <a:r>
            <a:rPr lang="en-US" sz="1100" b="1" i="0" baseline="0">
              <a:solidFill>
                <a:sysClr val="windowText" lastClr="000000"/>
              </a:solidFill>
              <a:effectLst/>
              <a:latin typeface="+mn-lt"/>
              <a:ea typeface="+mn-ea"/>
              <a:cs typeface="+mn-cs"/>
            </a:rPr>
            <a:t> type </a:t>
          </a:r>
          <a:r>
            <a:rPr lang="en-US" sz="1100">
              <a:solidFill>
                <a:sysClr val="windowText" lastClr="000000"/>
              </a:solidFill>
              <a:effectLst/>
              <a:latin typeface="+mn-lt"/>
              <a:ea typeface="+mn-ea"/>
              <a:cs typeface="+mn-cs"/>
            </a:rPr>
            <a:t>(adjusted for inflation):</a:t>
          </a:r>
          <a:endParaRPr lang="en-GB">
            <a:solidFill>
              <a:sysClr val="windowText" lastClr="000000"/>
            </a:solidFill>
            <a:effectLst/>
          </a:endParaRPr>
        </a:p>
        <a:p>
          <a:r>
            <a:rPr lang="en-US" sz="1100">
              <a:solidFill>
                <a:sysClr val="windowText" lastClr="000000"/>
              </a:solidFill>
              <a:effectLst/>
              <a:latin typeface="+mn-lt"/>
              <a:ea typeface="+mn-ea"/>
              <a:cs typeface="+mn-cs"/>
            </a:rPr>
            <a:t>                  Collision Liability: </a:t>
          </a:r>
          <a:r>
            <a:rPr lang="en-GB" sz="1100">
              <a:solidFill>
                <a:sysClr val="windowText" lastClr="000000"/>
              </a:solidFill>
              <a:effectLst/>
              <a:latin typeface="+mn-lt"/>
              <a:ea typeface="+mn-ea"/>
              <a:cs typeface="+mn-cs"/>
            </a:rPr>
            <a:t>21</a:t>
          </a:r>
          <a:endParaRPr lang="en-GB">
            <a:solidFill>
              <a:sysClr val="windowText" lastClr="000000"/>
            </a:solidFill>
            <a:effectLst/>
          </a:endParaRPr>
        </a:p>
        <a:p>
          <a:r>
            <a:rPr lang="en-US" sz="1100">
              <a:solidFill>
                <a:sysClr val="windowText" lastClr="000000"/>
              </a:solidFill>
              <a:effectLst/>
              <a:latin typeface="+mn-lt"/>
              <a:ea typeface="+mn-ea"/>
              <a:cs typeface="+mn-cs"/>
            </a:rPr>
            <a:t>                  Cargo Liability: </a:t>
          </a:r>
          <a:r>
            <a:rPr lang="en-GB" sz="1100">
              <a:solidFill>
                <a:sysClr val="windowText" lastClr="000000"/>
              </a:solidFill>
              <a:effectLst/>
              <a:latin typeface="+mn-lt"/>
              <a:ea typeface="+mn-ea"/>
              <a:cs typeface="+mn-cs"/>
            </a:rPr>
            <a:t>19</a:t>
          </a:r>
          <a:endParaRPr lang="en-GB">
            <a:solidFill>
              <a:sysClr val="windowText" lastClr="000000"/>
            </a:solidFill>
            <a:effectLst/>
          </a:endParaRPr>
        </a:p>
        <a:p>
          <a:r>
            <a:rPr lang="en-US" sz="1100">
              <a:solidFill>
                <a:sysClr val="windowText" lastClr="000000"/>
              </a:solidFill>
              <a:effectLst/>
              <a:latin typeface="+mn-lt"/>
              <a:ea typeface="+mn-ea"/>
              <a:cs typeface="+mn-cs"/>
            </a:rPr>
            <a:t>                  Damage</a:t>
          </a:r>
          <a:r>
            <a:rPr lang="en-US" sz="1100" baseline="0">
              <a:solidFill>
                <a:sysClr val="windowText" lastClr="000000"/>
              </a:solidFill>
              <a:effectLst/>
              <a:latin typeface="+mn-lt"/>
              <a:ea typeface="+mn-ea"/>
              <a:cs typeface="+mn-cs"/>
            </a:rPr>
            <a:t> to other vessels: </a:t>
          </a:r>
          <a:r>
            <a:rPr lang="en-GB" sz="1100" baseline="0">
              <a:solidFill>
                <a:sysClr val="windowText" lastClr="000000"/>
              </a:solidFill>
              <a:effectLst/>
              <a:latin typeface="+mn-lt"/>
              <a:ea typeface="+mn-ea"/>
              <a:cs typeface="+mn-cs"/>
            </a:rPr>
            <a:t>20</a:t>
          </a:r>
          <a:endParaRPr lang="en-GB">
            <a:solidFill>
              <a:sysClr val="windowText" lastClr="000000"/>
            </a:solidFill>
            <a:effectLst/>
          </a:endParaRPr>
        </a:p>
        <a:p>
          <a:r>
            <a:rPr lang="en-US" sz="1100">
              <a:solidFill>
                <a:sysClr val="windowText" lastClr="000000"/>
              </a:solidFill>
              <a:effectLst/>
              <a:latin typeface="+mn-lt"/>
              <a:ea typeface="+mn-ea"/>
              <a:cs typeface="+mn-cs"/>
            </a:rPr>
            <a:t>                  Environmental Pollution: </a:t>
          </a:r>
          <a:r>
            <a:rPr lang="en-GB" sz="1100">
              <a:solidFill>
                <a:sysClr val="windowText" lastClr="000000"/>
              </a:solidFill>
              <a:effectLst/>
              <a:latin typeface="+mn-lt"/>
              <a:ea typeface="+mn-ea"/>
              <a:cs typeface="+mn-cs"/>
            </a:rPr>
            <a:t>22</a:t>
          </a:r>
          <a:endParaRPr lang="en-GB">
            <a:solidFill>
              <a:sysClr val="windowText" lastClr="000000"/>
            </a:solidFill>
            <a:effectLst/>
          </a:endParaRPr>
        </a:p>
        <a:p>
          <a:r>
            <a:rPr lang="en-US" sz="1100">
              <a:solidFill>
                <a:sysClr val="windowText" lastClr="000000"/>
              </a:solidFill>
              <a:effectLst/>
              <a:latin typeface="+mn-lt"/>
              <a:ea typeface="+mn-ea"/>
              <a:cs typeface="+mn-cs"/>
            </a:rPr>
            <a:t>                  Injury</a:t>
          </a:r>
          <a:r>
            <a:rPr lang="en-US" sz="1100" baseline="0">
              <a:solidFill>
                <a:sysClr val="windowText" lastClr="000000"/>
              </a:solidFill>
              <a:effectLst/>
              <a:latin typeface="+mn-lt"/>
              <a:ea typeface="+mn-ea"/>
              <a:cs typeface="+mn-cs"/>
            </a:rPr>
            <a:t> to third parties: </a:t>
          </a:r>
          <a:r>
            <a:rPr lang="en-GB" sz="1100" baseline="0">
              <a:solidFill>
                <a:sysClr val="windowText" lastClr="000000"/>
              </a:solidFill>
              <a:effectLst/>
              <a:latin typeface="+mn-lt"/>
              <a:ea typeface="+mn-ea"/>
              <a:cs typeface="+mn-cs"/>
            </a:rPr>
            <a:t>18</a:t>
          </a:r>
          <a:endParaRPr lang="en-GB">
            <a:solidFill>
              <a:sysClr val="windowText" lastClr="000000"/>
            </a:solidFill>
            <a:effectLst/>
          </a:endParaRPr>
        </a:p>
        <a:p>
          <a:endParaRPr lang="en-US" b="1">
            <a:solidFill>
              <a:sysClr val="windowText" lastClr="000000"/>
            </a:solidFill>
          </a:endParaRPr>
        </a:p>
        <a:p>
          <a:r>
            <a:rPr lang="en-US" b="1">
              <a:solidFill>
                <a:sysClr val="windowText" lastClr="000000"/>
              </a:solidFill>
            </a:rPr>
            <a:t>Key Findings</a:t>
          </a:r>
          <a:r>
            <a:rPr lang="en-US">
              <a:solidFill>
                <a:sysClr val="windowText" lastClr="000000"/>
              </a:solidFill>
            </a:rPr>
            <a:t>: Environmental Pollution poses the highest risk due to its potential for catastrophic losses, and is also the most frequent</a:t>
          </a:r>
          <a:r>
            <a:rPr lang="en-US" baseline="0">
              <a:solidFill>
                <a:sysClr val="windowText" lastClr="000000"/>
              </a:solidFill>
            </a:rPr>
            <a:t> claim type observed.</a:t>
          </a:r>
          <a:r>
            <a:rPr lang="en-US">
              <a:solidFill>
                <a:sysClr val="windowText" lastClr="000000"/>
              </a:solidFill>
            </a:rPr>
            <a:t> Collision</a:t>
          </a:r>
          <a:r>
            <a:rPr lang="en-US" baseline="0">
              <a:solidFill>
                <a:sysClr val="windowText" lastClr="000000"/>
              </a:solidFill>
            </a:rPr>
            <a:t> Liability, </a:t>
          </a:r>
          <a:r>
            <a:rPr lang="en-US">
              <a:solidFill>
                <a:sysClr val="windowText" lastClr="000000"/>
              </a:solidFill>
            </a:rPr>
            <a:t>Cargo Liability, though  frequent, have lower severities.</a:t>
          </a:r>
        </a:p>
        <a:p>
          <a:endParaRPr lang="en-US">
            <a:solidFill>
              <a:sysClr val="windowText" lastClr="000000"/>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mn-lt"/>
              <a:ea typeface="+mn-ea"/>
              <a:cs typeface="+mn-cs"/>
            </a:rPr>
            <a:t>Summary by cause of loss:</a:t>
          </a:r>
          <a:endParaRPr lang="en-US">
            <a:solidFill>
              <a:sysClr val="windowText" lastClr="000000"/>
            </a:solidFill>
          </a:endParaRPr>
        </a:p>
        <a:p>
          <a:r>
            <a:rPr lang="en-US">
              <a:solidFill>
                <a:sysClr val="windowText" lastClr="000000"/>
              </a:solidFill>
            </a:rPr>
            <a:t>The most frequent</a:t>
          </a:r>
          <a:r>
            <a:rPr lang="en-US" baseline="0">
              <a:solidFill>
                <a:sysClr val="windowText" lastClr="000000"/>
              </a:solidFill>
            </a:rPr>
            <a:t> cause of loss is Technical failure followed by human error. While both of these are high frequency events, they have the lowest severity compared to the other causes of loss.</a:t>
          </a:r>
        </a:p>
        <a:p>
          <a:endParaRPr lang="en-US" baseline="0">
            <a:solidFill>
              <a:sysClr val="windowText" lastClr="000000"/>
            </a:solidFill>
          </a:endParaRPr>
        </a:p>
        <a:p>
          <a:r>
            <a:rPr lang="en-US" b="1" baseline="0">
              <a:solidFill>
                <a:sysClr val="windowText" lastClr="000000"/>
              </a:solidFill>
            </a:rPr>
            <a:t>Summary by loss location:</a:t>
          </a:r>
        </a:p>
        <a:p>
          <a:r>
            <a:rPr lang="en-US" baseline="0">
              <a:solidFill>
                <a:sysClr val="windowText" lastClr="000000"/>
              </a:solidFill>
            </a:rPr>
            <a:t>The most common loss location is in the Atlantic ocean accounting for 23% of claims. This also is the highest severity loss location, which is partly due to the occurrence of a $5m loss in this location.</a:t>
          </a:r>
        </a:p>
        <a:p>
          <a:endParaRPr lang="en-US"/>
        </a:p>
        <a:p>
          <a:r>
            <a:rPr lang="en-US" b="1"/>
            <a:t>Assumptions</a:t>
          </a:r>
          <a:r>
            <a:rPr lang="en-US"/>
            <a:t>:</a:t>
          </a:r>
        </a:p>
        <a:p>
          <a:r>
            <a:rPr lang="en-US" b="1"/>
            <a:t>Commission</a:t>
          </a:r>
          <a:r>
            <a:rPr lang="en-US"/>
            <a:t> is set to </a:t>
          </a:r>
          <a:r>
            <a:rPr lang="en-US" b="1"/>
            <a:t>0%</a:t>
          </a:r>
          <a:r>
            <a:rPr lang="en-US"/>
            <a:t>.</a:t>
          </a:r>
        </a:p>
        <a:p>
          <a:r>
            <a:rPr lang="en-US"/>
            <a:t>No adjustments are required for </a:t>
          </a:r>
          <a:r>
            <a:rPr lang="en-US" b="1"/>
            <a:t>claims development patterns</a:t>
          </a:r>
          <a:r>
            <a:rPr lang="en-US"/>
            <a:t>.</a:t>
          </a:r>
        </a:p>
        <a:p>
          <a:r>
            <a:rPr lang="en-US"/>
            <a:t>The policy period runs from </a:t>
          </a:r>
          <a:r>
            <a:rPr lang="en-US" b="1"/>
            <a:t>1/1 – 31/12 each year</a:t>
          </a:r>
          <a:r>
            <a:rPr lang="en-US"/>
            <a:t>.</a:t>
          </a:r>
          <a:br>
            <a:rPr lang="en-US"/>
          </a:br>
          <a:endParaRPr lang="en-US"/>
        </a:p>
        <a:p>
          <a:r>
            <a:rPr lang="en-US" b="1"/>
            <a:t>5. Premium Calculation by Year</a:t>
          </a:r>
        </a:p>
        <a:p>
          <a:endParaRPr lang="en-US" b="1"/>
        </a:p>
        <a:p>
          <a:r>
            <a:rPr lang="en-US" sz="1100" b="1">
              <a:solidFill>
                <a:schemeClr val="tx1"/>
              </a:solidFill>
              <a:effectLst/>
              <a:latin typeface="+mn-lt"/>
              <a:ea typeface="+mn-ea"/>
              <a:cs typeface="+mn-cs"/>
            </a:rPr>
            <a:t>Claim Frequency and Severity</a:t>
          </a:r>
          <a:endParaRPr lang="en-GB">
            <a:effectLst/>
          </a:endParaRPr>
        </a:p>
        <a:p>
          <a:r>
            <a:rPr lang="en-US" sz="1100">
              <a:solidFill>
                <a:schemeClr val="tx1"/>
              </a:solidFill>
              <a:effectLst/>
              <a:latin typeface="+mn-lt"/>
              <a:ea typeface="+mn-ea"/>
              <a:cs typeface="+mn-cs"/>
            </a:rPr>
            <a:t>Claim frequency is calculated by dividing the number of claims by the exposure at risk for each year, and claim severity is calculated as the sum of net incurred claims divided by the number of claims</a:t>
          </a:r>
          <a:r>
            <a:rPr lang="en-US" sz="1100" baseline="0">
              <a:solidFill>
                <a:schemeClr val="tx1"/>
              </a:solidFill>
              <a:effectLst/>
              <a:latin typeface="+mn-lt"/>
              <a:ea typeface="+mn-ea"/>
              <a:cs typeface="+mn-cs"/>
            </a:rPr>
            <a:t> in that period. In this case, our exposure is gross tonnage.</a:t>
          </a:r>
          <a:r>
            <a:rPr lang="en-GB" sz="1100" baseline="0">
              <a:solidFill>
                <a:schemeClr val="tx1"/>
              </a:solidFill>
              <a:effectLst/>
              <a:latin typeface="+mn-lt"/>
              <a:ea typeface="+mn-ea"/>
              <a:cs typeface="+mn-cs"/>
            </a:rPr>
            <a:t> </a:t>
          </a:r>
          <a:r>
            <a:rPr lang="en-US" sz="1100">
              <a:solidFill>
                <a:schemeClr val="tx1"/>
              </a:solidFill>
              <a:effectLst/>
              <a:latin typeface="+mn-lt"/>
              <a:ea typeface="+mn-ea"/>
              <a:cs typeface="+mn-cs"/>
            </a:rPr>
            <a:t>Loss frequency gives us an understanding of how often claims occur, while loss severity gives insight into the financial impact of each claim. These metrics are adjusted for inflation to provide a more accurate reflection of the cost of claims in the upcoming</a:t>
          </a:r>
          <a:r>
            <a:rPr lang="en-US" sz="1100" baseline="0">
              <a:solidFill>
                <a:schemeClr val="tx1"/>
              </a:solidFill>
              <a:effectLst/>
              <a:latin typeface="+mn-lt"/>
              <a:ea typeface="+mn-ea"/>
              <a:cs typeface="+mn-cs"/>
            </a:rPr>
            <a:t> policy period that is being priced.</a:t>
          </a:r>
          <a:endParaRPr lang="en-GB">
            <a:effectLst/>
          </a:endParaRPr>
        </a:p>
        <a:p>
          <a:endParaRPr lang="en-US" b="1"/>
        </a:p>
        <a:p>
          <a:r>
            <a:rPr lang="en-US"/>
            <a:t>The </a:t>
          </a:r>
          <a:r>
            <a:rPr lang="en-US" b="1"/>
            <a:t>expected</a:t>
          </a:r>
          <a:r>
            <a:rPr lang="en-US" b="1" baseline="0"/>
            <a:t> loss per unit of gross tonnage </a:t>
          </a:r>
          <a:r>
            <a:rPr lang="en-US"/>
            <a:t>was calculated for each year using historical loss</a:t>
          </a:r>
          <a:r>
            <a:rPr lang="en-US" baseline="0"/>
            <a:t> frequency </a:t>
          </a:r>
          <a:r>
            <a:rPr lang="en-US"/>
            <a:t>and severity, adjusted for inflation:</a:t>
          </a:r>
        </a:p>
        <a:p>
          <a:endParaRPr lang="en-US"/>
        </a:p>
        <a:p>
          <a:r>
            <a:rPr lang="en-US" b="1"/>
            <a:t>Claim Year	Loss Frequency    Loss Severity      Expected</a:t>
          </a:r>
          <a:r>
            <a:rPr lang="en-US" b="1" baseline="0"/>
            <a:t> Loss per Unit of Gross Tonnage</a:t>
          </a:r>
          <a:br>
            <a:rPr lang="en-US" b="1"/>
          </a:br>
          <a:r>
            <a:rPr lang="en-US" b="0"/>
            <a:t>2018</a:t>
          </a:r>
          <a:r>
            <a:rPr lang="en-US" baseline="0"/>
            <a:t>         </a:t>
          </a:r>
          <a:r>
            <a:rPr lang="en-US"/>
            <a:t>               </a:t>
          </a:r>
          <a:r>
            <a:rPr lang="en-US" sz="1100" b="0" i="0" u="none" strike="noStrike">
              <a:solidFill>
                <a:schemeClr val="tx1"/>
              </a:solidFill>
              <a:effectLst/>
              <a:latin typeface="+mn-lt"/>
              <a:ea typeface="+mn-ea"/>
              <a:cs typeface="+mn-cs"/>
            </a:rPr>
            <a:t>   0.000000222 </a:t>
          </a:r>
          <a:r>
            <a:rPr lang="en-US"/>
            <a:t>             $642,823	</a:t>
          </a:r>
          <a:r>
            <a:rPr lang="en-US" baseline="0"/>
            <a:t>       $0.14</a:t>
          </a:r>
          <a:endParaRPr lang="en-US"/>
        </a:p>
        <a:p>
          <a:r>
            <a:rPr lang="en-US"/>
            <a:t>2019                           </a:t>
          </a:r>
          <a:r>
            <a:rPr lang="en-US" sz="1100" b="0" i="0" u="none" strike="noStrike">
              <a:solidFill>
                <a:schemeClr val="tx1"/>
              </a:solidFill>
              <a:effectLst/>
              <a:latin typeface="+mn-lt"/>
              <a:ea typeface="+mn-ea"/>
              <a:cs typeface="+mn-cs"/>
            </a:rPr>
            <a:t>0.000000347 </a:t>
          </a:r>
          <a:r>
            <a:rPr lang="en-US"/>
            <a:t>             $609,717            $0.21</a:t>
          </a:r>
        </a:p>
        <a:p>
          <a:r>
            <a:rPr lang="en-US"/>
            <a:t>2020                           </a:t>
          </a:r>
          <a:r>
            <a:rPr lang="en-US" sz="1100" b="0" i="0" u="none" strike="noStrike">
              <a:solidFill>
                <a:schemeClr val="tx1"/>
              </a:solidFill>
              <a:effectLst/>
              <a:latin typeface="+mn-lt"/>
              <a:ea typeface="+mn-ea"/>
              <a:cs typeface="+mn-cs"/>
            </a:rPr>
            <a:t>0.000000479 </a:t>
          </a:r>
          <a:r>
            <a:rPr lang="en-US"/>
            <a:t>             </a:t>
          </a:r>
          <a:r>
            <a:rPr lang="en-US" baseline="0"/>
            <a:t>$603,662</a:t>
          </a:r>
          <a:r>
            <a:rPr lang="en-US"/>
            <a:t>            $0.29</a:t>
          </a:r>
        </a:p>
        <a:p>
          <a:r>
            <a:rPr lang="en-US"/>
            <a:t>2021                           </a:t>
          </a:r>
          <a:r>
            <a:rPr lang="en-US" sz="1100" b="0" i="0" u="none" strike="noStrike">
              <a:solidFill>
                <a:schemeClr val="tx1"/>
              </a:solidFill>
              <a:effectLst/>
              <a:latin typeface="+mn-lt"/>
              <a:ea typeface="+mn-ea"/>
              <a:cs typeface="+mn-cs"/>
            </a:rPr>
            <a:t>0.000000482 </a:t>
          </a:r>
          <a:r>
            <a:rPr lang="en-US"/>
            <a:t>            </a:t>
          </a:r>
          <a:r>
            <a:rPr lang="en-US" baseline="0"/>
            <a:t> $598,316</a:t>
          </a:r>
          <a:r>
            <a:rPr lang="en-US"/>
            <a:t>            $0.29</a:t>
          </a:r>
        </a:p>
        <a:p>
          <a:r>
            <a:rPr lang="en-US"/>
            <a:t>2022                           </a:t>
          </a:r>
          <a:r>
            <a:rPr lang="en-US" sz="1100" b="0" i="0" u="none" strike="noStrike">
              <a:solidFill>
                <a:schemeClr val="tx1"/>
              </a:solidFill>
              <a:effectLst/>
              <a:latin typeface="+mn-lt"/>
              <a:ea typeface="+mn-ea"/>
              <a:cs typeface="+mn-cs"/>
            </a:rPr>
            <a:t>0.000000367 </a:t>
          </a:r>
          <a:r>
            <a:rPr lang="en-US"/>
            <a:t>             $609,484            $0.22</a:t>
          </a:r>
        </a:p>
        <a:p>
          <a:r>
            <a:rPr lang="en-US"/>
            <a:t>2023                           </a:t>
          </a:r>
          <a:r>
            <a:rPr lang="en-US" sz="1100" b="0" i="0" u="none" strike="noStrike">
              <a:solidFill>
                <a:schemeClr val="tx1"/>
              </a:solidFill>
              <a:effectLst/>
              <a:latin typeface="+mn-lt"/>
              <a:ea typeface="+mn-ea"/>
              <a:cs typeface="+mn-cs"/>
            </a:rPr>
            <a:t>0.000000358 	</a:t>
          </a:r>
          <a:r>
            <a:rPr lang="en-US" sz="1100" b="0" i="0" u="none" strike="noStrike" baseline="0">
              <a:solidFill>
                <a:schemeClr val="tx1"/>
              </a:solidFill>
              <a:effectLst/>
              <a:latin typeface="+mn-lt"/>
              <a:ea typeface="+mn-ea"/>
              <a:cs typeface="+mn-cs"/>
            </a:rPr>
            <a:t>          $465,367.           $0.17</a:t>
          </a:r>
          <a:endParaRPr lang="en-US"/>
        </a:p>
        <a:p>
          <a:endParaRPr lang="en-US"/>
        </a:p>
        <a:p>
          <a:r>
            <a:rPr lang="en-US" b="1"/>
            <a:t>Average Frequency:</a:t>
          </a:r>
          <a:r>
            <a:rPr lang="en-US" sz="1100" b="0" i="0" u="none" strike="noStrike">
              <a:solidFill>
                <a:schemeClr val="tx1"/>
              </a:solidFill>
              <a:effectLst/>
              <a:latin typeface="+mn-lt"/>
              <a:ea typeface="+mn-ea"/>
              <a:cs typeface="+mn-cs"/>
            </a:rPr>
            <a:t>  </a:t>
          </a:r>
          <a:r>
            <a:rPr lang="en-US" sz="1100" b="1" i="0" u="none" strike="noStrike">
              <a:solidFill>
                <a:schemeClr val="tx1"/>
              </a:solidFill>
              <a:effectLst/>
              <a:latin typeface="+mn-lt"/>
              <a:ea typeface="+mn-ea"/>
              <a:cs typeface="+mn-cs"/>
            </a:rPr>
            <a:t>0.000000376</a:t>
          </a:r>
          <a:r>
            <a:rPr lang="en-US" sz="1100" b="0" i="0" u="none" strike="noStrike">
              <a:solidFill>
                <a:schemeClr val="tx1"/>
              </a:solidFill>
              <a:effectLst/>
              <a:latin typeface="+mn-lt"/>
              <a:ea typeface="+mn-ea"/>
              <a:cs typeface="+mn-cs"/>
            </a:rPr>
            <a:t> </a:t>
          </a:r>
          <a:endParaRPr lang="en-US" b="1"/>
        </a:p>
        <a:p>
          <a:r>
            <a:rPr lang="en-US" b="1"/>
            <a:t>Average Severity per Claim:  $588,228</a:t>
          </a:r>
        </a:p>
        <a:p>
          <a:r>
            <a:rPr lang="en-US" b="1"/>
            <a:t>2024 Expected</a:t>
          </a:r>
          <a:r>
            <a:rPr lang="en-US" b="1" baseline="0"/>
            <a:t> Gross Tonnage: 40,000,000</a:t>
          </a:r>
          <a:endParaRPr lang="en-US" b="1"/>
        </a:p>
        <a:p>
          <a:r>
            <a:rPr lang="en-US" b="1"/>
            <a:t>Total Risk Premium excl. large loss loading: $</a:t>
          </a:r>
          <a:r>
            <a:rPr lang="en-US" sz="1100" b="1" i="0" u="none" strike="noStrike">
              <a:solidFill>
                <a:schemeClr val="tx1"/>
              </a:solidFill>
              <a:effectLst/>
              <a:latin typeface="+mn-lt"/>
              <a:ea typeface="+mn-ea"/>
              <a:cs typeface="+mn-cs"/>
            </a:rPr>
            <a:t>8,841,969.38</a:t>
          </a:r>
          <a:br>
            <a:rPr lang="en-US"/>
          </a:br>
          <a:r>
            <a:rPr lang="en-US" sz="1100" b="1">
              <a:solidFill>
                <a:schemeClr val="tx1"/>
              </a:solidFill>
              <a:effectLst/>
              <a:latin typeface="+mn-lt"/>
              <a:ea typeface="+mn-ea"/>
              <a:cs typeface="+mn-cs"/>
            </a:rPr>
            <a:t>Total Risk Premium incl. large loss loading: $</a:t>
          </a:r>
          <a:r>
            <a:rPr lang="en-GB" sz="1100" b="1" i="0" u="none" strike="noStrike">
              <a:solidFill>
                <a:schemeClr val="tx1"/>
              </a:solidFill>
              <a:effectLst/>
              <a:latin typeface="+mn-lt"/>
              <a:ea typeface="+mn-ea"/>
              <a:cs typeface="+mn-cs"/>
            </a:rPr>
            <a:t>9,104,666.75</a:t>
          </a:r>
          <a:r>
            <a:rPr lang="en-GB"/>
            <a:t> </a:t>
          </a:r>
          <a:endParaRPr lang="en-GB" sz="1100" b="1" i="0" u="none" strike="noStrike">
            <a:solidFill>
              <a:schemeClr val="tx1"/>
            </a:solidFill>
            <a:effectLst/>
            <a:latin typeface="+mn-lt"/>
            <a:ea typeface="+mn-ea"/>
            <a:cs typeface="+mn-cs"/>
          </a:endParaRPr>
        </a:p>
        <a:p>
          <a:endParaRPr lang="en-GB" sz="1100" b="1" i="0" u="none" strike="noStrike">
            <a:solidFill>
              <a:schemeClr val="tx1"/>
            </a:solidFill>
            <a:effectLst/>
            <a:latin typeface="+mn-lt"/>
            <a:ea typeface="+mn-ea"/>
            <a:cs typeface="+mn-cs"/>
          </a:endParaRPr>
        </a:p>
        <a:p>
          <a:r>
            <a:rPr lang="en-US" b="1"/>
            <a:t>Adjustments:</a:t>
          </a:r>
        </a:p>
        <a:p>
          <a:r>
            <a:rPr lang="en-US" b="1"/>
            <a:t>Expense Loading</a:t>
          </a:r>
          <a:r>
            <a:rPr lang="en-US"/>
            <a:t>: 30%</a:t>
          </a:r>
        </a:p>
        <a:p>
          <a:r>
            <a:rPr lang="en-US" b="1"/>
            <a:t>Profit Margin</a:t>
          </a:r>
          <a:r>
            <a:rPr lang="en-US"/>
            <a:t>: 10%</a:t>
          </a:r>
        </a:p>
        <a:p>
          <a:r>
            <a:rPr lang="en-US" b="1"/>
            <a:t>Commission: </a:t>
          </a:r>
          <a:r>
            <a:rPr lang="en-US"/>
            <a:t>Nil</a:t>
          </a:r>
        </a:p>
        <a:p>
          <a:r>
            <a:rPr lang="en-US" b="1"/>
            <a:t>Large Loss Loading</a:t>
          </a:r>
          <a:r>
            <a:rPr lang="en-US"/>
            <a:t>: </a:t>
          </a:r>
          <a:r>
            <a:rPr lang="en-US" sz="1100" b="0" i="0" u="none" strike="noStrike">
              <a:solidFill>
                <a:schemeClr val="tx1"/>
              </a:solidFill>
              <a:effectLst/>
              <a:latin typeface="+mn-lt"/>
              <a:ea typeface="+mn-ea"/>
              <a:cs typeface="+mn-cs"/>
            </a:rPr>
            <a:t>A loading was applied to account for the environmental pollution event that has occurred. This has been removed from the data and added as a large loss loading to adjust for the longer expected return period of such events.</a:t>
          </a:r>
        </a:p>
        <a:p>
          <a:r>
            <a:rPr lang="en-US" b="1"/>
            <a:t>Final Premium:</a:t>
          </a:r>
        </a:p>
        <a:p>
          <a:pPr marL="0" marR="0" lvl="0" indent="0" defTabSz="914400" eaLnBrk="1" fontAlgn="auto" latinLnBrk="0" hangingPunct="1">
            <a:lnSpc>
              <a:spcPct val="100000"/>
            </a:lnSpc>
            <a:spcBef>
              <a:spcPts val="0"/>
            </a:spcBef>
            <a:spcAft>
              <a:spcPts val="0"/>
            </a:spcAft>
            <a:buClrTx/>
            <a:buSzTx/>
            <a:buFontTx/>
            <a:buNone/>
            <a:tabLst/>
            <a:defRPr/>
          </a:pPr>
          <a:r>
            <a:rPr lang="en-US"/>
            <a:t>Final Premium=Pure Premium×(1+Expense Loading)×(1+Profit Margin)=</a:t>
          </a:r>
          <a:r>
            <a:rPr lang="en-US" sz="1100" b="1">
              <a:solidFill>
                <a:schemeClr val="tx1"/>
              </a:solidFill>
              <a:effectLst/>
              <a:latin typeface="+mn-lt"/>
              <a:ea typeface="+mn-ea"/>
              <a:cs typeface="+mn-cs"/>
            </a:rPr>
            <a:t>$</a:t>
          </a:r>
          <a:r>
            <a:rPr lang="en-GB" sz="1100" b="1" i="0">
              <a:solidFill>
                <a:schemeClr val="tx1"/>
              </a:solidFill>
              <a:effectLst/>
              <a:latin typeface="+mn-lt"/>
              <a:ea typeface="+mn-ea"/>
              <a:cs typeface="+mn-cs"/>
            </a:rPr>
            <a:t>9,104,666.75</a:t>
          </a:r>
          <a:endParaRPr lang="en-GB">
            <a:effectLst/>
          </a:endParaRPr>
        </a:p>
        <a:p>
          <a:r>
            <a:rPr lang="en-US"/>
            <a:t>×1.30×1.10=</a:t>
          </a:r>
          <a:r>
            <a:rPr lang="en-US" sz="1100" b="1" i="0" u="none" strike="noStrike">
              <a:solidFill>
                <a:schemeClr val="tx1"/>
              </a:solidFill>
              <a:effectLst/>
              <a:latin typeface="+mn-lt"/>
              <a:ea typeface="+mn-ea"/>
              <a:cs typeface="+mn-cs"/>
            </a:rPr>
            <a:t>$13,019,673.45</a:t>
          </a:r>
          <a:r>
            <a:rPr lang="en-US"/>
            <a:t> </a:t>
          </a:r>
          <a:br>
            <a:rPr lang="en-US"/>
          </a:br>
          <a:br>
            <a:rPr lang="en-US"/>
          </a:br>
          <a:r>
            <a:rPr lang="en-US" b="1"/>
            <a:t>6. Sensitivity Analysis on a claim type</a:t>
          </a:r>
        </a:p>
        <a:p>
          <a:r>
            <a:rPr lang="en-US" b="1"/>
            <a:t>Scenario</a:t>
          </a:r>
          <a:r>
            <a:rPr lang="en-US"/>
            <a:t>: A 6% increase in the severity of </a:t>
          </a:r>
          <a:r>
            <a:rPr lang="en-US" b="1"/>
            <a:t>all </a:t>
          </a:r>
          <a:r>
            <a:rPr lang="en-US"/>
            <a:t>claims.</a:t>
          </a:r>
        </a:p>
        <a:p>
          <a:endParaRPr lang="en-US"/>
        </a:p>
        <a:p>
          <a:r>
            <a:rPr lang="en-US" sz="1100">
              <a:solidFill>
                <a:schemeClr val="tx1"/>
              </a:solidFill>
              <a:effectLst/>
              <a:latin typeface="+mn-lt"/>
              <a:ea typeface="+mn-ea"/>
              <a:cs typeface="+mn-cs"/>
            </a:rPr>
            <a:t>A sensitivity analysis was conducted to evaluate the impact of</a:t>
          </a:r>
          <a:r>
            <a:rPr lang="en-US" sz="1100" baseline="0">
              <a:solidFill>
                <a:schemeClr val="tx1"/>
              </a:solidFill>
              <a:effectLst/>
              <a:latin typeface="+mn-lt"/>
              <a:ea typeface="+mn-ea"/>
              <a:cs typeface="+mn-cs"/>
            </a:rPr>
            <a:t> increasing claims cost </a:t>
          </a:r>
          <a:r>
            <a:rPr lang="en-US" sz="1100">
              <a:solidFill>
                <a:schemeClr val="tx1"/>
              </a:solidFill>
              <a:effectLst/>
              <a:latin typeface="+mn-lt"/>
              <a:ea typeface="+mn-ea"/>
              <a:cs typeface="+mn-cs"/>
            </a:rPr>
            <a:t>on the risk premium, specifically testing how a 6% increase in severity affects the pricing.</a:t>
          </a:r>
          <a:r>
            <a:rPr lang="en-GB" sz="1100" baseline="0">
              <a:solidFill>
                <a:schemeClr val="tx1"/>
              </a:solidFill>
              <a:effectLst/>
              <a:latin typeface="+mn-lt"/>
              <a:ea typeface="+mn-ea"/>
              <a:cs typeface="+mn-cs"/>
            </a:rPr>
            <a:t> </a:t>
          </a:r>
          <a:r>
            <a:rPr lang="en-US" sz="1100">
              <a:solidFill>
                <a:schemeClr val="tx1"/>
              </a:solidFill>
              <a:effectLst/>
              <a:latin typeface="+mn-lt"/>
              <a:ea typeface="+mn-ea"/>
              <a:cs typeface="+mn-cs"/>
            </a:rPr>
            <a:t>This analysis highlights how sensitive</a:t>
          </a:r>
          <a:r>
            <a:rPr lang="en-US" sz="1100" baseline="0">
              <a:solidFill>
                <a:schemeClr val="tx1"/>
              </a:solidFill>
              <a:effectLst/>
              <a:latin typeface="+mn-lt"/>
              <a:ea typeface="+mn-ea"/>
              <a:cs typeface="+mn-cs"/>
            </a:rPr>
            <a:t> the overall premium can be to increases in claim severity. It can help us understand how material any assumptions made are as well as the potential impact of future trends e.g. if an increase in claim severity is expected due to court inflation or changes in legal rulings.</a:t>
          </a:r>
        </a:p>
        <a:p>
          <a:endParaRPr lang="en-US"/>
        </a:p>
        <a:p>
          <a:r>
            <a:rPr lang="en-US" b="1"/>
            <a:t>New Loss Severity for claims</a:t>
          </a:r>
          <a:r>
            <a:rPr lang="en-US"/>
            <a:t>: </a:t>
          </a:r>
          <a:r>
            <a:rPr lang="en-GB" sz="1100" b="0" i="0" u="none" strike="noStrike">
              <a:solidFill>
                <a:schemeClr val="tx1"/>
              </a:solidFill>
              <a:effectLst/>
              <a:latin typeface="+mn-lt"/>
              <a:ea typeface="+mn-ea"/>
              <a:cs typeface="+mn-cs"/>
            </a:rPr>
            <a:t>$623,521.95</a:t>
          </a:r>
          <a:br>
            <a:rPr lang="en-US"/>
          </a:br>
          <a:r>
            <a:rPr lang="en-US" b="1"/>
            <a:t>New Pure Premium</a:t>
          </a:r>
          <a:r>
            <a:rPr lang="en-US"/>
            <a:t>:</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mn-lt"/>
              <a:ea typeface="+mn-ea"/>
              <a:cs typeface="+mn-cs"/>
            </a:rPr>
            <a:t>0.000000376 </a:t>
          </a:r>
          <a:r>
            <a:rPr lang="en-US"/>
            <a:t>× </a:t>
          </a:r>
          <a:r>
            <a:rPr lang="en-GB" sz="1100" b="0" i="0">
              <a:solidFill>
                <a:schemeClr val="tx1"/>
              </a:solidFill>
              <a:effectLst/>
              <a:latin typeface="+mn-lt"/>
              <a:ea typeface="+mn-ea"/>
              <a:cs typeface="+mn-cs"/>
            </a:rPr>
            <a:t>623,521.954 </a:t>
          </a:r>
          <a:r>
            <a:rPr lang="en-US" sz="1100">
              <a:solidFill>
                <a:schemeClr val="tx1"/>
              </a:solidFill>
              <a:effectLst/>
              <a:latin typeface="+mn-lt"/>
              <a:ea typeface="+mn-ea"/>
              <a:cs typeface="+mn-cs"/>
            </a:rPr>
            <a:t>×40,000,000 +</a:t>
          </a:r>
          <a:r>
            <a:rPr lang="en-GB" sz="1100" b="0" i="0" u="none" strike="noStrike">
              <a:solidFill>
                <a:schemeClr val="tx1"/>
              </a:solidFill>
              <a:effectLst/>
              <a:latin typeface="+mn-lt"/>
              <a:ea typeface="+mn-ea"/>
              <a:cs typeface="+mn-cs"/>
            </a:rPr>
            <a:t>262,697.37</a:t>
          </a:r>
          <a:r>
            <a:rPr lang="en-GB"/>
            <a:t> </a:t>
          </a:r>
          <a:r>
            <a:rPr lang="en-GB" sz="1100">
              <a:solidFill>
                <a:schemeClr val="tx1"/>
              </a:solidFill>
              <a:effectLst/>
              <a:latin typeface="+mn-lt"/>
              <a:ea typeface="+mn-ea"/>
              <a:cs typeface="+mn-cs"/>
            </a:rPr>
            <a:t> </a:t>
          </a:r>
          <a:r>
            <a:rPr lang="en-US"/>
            <a:t> = $9,635,184.91 </a:t>
          </a:r>
        </a:p>
        <a:p>
          <a:pPr marL="0" marR="0" lvl="0" indent="0" defTabSz="914400" eaLnBrk="1" fontAlgn="auto" latinLnBrk="0" hangingPunct="1">
            <a:lnSpc>
              <a:spcPct val="100000"/>
            </a:lnSpc>
            <a:spcBef>
              <a:spcPts val="0"/>
            </a:spcBef>
            <a:spcAft>
              <a:spcPts val="0"/>
            </a:spcAft>
            <a:buClrTx/>
            <a:buSzTx/>
            <a:buFontTx/>
            <a:buNone/>
            <a:tabLst/>
            <a:defRPr/>
          </a:pPr>
          <a:r>
            <a:rPr lang="en-US" b="1"/>
            <a:t>New Office</a:t>
          </a:r>
          <a:r>
            <a:rPr lang="en-US" b="1" baseline="0"/>
            <a:t> Premium: </a:t>
          </a:r>
          <a:r>
            <a:rPr lang="en-US" sz="1100">
              <a:solidFill>
                <a:schemeClr val="tx1"/>
              </a:solidFill>
              <a:effectLst/>
              <a:latin typeface="+mn-lt"/>
              <a:ea typeface="+mn-ea"/>
              <a:cs typeface="+mn-cs"/>
            </a:rPr>
            <a:t>$9,635,184.91 ×1.30×1.10 = $13,778,314.42 </a:t>
          </a:r>
          <a:br>
            <a:rPr lang="en-US" b="1"/>
          </a:br>
          <a:endParaRPr lang="en-US" b="1"/>
        </a:p>
        <a:p>
          <a:r>
            <a:rPr lang="en-US" b="1"/>
            <a:t>Key Assumptions</a:t>
          </a:r>
        </a:p>
        <a:p>
          <a:r>
            <a:rPr lang="en-US" b="1"/>
            <a:t>Inflation Adjustments</a:t>
          </a:r>
          <a:endParaRPr lang="en-US"/>
        </a:p>
        <a:p>
          <a:pPr lvl="1"/>
          <a:r>
            <a:rPr lang="en-US" b="1"/>
            <a:t>Assumption</a:t>
          </a:r>
          <a:r>
            <a:rPr lang="en-US"/>
            <a:t>: Claims amounts from 2018 to 2023 were adjusted for inflation using industry-standard indices.</a:t>
          </a:r>
        </a:p>
        <a:p>
          <a:pPr lvl="1"/>
          <a:r>
            <a:rPr lang="en-US" b="1"/>
            <a:t>Rationale</a:t>
          </a:r>
          <a:r>
            <a:rPr lang="en-US"/>
            <a:t>: Inflation adjustments ensure that historical claims are compared on a like-for-like basis with claims from recent years.</a:t>
          </a:r>
        </a:p>
        <a:p>
          <a:pPr lvl="1"/>
          <a:r>
            <a:rPr lang="en-US" b="1"/>
            <a:t>Impact</a:t>
          </a:r>
          <a:r>
            <a:rPr lang="en-US"/>
            <a:t>: By adjusting for inflation, the premium calculation reflects the true cost of covering risks in today’s economic conditions.</a:t>
          </a:r>
        </a:p>
        <a:p>
          <a:r>
            <a:rPr lang="en-US" b="1"/>
            <a:t>Exposure (Gross tonnage)</a:t>
          </a:r>
          <a:endParaRPr lang="en-US"/>
        </a:p>
        <a:p>
          <a:pPr lvl="1"/>
          <a:r>
            <a:rPr lang="en-US" b="1"/>
            <a:t>Assumption</a:t>
          </a:r>
          <a:r>
            <a:rPr lang="en-US"/>
            <a:t>: 2024 gross tonnage is expected to be</a:t>
          </a:r>
          <a:r>
            <a:rPr lang="en-US" baseline="0"/>
            <a:t> 40m as provided by the client.</a:t>
          </a:r>
          <a:endParaRPr lang="en-US"/>
        </a:p>
        <a:p>
          <a:pPr lvl="1"/>
          <a:r>
            <a:rPr lang="en-US" b="1"/>
            <a:t>Rationale</a:t>
          </a:r>
          <a:r>
            <a:rPr lang="en-US"/>
            <a:t>: Exposure is critical for adjusting the pure premium calculation, as it reflects the volume of risk the insurer covers.</a:t>
          </a:r>
        </a:p>
        <a:p>
          <a:pPr lvl="1"/>
          <a:r>
            <a:rPr lang="en-US" b="1"/>
            <a:t>Impact</a:t>
          </a:r>
          <a:r>
            <a:rPr lang="en-US"/>
            <a:t>: The gross tonnage directly affects the overall premium. All else equal, higher</a:t>
          </a:r>
          <a:r>
            <a:rPr lang="en-US" baseline="0"/>
            <a:t> gross tonnage would lead to a higher premium as there is greater exposure to risk.</a:t>
          </a:r>
        </a:p>
        <a:p>
          <a:pPr marL="0" lvl="1"/>
          <a:r>
            <a:rPr lang="en-US" b="1" baseline="0"/>
            <a:t>Large loss Event and Return Period</a:t>
          </a:r>
        </a:p>
        <a:p>
          <a:pPr lvl="1"/>
          <a:r>
            <a:rPr lang="en-US" b="1"/>
            <a:t>Assumption</a:t>
          </a:r>
          <a:r>
            <a:rPr lang="en-US"/>
            <a:t>: A large loss event related to environmental pollution occurred in the dataset, with a claim cost  of $5.1 million. We assumed that large loss events of this size occur once every 20 years.</a:t>
          </a:r>
        </a:p>
        <a:p>
          <a:pPr lvl="1"/>
          <a:r>
            <a:rPr lang="en-US" b="1"/>
            <a:t>Rationale</a:t>
          </a:r>
          <a:r>
            <a:rPr lang="en-US"/>
            <a:t>: Large loss events are rare but can have a significant financial impact, so the return period allows for the financial impact to be spread across several years,</a:t>
          </a:r>
          <a:r>
            <a:rPr lang="en-US" baseline="0"/>
            <a:t> and adjust the premium to allow for the expected likelihood of such events reoccurring. This prevents clients facing significant premium increases following such events.</a:t>
          </a:r>
          <a:endParaRPr lang="en-US"/>
        </a:p>
        <a:p>
          <a:pPr lvl="1"/>
          <a:r>
            <a:rPr lang="en-US" b="1"/>
            <a:t>Impact</a:t>
          </a:r>
          <a:r>
            <a:rPr lang="en-US"/>
            <a:t>: A large loss loading was calculated and added to the premium to account for the likelihood of large loss events.</a:t>
          </a:r>
        </a:p>
        <a:p>
          <a:r>
            <a:rPr lang="en-US" b="1"/>
            <a:t>Expense and Profit Margin Loading</a:t>
          </a:r>
          <a:endParaRPr lang="en-US"/>
        </a:p>
        <a:p>
          <a:pPr lvl="1"/>
          <a:r>
            <a:rPr lang="en-US" b="1"/>
            <a:t>Assumption</a:t>
          </a:r>
          <a:r>
            <a:rPr lang="en-US"/>
            <a:t>: An expense loading of 30% was applied to account for administrative costs, claims handling, and other operational expenses, and a profit margin of 10% was added to ensure profitability. A 0% commission was applied as there is no</a:t>
          </a:r>
          <a:r>
            <a:rPr lang="en-US" baseline="0"/>
            <a:t> commission payable to the broker who is acting as an intermediary between the client and insurer.</a:t>
          </a:r>
          <a:endParaRPr lang="en-US"/>
        </a:p>
        <a:p>
          <a:pPr lvl="1"/>
          <a:r>
            <a:rPr lang="en-US" b="1"/>
            <a:t>Rationale</a:t>
          </a:r>
          <a:r>
            <a:rPr lang="en-US"/>
            <a:t>: These loadings are standard practices in insurance pricing to ensure the insurer can cover its costs and remain profitable.</a:t>
          </a:r>
        </a:p>
        <a:p>
          <a:pPr lvl="1"/>
          <a:r>
            <a:rPr lang="en-US" b="1"/>
            <a:t>Impact</a:t>
          </a:r>
          <a:r>
            <a:rPr lang="en-US"/>
            <a:t>: These loadings were added on top of the pure premium to calculate the final premium charged to the policyholder.</a:t>
          </a:r>
        </a:p>
        <a:p>
          <a:pPr marL="0" marR="0" lvl="1" indent="0" defTabSz="914400" eaLnBrk="1" fontAlgn="auto" latinLnBrk="0" hangingPunct="1">
            <a:lnSpc>
              <a:spcPct val="100000"/>
            </a:lnSpc>
            <a:spcBef>
              <a:spcPts val="0"/>
            </a:spcBef>
            <a:spcAft>
              <a:spcPts val="0"/>
            </a:spcAft>
            <a:buClrTx/>
            <a:buSzTx/>
            <a:buFontTx/>
            <a:buNone/>
            <a:tabLst/>
            <a:defRPr/>
          </a:pPr>
          <a:r>
            <a:rPr lang="en-GB" sz="1100" b="1">
              <a:solidFill>
                <a:schemeClr val="tx1"/>
              </a:solidFill>
              <a:effectLst/>
              <a:latin typeface="+mn-lt"/>
              <a:ea typeface="+mn-ea"/>
              <a:cs typeface="+mn-cs"/>
            </a:rPr>
            <a:t>Commission: </a:t>
          </a:r>
          <a:r>
            <a:rPr lang="en-GB" sz="1100" b="0">
              <a:solidFill>
                <a:schemeClr val="tx1"/>
              </a:solidFill>
              <a:effectLst/>
              <a:latin typeface="+mn-lt"/>
              <a:ea typeface="+mn-ea"/>
              <a:cs typeface="+mn-cs"/>
            </a:rPr>
            <a:t>Nil commission applied in calculation</a:t>
          </a:r>
          <a:r>
            <a:rPr lang="en-GB" sz="1100" b="0" baseline="0">
              <a:solidFill>
                <a:schemeClr val="tx1"/>
              </a:solidFill>
              <a:effectLst/>
              <a:latin typeface="+mn-lt"/>
              <a:ea typeface="+mn-ea"/>
              <a:cs typeface="+mn-cs"/>
            </a:rPr>
            <a:t> of office premium.</a:t>
          </a:r>
        </a:p>
        <a:p>
          <a:pPr marL="0" marR="0" lvl="1" indent="0" defTabSz="914400" eaLnBrk="1" fontAlgn="auto" latinLnBrk="0" hangingPunct="1">
            <a:lnSpc>
              <a:spcPct val="100000"/>
            </a:lnSpc>
            <a:spcBef>
              <a:spcPts val="0"/>
            </a:spcBef>
            <a:spcAft>
              <a:spcPts val="0"/>
            </a:spcAft>
            <a:buClrTx/>
            <a:buSzTx/>
            <a:buFontTx/>
            <a:buNone/>
            <a:tabLst/>
            <a:defRPr/>
          </a:pPr>
          <a:r>
            <a:rPr lang="en-GB" sz="1100" b="1" baseline="0">
              <a:solidFill>
                <a:schemeClr val="tx1"/>
              </a:solidFill>
              <a:effectLst/>
              <a:latin typeface="+mn-lt"/>
              <a:ea typeface="+mn-ea"/>
              <a:cs typeface="+mn-cs"/>
            </a:rPr>
            <a:t>Claim development patterns: </a:t>
          </a:r>
          <a:r>
            <a:rPr lang="en-GB" sz="1100" b="0" baseline="0">
              <a:solidFill>
                <a:schemeClr val="tx1"/>
              </a:solidFill>
              <a:effectLst/>
              <a:latin typeface="+mn-lt"/>
              <a:ea typeface="+mn-ea"/>
              <a:cs typeface="+mn-cs"/>
            </a:rPr>
            <a:t>No adjustment is required for claims development patterns i.e. it is assumed all policy years are 100% developed.</a:t>
          </a:r>
        </a:p>
        <a:p>
          <a:pPr marL="0" marR="0" lvl="1" indent="0" defTabSz="914400" eaLnBrk="1" fontAlgn="auto" latinLnBrk="0" hangingPunct="1">
            <a:lnSpc>
              <a:spcPct val="100000"/>
            </a:lnSpc>
            <a:spcBef>
              <a:spcPts val="0"/>
            </a:spcBef>
            <a:spcAft>
              <a:spcPts val="0"/>
            </a:spcAft>
            <a:buClrTx/>
            <a:buSzTx/>
            <a:buFontTx/>
            <a:buNone/>
            <a:tabLst/>
            <a:defRPr/>
          </a:pPr>
          <a:r>
            <a:rPr lang="en-GB" b="1">
              <a:effectLst/>
            </a:rPr>
            <a:t>Deductibles: </a:t>
          </a:r>
          <a:r>
            <a:rPr lang="en-GB">
              <a:effectLst/>
            </a:rPr>
            <a:t>Deductibles in the upcoming policy period will be the same as deductible in prior policy periods.</a:t>
          </a:r>
        </a:p>
        <a:p>
          <a:pPr marL="0" marR="0" lvl="1" indent="0" defTabSz="914400" eaLnBrk="1" fontAlgn="auto" latinLnBrk="0" hangingPunct="1">
            <a:lnSpc>
              <a:spcPct val="100000"/>
            </a:lnSpc>
            <a:spcBef>
              <a:spcPts val="0"/>
            </a:spcBef>
            <a:spcAft>
              <a:spcPts val="0"/>
            </a:spcAft>
            <a:buClrTx/>
            <a:buSzTx/>
            <a:buFontTx/>
            <a:buNone/>
            <a:tabLst/>
            <a:defRPr/>
          </a:pPr>
          <a:r>
            <a:rPr lang="en-GB" b="1">
              <a:effectLst/>
            </a:rPr>
            <a:t>Policy Period:</a:t>
          </a:r>
          <a:r>
            <a:rPr lang="en-GB" b="1" baseline="0">
              <a:effectLst/>
            </a:rPr>
            <a:t> </a:t>
          </a:r>
          <a:r>
            <a:rPr lang="en-GB" baseline="0">
              <a:effectLst/>
            </a:rPr>
            <a:t>Individual policies run from 1/1 - 31/12 each year</a:t>
          </a:r>
          <a:endParaRPr lang="en-GB">
            <a:effectLst/>
          </a:endParaRP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assi, Surina" refreshedDate="45608.392565393522" createdVersion="8" refreshedVersion="8" minRefreshableVersion="3" recordCount="101" xr:uid="{D5E03804-DE23-7547-8EE4-86BD1B50A726}">
  <cacheSource type="worksheet">
    <worksheetSource ref="A1:S1048576" sheet="Claims Data"/>
  </cacheSource>
  <cacheFields count="24">
    <cacheField name="Claim ID" numFmtId="0">
      <sharedItems containsBlank="1"/>
    </cacheField>
    <cacheField name="Date of Claim" numFmtId="0">
      <sharedItems containsNonDate="0" containsDate="1" containsString="0" containsBlank="1" minDate="2018-03-19T00:00:00" maxDate="2023-08-02T00:00:00" count="99">
        <d v="2019-07-18T00:00:00"/>
        <d v="2020-05-27T00:00:00"/>
        <d v="2018-11-23T00:00:00"/>
        <d v="2021-01-05T00:00:00"/>
        <d v="2023-06-14T00:00:00"/>
        <d v="2019-04-29T00:00:00"/>
        <d v="2021-07-21T00:00:00"/>
        <d v="2022-03-18T00:00:00"/>
        <d v="2020-11-15T00:00:00"/>
        <d v="2018-06-07T00:00:00"/>
        <d v="2021-02-24T00:00:00"/>
        <d v="2020-12-15T00:00:00"/>
        <d v="2022-08-21T00:00:00"/>
        <d v="2023-01-11T00:00:00"/>
        <d v="2019-09-30T00:00:00"/>
        <d v="2018-07-13T00:00:00"/>
        <d v="2021-04-02T00:00:00"/>
        <d v="2019-06-25T00:00:00"/>
        <d v="2022-07-12T00:00:00"/>
        <d v="2020-03-20T00:00:00"/>
        <d v="2023-05-30T00:00:00"/>
        <d v="2021-12-03T00:00:00"/>
        <d v="2020-06-11T00:00:00"/>
        <d v="2019-08-18T00:00:00"/>
        <d v="2022-09-14T00:00:00"/>
        <d v="2018-05-03T00:00:00"/>
        <d v="2021-10-28T00:00:00"/>
        <d v="2020-04-16T00:00:00"/>
        <d v="2023-07-07T00:00:00"/>
        <d v="2019-01-22T00:00:00"/>
        <d v="2022-11-09T00:00:00"/>
        <d v="2020-08-13T00:00:00"/>
        <d v="2021-06-03T00:00:00"/>
        <d v="2019-11-16T00:00:00"/>
        <d v="2018-12-29T00:00:00"/>
        <d v="2021-08-15T00:00:00"/>
        <d v="2020-02-06T00:00:00"/>
        <d v="2023-04-11T00:00:00"/>
        <d v="2022-01-10T00:00:00"/>
        <d v="2019-09-03T00:00:00"/>
        <d v="2021-11-14T00:00:00"/>
        <d v="2023-02-28T00:00:00"/>
        <d v="2020-07-21T00:00:00"/>
        <d v="2018-03-19T00:00:00"/>
        <d v="2022-06-26T00:00:00"/>
        <d v="2021-10-03T00:00:00"/>
        <d v="2020-01-17T00:00:00"/>
        <d v="2019-04-05T00:00:00"/>
        <d v="2022-12-21T00:00:00"/>
        <d v="2021-02-03T00:00:00"/>
        <d v="2020-03-12T00:00:00"/>
        <d v="2023-07-08T00:00:00"/>
        <d v="2018-09-23T00:00:00"/>
        <d v="2019-11-15T00:00:00"/>
        <d v="2022-08-12T00:00:00"/>
        <d v="2021-05-23T00:00:00"/>
        <d v="2020-10-17T00:00:00"/>
        <d v="2023-03-13T00:00:00"/>
        <d v="2018-12-05T00:00:00"/>
        <d v="2019-06-29T00:00:00"/>
        <d v="2022-09-17T00:00:00"/>
        <d v="2021-01-11T00:00:00"/>
        <d v="2020-04-25T00:00:00"/>
        <d v="2019-03-19T00:00:00"/>
        <d v="2023-02-02T00:00:00"/>
        <d v="2022-07-11T00:00:00"/>
        <d v="2021-06-22T00:00:00"/>
        <d v="2020-01-27T00:00:00"/>
        <d v="2019-05-08T00:00:00"/>
        <d v="2023-04-19T00:00:00"/>
        <d v="2021-10-12T00:00:00"/>
        <d v="2022-03-28T00:00:00"/>
        <d v="2020-08-04T00:00:00"/>
        <d v="2018-06-17T00:00:00"/>
        <d v="2023-05-22T00:00:00"/>
        <d v="2021-07-06T00:00:00"/>
        <d v="2020-02-18T00:00:00"/>
        <d v="2023-03-07T00:00:00"/>
        <d v="2021-12-01T00:00:00"/>
        <d v="2020-06-05T00:00:00"/>
        <d v="2019-08-30T00:00:00"/>
        <d v="2018-11-22T00:00:00"/>
        <d v="2023-01-29T00:00:00"/>
        <d v="2021-04-10T00:00:00"/>
        <d v="2020-07-20T00:00:00"/>
        <d v="2019-02-24T00:00:00"/>
        <d v="2022-11-19T00:00:00"/>
        <d v="2021-08-11T00:00:00"/>
        <d v="2020-12-21T00:00:00"/>
        <d v="2022-05-23T00:00:00"/>
        <d v="2019-09-18T00:00:00"/>
        <d v="2023-07-02T00:00:00"/>
        <d v="2021-03-26T00:00:00"/>
        <d v="2020-02-29T00:00:00"/>
        <d v="2019-01-16T00:00:00"/>
        <d v="2022-04-14T00:00:00"/>
        <d v="2023-08-01T00:00:00"/>
        <d v="2022-12-27T00:00:00"/>
        <m/>
      </sharedItems>
      <fieldGroup par="23"/>
    </cacheField>
    <cacheField name="Type of Claim" numFmtId="0">
      <sharedItems containsBlank="1" count="6">
        <s v="Collision Liability"/>
        <s v="Cargo Liability"/>
        <s v="Damage to Other Vessels"/>
        <s v="Environmental Pollution"/>
        <s v="Injury to Third Parties"/>
        <m/>
      </sharedItems>
    </cacheField>
    <cacheField name="Claim Incurred ($)" numFmtId="44">
      <sharedItems containsString="0" containsBlank="1" containsNumber="1" minValue="87924.45" maxValue="5000000"/>
    </cacheField>
    <cacheField name="Claim Status" numFmtId="0">
      <sharedItems containsBlank="1"/>
    </cacheField>
    <cacheField name="Settlement Amount ($)" numFmtId="44">
      <sharedItems containsString="0" containsBlank="1" containsNumber="1" minValue="58229.22" maxValue="4000000"/>
    </cacheField>
    <cacheField name="Gross claim amount" numFmtId="44">
      <sharedItems containsString="0" containsBlank="1" containsNumber="1" minValue="111522.66" maxValue="5018723.79"/>
    </cacheField>
    <cacheField name="Policy Limits ($)" numFmtId="0">
      <sharedItems containsString="0" containsBlank="1" containsNumber="1" containsInteger="1" minValue="500000" maxValue="10000000"/>
    </cacheField>
    <cacheField name="Deductible ($)" numFmtId="44">
      <sharedItems containsString="0" containsBlank="1" containsNumber="1" minValue="1143.25" maxValue="48127.72"/>
    </cacheField>
    <cacheField name="Cause of Loss" numFmtId="0">
      <sharedItems containsBlank="1"/>
    </cacheField>
    <cacheField name="Location" numFmtId="0">
      <sharedItems containsBlank="1"/>
    </cacheField>
    <cacheField name="Insured Party" numFmtId="0">
      <sharedItems containsBlank="1"/>
    </cacheField>
    <cacheField name="Gross Tonnage" numFmtId="0">
      <sharedItems containsString="0" containsBlank="1" containsNumber="1" containsInteger="1" minValue="11983" maxValue="117196"/>
    </cacheField>
    <cacheField name="Prior Claims History" numFmtId="0">
      <sharedItems containsString="0" containsBlank="1" containsNumber="1" containsInteger="1" minValue="0" maxValue="9"/>
    </cacheField>
    <cacheField name="Inflation Index" numFmtId="0">
      <sharedItems containsString="0" containsBlank="1" containsNumber="1" minValue="1.03" maxValue="1.2053063131199999"/>
    </cacheField>
    <cacheField name="Gross inflation adjusted claim" numFmtId="44">
      <sharedItems containsString="0" containsBlank="1" containsNumber="1" minValue="114868.3398" maxValue="5272671.2137740003"/>
    </cacheField>
    <cacheField name="Net inflation adjusted claim" numFmtId="44">
      <sharedItems containsString="0" containsBlank="1" containsNumber="1" minValue="91270.129799999995" maxValue="5253947.4237740003"/>
    </cacheField>
    <cacheField name="Adjusted Settlement Amount" numFmtId="44">
      <sharedItems containsString="0" containsBlank="1" containsNumber="1" minValue="64271.10482971921" maxValue="4202400"/>
    </cacheField>
    <cacheField name="Capped net adjusted incurred claim " numFmtId="0">
      <sharedItems containsString="0" containsBlank="1" containsNumber="1" minValue="91270.129799999995" maxValue="5253947.4237740003"/>
    </cacheField>
    <cacheField name="Attritional claim flag" numFmtId="0">
      <sharedItems containsString="0" containsBlank="1" containsNumber="1" containsInteger="1" minValue="0" maxValue="1" count="3">
        <n v="1"/>
        <n v="0"/>
        <m/>
      </sharedItems>
    </cacheField>
    <cacheField name="Year" numFmtId="0">
      <sharedItems containsString="0" containsBlank="1" containsNumber="1" containsInteger="1" minValue="2018" maxValue="2023" count="7">
        <n v="2019"/>
        <n v="2020"/>
        <n v="2018"/>
        <n v="2021"/>
        <n v="2023"/>
        <n v="2022"/>
        <m/>
      </sharedItems>
    </cacheField>
    <cacheField name="Months (Date of Claim)" numFmtId="0" databaseField="0">
      <fieldGroup base="1">
        <rangePr groupBy="months" startDate="2018-03-19T00:00:00" endDate="2023-08-02T00:00:00"/>
        <groupItems count="14">
          <s v="&lt;19/03/2018"/>
          <s v="Jan"/>
          <s v="Feb"/>
          <s v="Mar"/>
          <s v="Apr"/>
          <s v="May"/>
          <s v="Jun"/>
          <s v="Jul"/>
          <s v="Aug"/>
          <s v="Sep"/>
          <s v="Oct"/>
          <s v="Nov"/>
          <s v="Dec"/>
          <s v="&gt;02/08/2023"/>
        </groupItems>
      </fieldGroup>
    </cacheField>
    <cacheField name="Quarters (Date of Claim)" numFmtId="0" databaseField="0">
      <fieldGroup base="1">
        <rangePr groupBy="quarters" startDate="2018-03-19T00:00:00" endDate="2023-08-02T00:00:00"/>
        <groupItems count="6">
          <s v="&lt;19/03/2018"/>
          <s v="Qtr1"/>
          <s v="Qtr2"/>
          <s v="Qtr3"/>
          <s v="Qtr4"/>
          <s v="&gt;02/08/2023"/>
        </groupItems>
      </fieldGroup>
    </cacheField>
    <cacheField name="Years (Date of Claim)" numFmtId="0" databaseField="0">
      <fieldGroup base="1">
        <rangePr groupBy="years" startDate="2018-03-19T00:00:00" endDate="2023-08-02T00:00:00"/>
        <groupItems count="8">
          <s v="&lt;19/03/2018"/>
          <s v="2018"/>
          <s v="2019"/>
          <s v="2020"/>
          <s v="2021"/>
          <s v="2022"/>
          <s v="2023"/>
          <s v="&gt;02/08/2023"/>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assi, Surina" refreshedDate="45608.393512499999" createdVersion="8" refreshedVersion="8" minRefreshableVersion="3" recordCount="100" xr:uid="{281A591A-AC76-484E-A513-DAC99CA1CB6C}">
  <cacheSource type="worksheet">
    <worksheetSource ref="A1:S101" sheet="Claims Data"/>
  </cacheSource>
  <cacheFields count="21">
    <cacheField name="Claim ID" numFmtId="0">
      <sharedItems count="100">
        <s v="CLM-00001"/>
        <s v="CLM-00002"/>
        <s v="CLM-00003"/>
        <s v="CLM-00004"/>
        <s v="CLM-00005"/>
        <s v="CLM-00006"/>
        <s v="CLM-00007"/>
        <s v="CLM-00008"/>
        <s v="CLM-00009"/>
        <s v="CLM-00010"/>
        <s v="CLM-00011"/>
        <s v="CLM-00012"/>
        <s v="CLM-00013"/>
        <s v="CLM-00014"/>
        <s v="CLM-00015"/>
        <s v="CLM-00016"/>
        <s v="CLM-00017"/>
        <s v="CLM-00018"/>
        <s v="CLM-00019"/>
        <s v="CLM-00020"/>
        <s v="CLM-00021"/>
        <s v="CLM-00022"/>
        <s v="CLM-00023"/>
        <s v="CLM-00024"/>
        <s v="CLM-00025"/>
        <s v="CLM-00026"/>
        <s v="CLM-00027"/>
        <s v="CLM-00028"/>
        <s v="CLM-00029"/>
        <s v="CLM-00030"/>
        <s v="CLM-00031"/>
        <s v="CLM-00032"/>
        <s v="CLM-00033"/>
        <s v="CLM-00034"/>
        <s v="CLM-00035"/>
        <s v="CLM-00036"/>
        <s v="CLM-00037"/>
        <s v="CLM-00038"/>
        <s v="CLM-00039"/>
        <s v="CLM-00040"/>
        <s v="CLM-00041"/>
        <s v="CLM-00042"/>
        <s v="CLM-00043"/>
        <s v="CLM-00044"/>
        <s v="CLM-00045"/>
        <s v="CLM-00046"/>
        <s v="CLM-00047"/>
        <s v="CLM-00048"/>
        <s v="CLM-00049"/>
        <s v="CLM-00050"/>
        <s v="CLM-00051"/>
        <s v="CLM-00052"/>
        <s v="CLM-00053"/>
        <s v="CLM-00054"/>
        <s v="CLM-00055"/>
        <s v="CLM-00056"/>
        <s v="CLM-00057"/>
        <s v="CLM-00058"/>
        <s v="CLM-00059"/>
        <s v="CLM-00060"/>
        <s v="CLM-00061"/>
        <s v="CLM-00062"/>
        <s v="CLM-00063"/>
        <s v="CLM-00064"/>
        <s v="CLM-00065"/>
        <s v="CLM-00066"/>
        <s v="CLM-00067"/>
        <s v="CLM-00068"/>
        <s v="CLM-00069"/>
        <s v="CLM-00070"/>
        <s v="CLM-00071"/>
        <s v="CLM-00072"/>
        <s v="CLM-00073"/>
        <s v="CLM-00074"/>
        <s v="CLM-00075"/>
        <s v="CLM-00076"/>
        <s v="CLM-00077"/>
        <s v="CLM-00078"/>
        <s v="CLM-00079"/>
        <s v="CLM-00080"/>
        <s v="CLM-00081"/>
        <s v="CLM-00082"/>
        <s v="CLM-00083"/>
        <s v="CLM-00084"/>
        <s v="CLM-00085"/>
        <s v="CLM-00086"/>
        <s v="CLM-00087"/>
        <s v="CLM-00088"/>
        <s v="CLM-00089"/>
        <s v="CLM-00090"/>
        <s v="CLM-00091"/>
        <s v="CLM-00092"/>
        <s v="CLM-00093"/>
        <s v="CLM-00094"/>
        <s v="CLM-00095"/>
        <s v="CLM-00096"/>
        <s v="CLM-00097"/>
        <s v="CLM-00098"/>
        <s v="CLM-00099"/>
        <s v="CLM-00100"/>
      </sharedItems>
    </cacheField>
    <cacheField name="Date of Claim" numFmtId="14">
      <sharedItems containsSemiMixedTypes="0" containsNonDate="0" containsDate="1" containsString="0" minDate="2018-03-19T00:00:00" maxDate="2023-08-02T00:00:00" count="98">
        <d v="2019-07-18T00:00:00"/>
        <d v="2020-05-27T00:00:00"/>
        <d v="2018-11-23T00:00:00"/>
        <d v="2021-01-05T00:00:00"/>
        <d v="2023-06-14T00:00:00"/>
        <d v="2019-04-29T00:00:00"/>
        <d v="2021-07-21T00:00:00"/>
        <d v="2022-03-18T00:00:00"/>
        <d v="2020-11-15T00:00:00"/>
        <d v="2018-06-07T00:00:00"/>
        <d v="2021-02-24T00:00:00"/>
        <d v="2020-12-15T00:00:00"/>
        <d v="2022-08-21T00:00:00"/>
        <d v="2023-01-11T00:00:00"/>
        <d v="2019-09-30T00:00:00"/>
        <d v="2018-07-13T00:00:00"/>
        <d v="2021-04-02T00:00:00"/>
        <d v="2019-06-25T00:00:00"/>
        <d v="2022-07-12T00:00:00"/>
        <d v="2020-03-20T00:00:00"/>
        <d v="2023-05-30T00:00:00"/>
        <d v="2021-12-03T00:00:00"/>
        <d v="2020-06-11T00:00:00"/>
        <d v="2019-08-18T00:00:00"/>
        <d v="2022-09-14T00:00:00"/>
        <d v="2018-05-03T00:00:00"/>
        <d v="2021-10-28T00:00:00"/>
        <d v="2020-04-16T00:00:00"/>
        <d v="2023-07-07T00:00:00"/>
        <d v="2019-01-22T00:00:00"/>
        <d v="2022-11-09T00:00:00"/>
        <d v="2020-08-13T00:00:00"/>
        <d v="2021-06-03T00:00:00"/>
        <d v="2019-11-16T00:00:00"/>
        <d v="2018-12-29T00:00:00"/>
        <d v="2021-08-15T00:00:00"/>
        <d v="2020-02-06T00:00:00"/>
        <d v="2023-04-11T00:00:00"/>
        <d v="2022-01-10T00:00:00"/>
        <d v="2019-09-03T00:00:00"/>
        <d v="2021-11-14T00:00:00"/>
        <d v="2023-02-28T00:00:00"/>
        <d v="2020-07-21T00:00:00"/>
        <d v="2018-03-19T00:00:00"/>
        <d v="2022-06-26T00:00:00"/>
        <d v="2021-10-03T00:00:00"/>
        <d v="2020-01-17T00:00:00"/>
        <d v="2019-04-05T00:00:00"/>
        <d v="2022-12-21T00:00:00"/>
        <d v="2021-02-03T00:00:00"/>
        <d v="2020-03-12T00:00:00"/>
        <d v="2023-07-08T00:00:00"/>
        <d v="2018-09-23T00:00:00"/>
        <d v="2019-11-15T00:00:00"/>
        <d v="2022-08-12T00:00:00"/>
        <d v="2021-05-23T00:00:00"/>
        <d v="2020-10-17T00:00:00"/>
        <d v="2023-03-13T00:00:00"/>
        <d v="2018-12-05T00:00:00"/>
        <d v="2019-06-29T00:00:00"/>
        <d v="2022-09-17T00:00:00"/>
        <d v="2021-01-11T00:00:00"/>
        <d v="2020-04-25T00:00:00"/>
        <d v="2019-03-19T00:00:00"/>
        <d v="2023-02-02T00:00:00"/>
        <d v="2022-07-11T00:00:00"/>
        <d v="2021-06-22T00:00:00"/>
        <d v="2020-01-27T00:00:00"/>
        <d v="2019-05-08T00:00:00"/>
        <d v="2023-04-19T00:00:00"/>
        <d v="2021-10-12T00:00:00"/>
        <d v="2022-03-28T00:00:00"/>
        <d v="2020-08-04T00:00:00"/>
        <d v="2018-06-17T00:00:00"/>
        <d v="2023-05-22T00:00:00"/>
        <d v="2021-07-06T00:00:00"/>
        <d v="2020-02-18T00:00:00"/>
        <d v="2023-03-07T00:00:00"/>
        <d v="2021-12-01T00:00:00"/>
        <d v="2020-06-05T00:00:00"/>
        <d v="2019-08-30T00:00:00"/>
        <d v="2018-11-22T00:00:00"/>
        <d v="2023-01-29T00:00:00"/>
        <d v="2021-04-10T00:00:00"/>
        <d v="2020-07-20T00:00:00"/>
        <d v="2019-02-24T00:00:00"/>
        <d v="2022-11-19T00:00:00"/>
        <d v="2021-08-11T00:00:00"/>
        <d v="2020-12-21T00:00:00"/>
        <d v="2022-05-23T00:00:00"/>
        <d v="2019-09-18T00:00:00"/>
        <d v="2023-07-02T00:00:00"/>
        <d v="2021-03-26T00:00:00"/>
        <d v="2020-02-29T00:00:00"/>
        <d v="2019-01-16T00:00:00"/>
        <d v="2022-04-14T00:00:00"/>
        <d v="2023-08-01T00:00:00"/>
        <d v="2022-12-27T00:00:00"/>
      </sharedItems>
    </cacheField>
    <cacheField name="Type of Claim" numFmtId="0">
      <sharedItems count="5">
        <s v="Collision Liability"/>
        <s v="Cargo Liability"/>
        <s v="Damage to Other Vessels"/>
        <s v="Environmental Pollution"/>
        <s v="Injury to Third Parties"/>
      </sharedItems>
    </cacheField>
    <cacheField name="Claim Incurred ($)" numFmtId="44">
      <sharedItems containsSemiMixedTypes="0" containsString="0" containsNumber="1" minValue="87924.45" maxValue="5000000" count="70">
        <n v="737423.28"/>
        <n v="315189.74"/>
        <n v="678364.99"/>
        <n v="203840.58"/>
        <n v="98692.46"/>
        <n v="243918.65"/>
        <n v="765873.46"/>
        <n v="913843.77"/>
        <n v="754890.21"/>
        <n v="600293.27"/>
        <n v="320726.12"/>
        <n v="195238.55"/>
        <n v="158738.94"/>
        <n v="125309.18"/>
        <n v="701924.64"/>
        <n v="590732.85"/>
        <n v="358145.93"/>
        <n v="453896.75"/>
        <n v="195984.65"/>
        <n v="472804.33"/>
        <n v="87924.45"/>
        <n v="654327.44999999995"/>
        <n v="231548.73"/>
        <n v="194738.52"/>
        <n v="872394.65"/>
        <n v="508739.15"/>
        <n v="376234.78"/>
        <n v="129803.75"/>
        <n v="731235.83999999997"/>
        <n v="158924.78"/>
        <n v="439832.24"/>
        <n v="690239.58"/>
        <n v="215983.48"/>
        <n v="507983.42"/>
        <n v="451973.22"/>
        <n v="289524.33"/>
        <n v="674832.75"/>
        <n v="289523.34000000003"/>
        <n v="492783.45"/>
        <n v="812739.57"/>
        <n v="523987.21"/>
        <n v="392873.65"/>
        <n v="539278.54"/>
        <n v="283973.44"/>
        <n v="482839.65"/>
        <n v="683482.94"/>
        <n v="783948.23"/>
        <n v="239582.74"/>
        <n v="294738.48"/>
        <n v="583948.29"/>
        <n v="784839.21"/>
        <n v="398483.65"/>
        <n v="485739.23"/>
        <n v="593849.48"/>
        <n v="683849.75"/>
        <n v="792483.56"/>
        <n v="594837.93999999994"/>
        <n v="472839.28"/>
        <n v="592483.44999999995"/>
        <n v="839483.29"/>
        <n v="839483.58"/>
        <n v="793849.23"/>
        <n v="473839.25"/>
        <n v="573849.48"/>
        <n v="683849.45"/>
        <n v="573839.54"/>
        <n v="572839.44999999995"/>
        <n v="472839.38"/>
        <n v="739849.45"/>
        <n v="5000000"/>
      </sharedItems>
    </cacheField>
    <cacheField name="Claim Status" numFmtId="0">
      <sharedItems/>
    </cacheField>
    <cacheField name="Settlement Amount ($)" numFmtId="44">
      <sharedItems containsSemiMixedTypes="0" containsString="0" containsNumber="1" minValue="58229.22" maxValue="4000000"/>
    </cacheField>
    <cacheField name="Gross claim amount" numFmtId="44">
      <sharedItems containsSemiMixedTypes="0" containsString="0" containsNumber="1" minValue="111522.66" maxValue="5018723.79"/>
    </cacheField>
    <cacheField name="Policy Limits ($)" numFmtId="6">
      <sharedItems containsSemiMixedTypes="0" containsString="0" containsNumber="1" containsInteger="1" minValue="500000" maxValue="10000000" count="5">
        <n v="5000000"/>
        <n v="1000000"/>
        <n v="2000000"/>
        <n v="500000"/>
        <n v="10000000"/>
      </sharedItems>
    </cacheField>
    <cacheField name="Deductible ($)" numFmtId="44">
      <sharedItems containsSemiMixedTypes="0" containsString="0" containsNumber="1" minValue="1143.25" maxValue="48127.72"/>
    </cacheField>
    <cacheField name="Cause of Loss" numFmtId="0">
      <sharedItems count="4">
        <s v="Human Error"/>
        <s v="Technical Failure"/>
        <s v="Criminal Activity"/>
        <s v="Natural Disaster"/>
      </sharedItems>
    </cacheField>
    <cacheField name="Location" numFmtId="0">
      <sharedItems count="5">
        <s v="Indian Ocean"/>
        <s v="Atlantic Ocean"/>
        <s v="Mediterranean Sea"/>
        <s v="Pacific Ocean"/>
        <s v="North Sea"/>
      </sharedItems>
    </cacheField>
    <cacheField name="Insured Party" numFmtId="0">
      <sharedItems/>
    </cacheField>
    <cacheField name="Gross Tonnage" numFmtId="0">
      <sharedItems containsSemiMixedTypes="0" containsString="0" containsNumber="1" containsInteger="1" minValue="7588" maxValue="115933"/>
    </cacheField>
    <cacheField name="Prior Claims History" numFmtId="0">
      <sharedItems containsSemiMixedTypes="0" containsString="0" containsNumber="1" containsInteger="1" minValue="0" maxValue="9"/>
    </cacheField>
    <cacheField name="Inflation Index" numFmtId="0">
      <sharedItems containsSemiMixedTypes="0" containsString="0" containsNumber="1" minValue="1.03" maxValue="1.2053063131199999"/>
    </cacheField>
    <cacheField name="Gross inflation adjusted claim" numFmtId="44">
      <sharedItems containsSemiMixedTypes="0" containsString="0" containsNumber="1" minValue="114868.3398" maxValue="5272671.2137740003"/>
    </cacheField>
    <cacheField name="Net inflation adjusted claim" numFmtId="44">
      <sharedItems containsSemiMixedTypes="0" containsString="0" containsNumber="1" minValue="91270.129799999995" maxValue="5253947.4237740003"/>
    </cacheField>
    <cacheField name="Adjusted Settlement Amount" numFmtId="44">
      <sharedItems containsSemiMixedTypes="0" containsString="0" containsNumber="1" minValue="64271.10482971921" maxValue="4202400"/>
    </cacheField>
    <cacheField name="Capped net adjusted incurred claim " numFmtId="44">
      <sharedItems containsSemiMixedTypes="0" containsString="0" containsNumber="1" minValue="91270.129799999995" maxValue="5253947.4237740003"/>
    </cacheField>
    <cacheField name="Attritional claim flag" numFmtId="0">
      <sharedItems containsSemiMixedTypes="0" containsString="0" containsNumber="1" containsInteger="1" minValue="0" maxValue="1"/>
    </cacheField>
    <cacheField name="Year" numFmtId="0">
      <sharedItems containsSemiMixedTypes="0" containsString="0" containsNumber="1" containsInteger="1" minValue="2018" maxValue="2023" count="6">
        <n v="2019"/>
        <n v="2020"/>
        <n v="2018"/>
        <n v="2021"/>
        <n v="2023"/>
        <n v="2022"/>
      </sharedItems>
    </cacheField>
  </cacheFields>
  <extLst>
    <ext xmlns:x14="http://schemas.microsoft.com/office/spreadsheetml/2009/9/main" uri="{725AE2AE-9491-48be-B2B4-4EB974FC3084}">
      <x14:pivotCacheDefinition pivotCacheId="57413362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1">
  <r>
    <s v="CLM-00001"/>
    <x v="0"/>
    <x v="0"/>
    <n v="737423.28"/>
    <s v="Closed"/>
    <n v="489716.94"/>
    <n v="749769.20000000007"/>
    <n v="5000000"/>
    <n v="12345.92"/>
    <s v="Human Error"/>
    <s v="Indian Ocean"/>
    <s v="Company 9"/>
    <n v="25527"/>
    <n v="4"/>
    <n v="1.1479107743999999"/>
    <n v="860668.14299326844"/>
    <n v="848322.2229932684"/>
    <n v="562151.35183219833"/>
    <n v="848322.2229932684"/>
    <x v="0"/>
    <x v="0"/>
  </r>
  <r>
    <s v="CLM-00002"/>
    <x v="1"/>
    <x v="1"/>
    <n v="315189.74"/>
    <s v="Closed"/>
    <n v="58229.22"/>
    <n v="348906.5"/>
    <n v="5000000"/>
    <n v="33716.76"/>
    <s v="Technical Failure"/>
    <s v="Atlantic Ocean"/>
    <s v="Company 4"/>
    <n v="38930"/>
    <n v="6"/>
    <n v="1.1037603600000001"/>
    <n v="385109.16404634004"/>
    <n v="351392.40404634003"/>
    <n v="64271.10482971921"/>
    <n v="351392.40404634003"/>
    <x v="0"/>
    <x v="1"/>
  </r>
  <r>
    <s v="CLM-00003"/>
    <x v="2"/>
    <x v="2"/>
    <n v="678364.99"/>
    <s v="Closed"/>
    <n v="649301.94999999995"/>
    <n v="712761.9"/>
    <n v="5000000"/>
    <n v="34396.910000000003"/>
    <s v="Criminal Activity"/>
    <s v="Mediterranean Sea"/>
    <s v="Company 2"/>
    <n v="22843"/>
    <n v="3"/>
    <n v="1.2053063131199999"/>
    <n v="859096.41782140615"/>
    <n v="824699.50782140612"/>
    <n v="782607.73945612647"/>
    <n v="824699.50782140612"/>
    <x v="0"/>
    <x v="2"/>
  </r>
  <r>
    <s v="CLM-00004"/>
    <x v="3"/>
    <x v="3"/>
    <n v="203840.58"/>
    <s v="Open"/>
    <n v="709725.17"/>
    <n v="215544.46"/>
    <n v="5000000"/>
    <n v="11703.88"/>
    <s v="Natural Disaster"/>
    <s v="Pacific Ocean"/>
    <s v="Company 17"/>
    <n v="101248"/>
    <n v="7"/>
    <n v="1.071612"/>
    <n v="230980.02986951999"/>
    <n v="219276.14986951998"/>
    <n v="760550.0088740401"/>
    <n v="219276.14986951998"/>
    <x v="0"/>
    <x v="3"/>
  </r>
  <r>
    <s v="CLM-00005"/>
    <x v="4"/>
    <x v="4"/>
    <n v="98692.46"/>
    <s v="In Litigation"/>
    <n v="120802.84"/>
    <n v="146820.18"/>
    <n v="1000000"/>
    <n v="48127.72"/>
    <s v="Human Error"/>
    <s v="Indian Ocean"/>
    <s v="Company 12"/>
    <n v="54408"/>
    <n v="8"/>
    <n v="1.03"/>
    <n v="151224.78539999999"/>
    <n v="103097.06539999999"/>
    <n v="124426.9252"/>
    <n v="103097.06539999999"/>
    <x v="0"/>
    <x v="4"/>
  </r>
  <r>
    <s v="CLM-00006"/>
    <x v="5"/>
    <x v="0"/>
    <n v="243918.65"/>
    <s v="Closed"/>
    <n v="289364.92"/>
    <n v="254504.19"/>
    <n v="5000000"/>
    <n v="10585.54"/>
    <s v="Technical Failure"/>
    <s v="Atlantic Ocean"/>
    <s v="Company 3"/>
    <n v="78710"/>
    <n v="2"/>
    <n v="1.1479107743999999"/>
    <n v="292148.10183094471"/>
    <n v="281562.56183094473"/>
    <n v="332165.10940139397"/>
    <n v="281562.56183094473"/>
    <x v="0"/>
    <x v="0"/>
  </r>
  <r>
    <s v="CLM-00007"/>
    <x v="6"/>
    <x v="3"/>
    <n v="765873.46"/>
    <s v="Closed"/>
    <n v="689203.39"/>
    <n v="783218.83"/>
    <n v="5000000"/>
    <n v="17345.37"/>
    <s v="Natural Disaster"/>
    <s v="North Sea"/>
    <s v="Company 11"/>
    <n v="78277"/>
    <n v="1"/>
    <n v="1.071612"/>
    <n v="839306.69685395993"/>
    <n v="821961.32685395994"/>
    <n v="738558.62316467997"/>
    <n v="821961.32685395994"/>
    <x v="0"/>
    <x v="3"/>
  </r>
  <r>
    <s v="CLM-00008"/>
    <x v="7"/>
    <x v="2"/>
    <n v="913843.77"/>
    <s v="Closed"/>
    <n v="800104.83"/>
    <n v="939444.11"/>
    <n v="5000000"/>
    <n v="25600.34"/>
    <s v="Criminal Activity"/>
    <s v="Atlantic Ocean"/>
    <s v="Company 5"/>
    <n v="64936"/>
    <n v="0"/>
    <n v="1.0506"/>
    <n v="986979.98196599993"/>
    <n v="961379.64196599997"/>
    <n v="840590.13439799997"/>
    <n v="961379.64196599997"/>
    <x v="0"/>
    <x v="5"/>
  </r>
  <r>
    <s v="CLM-00009"/>
    <x v="8"/>
    <x v="1"/>
    <n v="754890.21"/>
    <s v="Closed"/>
    <n v="523116.77"/>
    <n v="793074.64999999991"/>
    <n v="5000000"/>
    <n v="38184.44"/>
    <s v="Technical Failure"/>
    <s v="Mediterranean Sea"/>
    <s v="Company 8"/>
    <n v="60872"/>
    <n v="6"/>
    <n v="1.1037603600000001"/>
    <n v="875364.36119087401"/>
    <n v="837179.92119087395"/>
    <n v="577395.55437723722"/>
    <n v="837179.92119087395"/>
    <x v="0"/>
    <x v="1"/>
  </r>
  <r>
    <s v="CLM-00010"/>
    <x v="9"/>
    <x v="0"/>
    <n v="600293.27"/>
    <s v="Open"/>
    <n v="559394.74"/>
    <n v="601436.52"/>
    <n v="5000000"/>
    <n v="1143.25"/>
    <s v="Human Error"/>
    <s v="Atlantic Ocean"/>
    <s v="Company 10"/>
    <n v="39405"/>
    <n v="5"/>
    <n v="1.2053063131199999"/>
    <n v="724915.23449692316"/>
    <n v="723771.98449692316"/>
    <n v="674242.01164812094"/>
    <n v="723771.98449692316"/>
    <x v="0"/>
    <x v="2"/>
  </r>
  <r>
    <s v="CLM-00011"/>
    <x v="10"/>
    <x v="3"/>
    <n v="320726.12"/>
    <s v="Closed"/>
    <n v="582693.41"/>
    <n v="363045.08999999997"/>
    <n v="5000000"/>
    <n v="42318.97"/>
    <s v="Technical Failure"/>
    <s v="North Sea"/>
    <s v="Company 7"/>
    <n v="77099"/>
    <n v="7"/>
    <n v="1.071612"/>
    <n v="389043.47498507996"/>
    <n v="346724.50498507998"/>
    <n v="624421.25047692005"/>
    <n v="346724.50498507998"/>
    <x v="0"/>
    <x v="3"/>
  </r>
  <r>
    <s v="CLM-00012"/>
    <x v="11"/>
    <x v="1"/>
    <n v="195238.55"/>
    <s v="Closed"/>
    <n v="319792.05"/>
    <n v="220873.24"/>
    <n v="1000000"/>
    <n v="25634.69"/>
    <s v="Criminal Activity"/>
    <s v="Mediterranean Sea"/>
    <s v="Company 6"/>
    <n v="24252"/>
    <n v="8"/>
    <n v="1.1037603600000001"/>
    <n v="243791.12689676642"/>
    <n v="218156.43689676642"/>
    <n v="352973.78823313804"/>
    <n v="218156.43689676642"/>
    <x v="0"/>
    <x v="1"/>
  </r>
  <r>
    <s v="CLM-00013"/>
    <x v="12"/>
    <x v="0"/>
    <n v="158738.94"/>
    <s v="In Litigation"/>
    <n v="301208.46000000002"/>
    <n v="188195.05"/>
    <n v="1000000"/>
    <n v="29456.11"/>
    <s v="Human Error"/>
    <s v="Indian Ocean"/>
    <s v="Company 13"/>
    <n v="68571"/>
    <n v="3"/>
    <n v="1.0506"/>
    <n v="197717.71952999997"/>
    <n v="168261.60952999996"/>
    <n v="316449.608076"/>
    <n v="168261.60952999996"/>
    <x v="0"/>
    <x v="5"/>
  </r>
  <r>
    <s v="CLM-00014"/>
    <x v="13"/>
    <x v="2"/>
    <n v="125309.18"/>
    <s v="Closed"/>
    <n v="500694.12"/>
    <n v="140287.41"/>
    <n v="1000000"/>
    <n v="14978.23"/>
    <s v="Criminal Activity"/>
    <s v="Pacific Ocean"/>
    <s v="Company 19"/>
    <n v="50882"/>
    <n v="2"/>
    <n v="1.03"/>
    <n v="144496.03230000002"/>
    <n v="129517.80230000002"/>
    <n v="515714.9436"/>
    <n v="129517.80230000002"/>
    <x v="0"/>
    <x v="4"/>
  </r>
  <r>
    <s v="CLM-00015"/>
    <x v="14"/>
    <x v="3"/>
    <n v="701924.64"/>
    <s v="Open"/>
    <n v="587613.84"/>
    <n v="726627.31"/>
    <n v="5000000"/>
    <n v="24702.67"/>
    <s v="Technical Failure"/>
    <s v="Atlantic Ocean"/>
    <s v="Company 14"/>
    <n v="58793"/>
    <n v="6"/>
    <n v="1.1479107743999999"/>
    <n v="834103.31812228879"/>
    <n v="809400.64812228875"/>
    <n v="674528.25812255754"/>
    <n v="809400.64812228875"/>
    <x v="0"/>
    <x v="0"/>
  </r>
  <r>
    <s v="CLM-00016"/>
    <x v="15"/>
    <x v="4"/>
    <n v="590732.85"/>
    <s v="Closed"/>
    <n v="590345.67000000004"/>
    <n v="600165.35"/>
    <n v="5000000"/>
    <n v="9432.5"/>
    <s v="Natural Disaster"/>
    <s v="Mediterranean Sea"/>
    <s v="Company 1"/>
    <n v="47241"/>
    <n v="4"/>
    <n v="1.2053063131199999"/>
    <n v="723383.08527087432"/>
    <n v="713950.58527087432"/>
    <n v="711547.36297405616"/>
    <n v="713950.58527087432"/>
    <x v="0"/>
    <x v="2"/>
  </r>
  <r>
    <s v="CLM-00017"/>
    <x v="16"/>
    <x v="0"/>
    <n v="358145.93"/>
    <s v="Closed"/>
    <n v="403102.27"/>
    <n v="375066.3"/>
    <n v="2000000"/>
    <n v="16920.37"/>
    <s v="Human Error"/>
    <s v="Pacific Ocean"/>
    <s v="Company 15"/>
    <n v="90756"/>
    <n v="7"/>
    <n v="1.071612"/>
    <n v="401925.54787559999"/>
    <n v="385005.1778756"/>
    <n v="431969.22975924"/>
    <n v="385005.1778756"/>
    <x v="0"/>
    <x v="3"/>
  </r>
  <r>
    <s v="CLM-00018"/>
    <x v="17"/>
    <x v="2"/>
    <n v="453896.75"/>
    <s v="Closed"/>
    <n v="459235.72"/>
    <n v="492825.48"/>
    <n v="500000"/>
    <n v="38928.730000000003"/>
    <s v="Criminal Activity"/>
    <s v="North Sea"/>
    <s v="Company 8"/>
    <n v="32376"/>
    <n v="5"/>
    <n v="1.1479107743999999"/>
    <n v="565719.67839085159"/>
    <n v="526790.94839085161"/>
    <n v="527161.63097734144"/>
    <n v="500000"/>
    <x v="0"/>
    <x v="0"/>
  </r>
  <r>
    <s v="CLM-00019"/>
    <x v="18"/>
    <x v="1"/>
    <n v="195984.65"/>
    <s v="In Litigation"/>
    <n v="279603.12"/>
    <n v="215631.84"/>
    <n v="500000"/>
    <n v="19647.189999999999"/>
    <s v="Technical Failure"/>
    <s v="Indian Ocean"/>
    <s v="Company 10"/>
    <n v="17568"/>
    <n v="3"/>
    <n v="1.0506"/>
    <n v="226542.81110399999"/>
    <n v="206895.62110399999"/>
    <n v="293751.03787200002"/>
    <n v="206895.62110399999"/>
    <x v="0"/>
    <x v="5"/>
  </r>
  <r>
    <s v="CLM-00020"/>
    <x v="19"/>
    <x v="3"/>
    <n v="472804.33"/>
    <s v="Open"/>
    <n v="345128.67"/>
    <n v="518485.62"/>
    <n v="5000000"/>
    <n v="45681.29"/>
    <s v="Natural Disaster"/>
    <s v="Atlantic Ocean"/>
    <s v="Company 11"/>
    <n v="97839"/>
    <n v="8"/>
    <n v="1.1037603600000001"/>
    <n v="572283.87458602327"/>
    <n v="526602.58458602324"/>
    <n v="380939.34504552122"/>
    <n v="526602.58458602324"/>
    <x v="0"/>
    <x v="1"/>
  </r>
  <r>
    <s v="CLM-00021"/>
    <x v="20"/>
    <x v="4"/>
    <n v="87924.45"/>
    <s v="Closed"/>
    <n v="99847.18"/>
    <n v="111522.66"/>
    <n v="500000"/>
    <n v="23598.21"/>
    <s v="Technical Failure"/>
    <s v="North Sea"/>
    <s v="Company 13"/>
    <n v="47634"/>
    <n v="4"/>
    <n v="1.03"/>
    <n v="114868.3398"/>
    <n v="91270.129799999995"/>
    <n v="102842.59539999999"/>
    <n v="91270.129799999995"/>
    <x v="0"/>
    <x v="4"/>
  </r>
  <r>
    <s v="CLM-00022"/>
    <x v="21"/>
    <x v="0"/>
    <n v="654327.44999999995"/>
    <s v="Closed"/>
    <n v="706298.12"/>
    <n v="673030.17999999993"/>
    <n v="5000000"/>
    <n v="18702.73"/>
    <s v="Human Error"/>
    <s v="Atlantic Ocean"/>
    <s v="Company 16"/>
    <n v="58451"/>
    <n v="7"/>
    <n v="1.071612"/>
    <n v="721227.21725015994"/>
    <n v="702524.48725015996"/>
    <n v="756877.54096944002"/>
    <n v="702524.48725015996"/>
    <x v="0"/>
    <x v="3"/>
  </r>
  <r>
    <s v="CLM-00023"/>
    <x v="22"/>
    <x v="2"/>
    <n v="231548.73"/>
    <s v="Open"/>
    <n v="202954.87"/>
    <n v="268477.11"/>
    <n v="500000"/>
    <n v="36928.379999999997"/>
    <s v="Criminal Activity"/>
    <s v="Pacific Ocean"/>
    <s v="Company 2"/>
    <n v="79643"/>
    <n v="5"/>
    <n v="1.1037603600000001"/>
    <n v="296334.39158535964"/>
    <n v="259406.01158535964"/>
    <n v="224013.54037495321"/>
    <n v="259406.01158535964"/>
    <x v="0"/>
    <x v="1"/>
  </r>
  <r>
    <s v="CLM-00024"/>
    <x v="23"/>
    <x v="3"/>
    <n v="194738.52"/>
    <s v="In Litigation"/>
    <n v="239823.12"/>
    <n v="210177.78999999998"/>
    <n v="500000"/>
    <n v="15439.27"/>
    <s v="Natural Disaster"/>
    <s v="Indian Ocean"/>
    <s v="Company 17"/>
    <n v="104498"/>
    <n v="8"/>
    <n v="1.1479107743999999"/>
    <n v="241265.34968058052"/>
    <n v="225826.07968058053"/>
    <n v="275295.54339822411"/>
    <n v="225826.07968058053"/>
    <x v="0"/>
    <x v="0"/>
  </r>
  <r>
    <s v="CLM-00025"/>
    <x v="24"/>
    <x v="1"/>
    <n v="872394.65"/>
    <s v="Closed"/>
    <n v="715298.34"/>
    <n v="896897.03"/>
    <n v="10000000"/>
    <n v="24502.38"/>
    <s v="Human Error"/>
    <s v="Mediterranean Sea"/>
    <s v="Company 4"/>
    <n v="76658"/>
    <n v="2"/>
    <n v="1.0506"/>
    <n v="942280.01971799997"/>
    <n v="917777.63971799996"/>
    <n v="751492.4360039999"/>
    <n v="917777.63971799996"/>
    <x v="0"/>
    <x v="5"/>
  </r>
  <r>
    <s v="CLM-00026"/>
    <x v="25"/>
    <x v="0"/>
    <n v="508739.15"/>
    <s v="Closed"/>
    <n v="624539.27"/>
    <n v="520721.69"/>
    <n v="5000000"/>
    <n v="11982.54"/>
    <s v="Technical Failure"/>
    <s v="North Sea"/>
    <s v="Company 9"/>
    <n v="22139"/>
    <n v="3"/>
    <n v="1.2053063131199999"/>
    <n v="627629.14033551549"/>
    <n v="615646.60033551545"/>
    <n v="752761.12492235622"/>
    <n v="615646.60033551545"/>
    <x v="0"/>
    <x v="2"/>
  </r>
  <r>
    <s v="CLM-00027"/>
    <x v="26"/>
    <x v="2"/>
    <n v="376234.78"/>
    <s v="Closed"/>
    <n v="502739.21"/>
    <n v="405983.4"/>
    <n v="2000000"/>
    <n v="29748.62"/>
    <s v="Criminal Activity"/>
    <s v="Indian Ocean"/>
    <s v="Company 6"/>
    <n v="53318"/>
    <n v="7"/>
    <n v="1.071612"/>
    <n v="435056.68324080005"/>
    <n v="405308.06324080005"/>
    <n v="538741.37030652002"/>
    <n v="405308.06324080005"/>
    <x v="0"/>
    <x v="3"/>
  </r>
  <r>
    <s v="CLM-00028"/>
    <x v="27"/>
    <x v="3"/>
    <n v="129803.75"/>
    <s v="In Litigation"/>
    <n v="179803.12"/>
    <n v="162723.88"/>
    <n v="1000000"/>
    <n v="32920.129999999997"/>
    <s v="Natural Disaster"/>
    <s v="Pacific Ocean"/>
    <s v="Company 18"/>
    <n v="68275"/>
    <n v="4"/>
    <n v="1.1037603600000001"/>
    <n v="179608.16836939682"/>
    <n v="146688.03836939682"/>
    <n v="198459.55646032322"/>
    <n v="146688.03836939682"/>
    <x v="0"/>
    <x v="1"/>
  </r>
  <r>
    <s v="CLM-00029"/>
    <x v="28"/>
    <x v="1"/>
    <n v="731235.83999999997"/>
    <s v="Closed"/>
    <n v="624872.34"/>
    <n v="750172.09"/>
    <n v="5000000"/>
    <n v="18936.25"/>
    <s v="Technical Failure"/>
    <s v="Atlantic Ocean"/>
    <s v="Company 14"/>
    <n v="69162"/>
    <n v="2"/>
    <n v="1.03"/>
    <n v="772677.25269999995"/>
    <n v="753741.00269999995"/>
    <n v="643618.51020000002"/>
    <n v="753741.00269999995"/>
    <x v="0"/>
    <x v="4"/>
  </r>
  <r>
    <s v="CLM-00030"/>
    <x v="29"/>
    <x v="0"/>
    <n v="158924.78"/>
    <s v="Closed"/>
    <n v="239682.47"/>
    <n v="174653.73"/>
    <n v="1000000"/>
    <n v="15728.95"/>
    <s v="Human Error"/>
    <s v="North Sea"/>
    <s v="Company 1"/>
    <n v="34540"/>
    <n v="6"/>
    <n v="1.1479107743999999"/>
    <n v="200486.89845614851"/>
    <n v="184757.9484561485"/>
    <n v="275134.08974780474"/>
    <n v="184757.9484561485"/>
    <x v="0"/>
    <x v="0"/>
  </r>
  <r>
    <s v="CLM-00031"/>
    <x v="30"/>
    <x v="2"/>
    <n v="439832.24"/>
    <s v="Closed"/>
    <n v="473893.25"/>
    <n v="471636.18"/>
    <n v="2000000"/>
    <n v="31803.94"/>
    <s v="Criminal Activity"/>
    <s v="Atlantic Ocean"/>
    <s v="Company 20"/>
    <n v="42736"/>
    <n v="8"/>
    <n v="1.0506"/>
    <n v="495500.97070800001"/>
    <n v="463697.03070800001"/>
    <n v="497872.24845000001"/>
    <n v="463697.03070800001"/>
    <x v="0"/>
    <x v="5"/>
  </r>
  <r>
    <s v="CLM-00032"/>
    <x v="31"/>
    <x v="3"/>
    <n v="690239.58"/>
    <s v="In Litigation"/>
    <n v="729324.73"/>
    <n v="717632.12"/>
    <n v="5000000"/>
    <n v="27392.54"/>
    <s v="Natural Disaster"/>
    <s v="Mediterranean Sea"/>
    <s v="Company 3"/>
    <n v="65647"/>
    <n v="7"/>
    <n v="1.1037603600000001"/>
    <n v="792093.88711876329"/>
    <n v="764701.34711876325"/>
    <n v="804999.72654170287"/>
    <n v="764701.34711876325"/>
    <x v="0"/>
    <x v="1"/>
  </r>
  <r>
    <s v="CLM-00033"/>
    <x v="32"/>
    <x v="4"/>
    <n v="215983.48"/>
    <s v="Closed"/>
    <n v="293749.36"/>
    <n v="236967.86000000002"/>
    <n v="2000000"/>
    <n v="20984.38"/>
    <s v="Technical Failure"/>
    <s v="Indian Ocean"/>
    <s v="Company 19"/>
    <n v="22310"/>
    <n v="4"/>
    <n v="1.071612"/>
    <n v="253937.60239032001"/>
    <n v="232953.22239032001"/>
    <n v="314785.33916832"/>
    <n v="232953.22239032001"/>
    <x v="0"/>
    <x v="3"/>
  </r>
  <r>
    <s v="CLM-00034"/>
    <x v="33"/>
    <x v="0"/>
    <n v="507983.42"/>
    <s v="Open"/>
    <n v="539873.21"/>
    <n v="543166.67999999993"/>
    <n v="5000000"/>
    <n v="35183.26"/>
    <s v="Human Error"/>
    <s v="Pacific Ocean"/>
    <s v="Company 8"/>
    <n v="29639"/>
    <n v="2"/>
    <n v="1.1479107743999999"/>
    <n v="623506.88426707685"/>
    <n v="588323.62426707684"/>
    <n v="619726.27456891374"/>
    <n v="588323.62426707684"/>
    <x v="0"/>
    <x v="0"/>
  </r>
  <r>
    <s v="CLM-00035"/>
    <x v="34"/>
    <x v="2"/>
    <n v="451973.22"/>
    <s v="Closed"/>
    <n v="462839.74"/>
    <n v="480319.12999999995"/>
    <n v="500000"/>
    <n v="28345.91"/>
    <s v="Criminal Activity"/>
    <s v="Mediterranean Sea"/>
    <s v="Company 5"/>
    <n v="58445"/>
    <n v="4"/>
    <n v="1.2053063131199999"/>
    <n v="578931.67970130593"/>
    <n v="550585.76970130589"/>
    <n v="557863.66058481939"/>
    <n v="500000"/>
    <x v="0"/>
    <x v="2"/>
  </r>
  <r>
    <s v="CLM-00036"/>
    <x v="35"/>
    <x v="1"/>
    <n v="289524.33"/>
    <s v="Closed"/>
    <n v="312984.46999999997"/>
    <n v="314363.61"/>
    <n v="2000000"/>
    <n v="24839.279999999999"/>
    <s v="Technical Failure"/>
    <s v="Atlantic Ocean"/>
    <s v="Company 7"/>
    <n v="47143"/>
    <n v="3"/>
    <n v="1.071612"/>
    <n v="336875.81683932"/>
    <n v="312036.53683931998"/>
    <n v="335397.91386563994"/>
    <n v="312036.53683931998"/>
    <x v="0"/>
    <x v="3"/>
  </r>
  <r>
    <s v="CLM-00037"/>
    <x v="36"/>
    <x v="3"/>
    <n v="674832.75"/>
    <s v="Open"/>
    <n v="705673.45"/>
    <n v="716116.29"/>
    <n v="5000000"/>
    <n v="41283.54"/>
    <s v="Natural Disaster"/>
    <s v="Pacific Ocean"/>
    <s v="Company 12"/>
    <n v="51322"/>
    <n v="5"/>
    <n v="1.1037603600000001"/>
    <n v="790420.77405226452"/>
    <n v="749137.23405226448"/>
    <n v="778894.38121444208"/>
    <n v="749137.23405226448"/>
    <x v="0"/>
    <x v="1"/>
  </r>
  <r>
    <s v="CLM-00038"/>
    <x v="37"/>
    <x v="4"/>
    <n v="289523.34000000003"/>
    <s v="In Litigation"/>
    <n v="310849.56"/>
    <n v="316918.08"/>
    <n v="2000000"/>
    <n v="27394.74"/>
    <s v="Human Error"/>
    <s v="North Sea"/>
    <s v="Company 16"/>
    <n v="33734"/>
    <n v="8"/>
    <n v="1.03"/>
    <n v="326425.62240000005"/>
    <n v="299030.88240000006"/>
    <n v="320175.04680000001"/>
    <n v="299030.88240000006"/>
    <x v="0"/>
    <x v="4"/>
  </r>
  <r>
    <s v="CLM-00039"/>
    <x v="38"/>
    <x v="0"/>
    <n v="492783.45"/>
    <s v="Closed"/>
    <n v="489234.72"/>
    <n v="512067.73"/>
    <n v="2000000"/>
    <n v="19284.28"/>
    <s v="Technical Failure"/>
    <s v="Indian Ocean"/>
    <s v="Company 11"/>
    <n v="65176"/>
    <n v="6"/>
    <n v="1.0506"/>
    <n v="537978.35713799996"/>
    <n v="518694.07713799994"/>
    <n v="513989.99683199998"/>
    <n v="518694.07713799994"/>
    <x v="0"/>
    <x v="5"/>
  </r>
  <r>
    <s v="CLM-00040"/>
    <x v="39"/>
    <x v="2"/>
    <n v="812739.57"/>
    <s v="Closed"/>
    <n v="893485.25"/>
    <n v="851033.0199999999"/>
    <n v="5000000"/>
    <n v="38293.449999999997"/>
    <s v="Criminal Activity"/>
    <s v="North Sea"/>
    <s v="Company 18"/>
    <n v="60979"/>
    <n v="7"/>
    <n v="1.1479107743999999"/>
    <n v="976909.97302817053"/>
    <n v="938616.52302817057"/>
    <n v="1025641.3452424775"/>
    <n v="938616.52302817057"/>
    <x v="0"/>
    <x v="0"/>
  </r>
  <r>
    <s v="CLM-00041"/>
    <x v="40"/>
    <x v="3"/>
    <n v="523987.21"/>
    <s v="Open"/>
    <n v="594372.84"/>
    <n v="549880.48"/>
    <n v="5000000"/>
    <n v="25893.27"/>
    <s v="Natural Disaster"/>
    <s v="Atlantic Ocean"/>
    <s v="Company 10"/>
    <n v="91704"/>
    <n v="2"/>
    <n v="1.071612"/>
    <n v="589258.52093375998"/>
    <n v="563365.25093375996"/>
    <n v="636937.06781807996"/>
    <n v="563365.25093375996"/>
    <x v="0"/>
    <x v="3"/>
  </r>
  <r>
    <s v="CLM-00042"/>
    <x v="41"/>
    <x v="1"/>
    <n v="392873.65"/>
    <s v="Closed"/>
    <n v="410384.95"/>
    <n v="424721.10000000003"/>
    <n v="2000000"/>
    <n v="31847.45"/>
    <s v="Technical Failure"/>
    <s v="Mediterranean Sea"/>
    <s v="Company 4"/>
    <n v="45834"/>
    <n v="5"/>
    <n v="1.03"/>
    <n v="437462.73300000007"/>
    <n v="405615.28300000005"/>
    <n v="422696.49850000005"/>
    <n v="405615.28300000005"/>
    <x v="0"/>
    <x v="4"/>
  </r>
  <r>
    <s v="CLM-00043"/>
    <x v="42"/>
    <x v="4"/>
    <n v="539278.54"/>
    <s v="Closed"/>
    <n v="590248.72"/>
    <n v="557573.29"/>
    <n v="5000000"/>
    <n v="18294.75"/>
    <s v="Human Error"/>
    <s v="Pacific Ocean"/>
    <s v="Company 15"/>
    <n v="48072"/>
    <n v="3"/>
    <n v="1.1037603600000001"/>
    <n v="615427.29529678449"/>
    <n v="597132.54529678449"/>
    <n v="651493.13967673923"/>
    <n v="597132.54529678449"/>
    <x v="0"/>
    <x v="1"/>
  </r>
  <r>
    <s v="CLM-00044"/>
    <x v="43"/>
    <x v="0"/>
    <n v="283973.44"/>
    <s v="Open"/>
    <n v="312384.21000000002"/>
    <n v="300456.98"/>
    <n v="2000000"/>
    <n v="16483.54"/>
    <s v="Human Error"/>
    <s v="Indian Ocean"/>
    <s v="Company 9"/>
    <n v="93868"/>
    <n v="4"/>
    <n v="1.2053063131199999"/>
    <n v="362142.69481496955"/>
    <n v="345659.15481496957"/>
    <n v="376518.66043200385"/>
    <n v="345659.15481496957"/>
    <x v="0"/>
    <x v="2"/>
  </r>
  <r>
    <s v="CLM-00045"/>
    <x v="44"/>
    <x v="2"/>
    <n v="482839.65"/>
    <s v="Closed"/>
    <n v="493284.45"/>
    <n v="518138.29000000004"/>
    <n v="5000000"/>
    <n v="35298.639999999999"/>
    <s v="Criminal Activity"/>
    <s v="North Sea"/>
    <s v="Company 7"/>
    <n v="15385"/>
    <n v="1"/>
    <n v="1.0506"/>
    <n v="544356.08747400006"/>
    <n v="509057.44747400004"/>
    <n v="518244.64317"/>
    <n v="509057.44747400004"/>
    <x v="0"/>
    <x v="5"/>
  </r>
  <r>
    <s v="CLM-00046"/>
    <x v="45"/>
    <x v="3"/>
    <n v="683482.94"/>
    <s v="In Litigation"/>
    <n v="705473.28"/>
    <n v="716430.78999999992"/>
    <n v="5000000"/>
    <n v="32947.85"/>
    <s v="Natural Disaster"/>
    <s v="Atlantic Ocean"/>
    <s v="Company 3"/>
    <n v="95565"/>
    <n v="6"/>
    <n v="1.071612"/>
    <n v="767735.83173347998"/>
    <n v="734787.98173348"/>
    <n v="755993.63252735999"/>
    <n v="734787.98173348"/>
    <x v="0"/>
    <x v="3"/>
  </r>
  <r>
    <s v="CLM-00047"/>
    <x v="46"/>
    <x v="1"/>
    <n v="783948.23"/>
    <s v="Closed"/>
    <n v="815738.23"/>
    <n v="813530.62"/>
    <n v="5000000"/>
    <n v="29582.39"/>
    <s v="Technical Failure"/>
    <s v="Mediterranean Sea"/>
    <s v="Company 14"/>
    <n v="47956"/>
    <n v="2"/>
    <n v="1.1037603600000001"/>
    <n v="897942.85000222328"/>
    <n v="868360.46000222326"/>
    <n v="900379.52241056284"/>
    <n v="868360.46000222326"/>
    <x v="0"/>
    <x v="1"/>
  </r>
  <r>
    <s v="CLM-00048"/>
    <x v="47"/>
    <x v="4"/>
    <n v="239582.74"/>
    <s v="Closed"/>
    <n v="260384.12"/>
    <n v="260976.97"/>
    <n v="1000000"/>
    <n v="21394.23"/>
    <s v="Human Error"/>
    <s v="Indian Ocean"/>
    <s v="Company 2"/>
    <n v="52712"/>
    <n v="7"/>
    <n v="1.1479107743999999"/>
    <n v="299578.27573326556"/>
    <n v="278184.04573326558"/>
    <n v="298897.73683066247"/>
    <n v="278184.04573326558"/>
    <x v="0"/>
    <x v="0"/>
  </r>
  <r>
    <s v="CLM-00049"/>
    <x v="48"/>
    <x v="0"/>
    <n v="294738.48"/>
    <s v="Closed"/>
    <n v="320839.53999999998"/>
    <n v="313686.01"/>
    <n v="2000000"/>
    <n v="18947.53"/>
    <s v="Technical Failure"/>
    <s v="North Sea"/>
    <s v="Company 8"/>
    <n v="43734"/>
    <n v="4"/>
    <n v="1.0506"/>
    <n v="329558.52210599999"/>
    <n v="310610.99210599996"/>
    <n v="337074.02072399994"/>
    <n v="310610.99210599996"/>
    <x v="0"/>
    <x v="5"/>
  </r>
  <r>
    <s v="CLM-00050"/>
    <x v="49"/>
    <x v="2"/>
    <n v="583948.29"/>
    <s v="Closed"/>
    <n v="612839.65"/>
    <n v="613232.67000000004"/>
    <n v="5000000"/>
    <n v="29284.38"/>
    <s v="Criminal Activity"/>
    <s v="Pacific Ocean"/>
    <s v="Company 13"/>
    <n v="34059"/>
    <n v="9"/>
    <n v="1.071612"/>
    <n v="657147.48796404002"/>
    <n v="627863.10796404001"/>
    <n v="656726.32301579998"/>
    <n v="627863.10796404001"/>
    <x v="0"/>
    <x v="3"/>
  </r>
  <r>
    <s v="CLM-00051"/>
    <x v="50"/>
    <x v="3"/>
    <n v="784839.21"/>
    <s v="Open"/>
    <n v="815392.45"/>
    <n v="823786.49"/>
    <n v="5000000"/>
    <n v="38947.279999999999"/>
    <s v="Natural Disaster"/>
    <s v="Atlantic Ocean"/>
    <s v="Company 5"/>
    <n v="85948"/>
    <n v="3"/>
    <n v="1.1037603600000001"/>
    <n v="909262.87276553642"/>
    <n v="870315.59276553639"/>
    <n v="899997.86415328202"/>
    <n v="870315.59276553639"/>
    <x v="0"/>
    <x v="1"/>
  </r>
  <r>
    <s v="CLM-00052"/>
    <x v="51"/>
    <x v="1"/>
    <n v="398483.65"/>
    <s v="Closed"/>
    <n v="419384.25"/>
    <n v="427431.03"/>
    <n v="2000000"/>
    <n v="28947.38"/>
    <s v="Technical Failure"/>
    <s v="Mediterranean Sea"/>
    <s v="Company 11"/>
    <n v="26066"/>
    <n v="6"/>
    <n v="1.03"/>
    <n v="440253.96090000006"/>
    <n v="411306.58090000006"/>
    <n v="431965.77750000003"/>
    <n v="411306.58090000006"/>
    <x v="0"/>
    <x v="4"/>
  </r>
  <r>
    <s v="CLM-00053"/>
    <x v="52"/>
    <x v="4"/>
    <n v="485739.23"/>
    <s v="Closed"/>
    <n v="523849.58"/>
    <n v="503135.07"/>
    <n v="5000000"/>
    <n v="17395.84"/>
    <s v="Human Error"/>
    <s v="North Sea"/>
    <s v="Company 17"/>
    <n v="33575"/>
    <n v="8"/>
    <n v="1.2053063131199999"/>
    <n v="606431.87622307311"/>
    <n v="589036.03622307314"/>
    <n v="631399.20589926047"/>
    <n v="589036.03622307314"/>
    <x v="0"/>
    <x v="2"/>
  </r>
  <r>
    <s v="CLM-00054"/>
    <x v="53"/>
    <x v="0"/>
    <n v="593849.48"/>
    <s v="Open"/>
    <n v="629382.74"/>
    <n v="632797.05999999994"/>
    <n v="5000000"/>
    <n v="38947.58"/>
    <s v="Technical Failure"/>
    <s v="Indian Ocean"/>
    <s v="Company 4"/>
    <n v="83845"/>
    <n v="2"/>
    <n v="1.1479107743999999"/>
    <n v="726394.56318264315"/>
    <n v="687446.98318264319"/>
    <n v="722475.22846739378"/>
    <n v="687446.98318264319"/>
    <x v="0"/>
    <x v="0"/>
  </r>
  <r>
    <s v="CLM-00055"/>
    <x v="54"/>
    <x v="2"/>
    <n v="683849.75"/>
    <s v="Closed"/>
    <n v="728947.34"/>
    <n v="716797.2"/>
    <n v="5000000"/>
    <n v="32947.449999999997"/>
    <s v="Criminal Activity"/>
    <s v="Pacific Ocean"/>
    <s v="Company 7"/>
    <n v="32864"/>
    <n v="3"/>
    <n v="1.0506"/>
    <n v="753067.13831999991"/>
    <n v="720119.68831999996"/>
    <n v="765832.075404"/>
    <n v="720119.68831999996"/>
    <x v="0"/>
    <x v="5"/>
  </r>
  <r>
    <s v="CLM-00056"/>
    <x v="55"/>
    <x v="3"/>
    <n v="792483.56"/>
    <s v="Open"/>
    <n v="812849.67"/>
    <n v="827431.81"/>
    <n v="5000000"/>
    <n v="34948.25"/>
    <s v="Natural Disaster"/>
    <s v="Atlantic Ocean"/>
    <s v="Company 8"/>
    <n v="95501"/>
    <n v="7"/>
    <n v="1.071612"/>
    <n v="886685.85677772004"/>
    <n v="851737.60677772004"/>
    <n v="871059.46056804003"/>
    <n v="851737.60677772004"/>
    <x v="0"/>
    <x v="3"/>
  </r>
  <r>
    <s v="CLM-00057"/>
    <x v="56"/>
    <x v="1"/>
    <n v="594837.93999999994"/>
    <s v="Closed"/>
    <n v="629382.74"/>
    <n v="623785.5"/>
    <n v="5000000"/>
    <n v="28947.56"/>
    <s v="Technical Failure"/>
    <s v="Mediterranean Sea"/>
    <s v="Company 10"/>
    <n v="30750"/>
    <n v="4"/>
    <n v="1.1037603600000001"/>
    <n v="688509.70804278005"/>
    <n v="659562.14804278"/>
    <n v="694687.71968018648"/>
    <n v="659562.14804278"/>
    <x v="0"/>
    <x v="1"/>
  </r>
  <r>
    <s v="CLM-00058"/>
    <x v="57"/>
    <x v="4"/>
    <n v="472839.28"/>
    <s v="Closed"/>
    <n v="523849.27"/>
    <n v="494777.76"/>
    <n v="5000000"/>
    <n v="21938.48"/>
    <s v="Human Error"/>
    <s v="North Sea"/>
    <s v="Company 3"/>
    <n v="49338"/>
    <n v="6"/>
    <n v="1.03"/>
    <n v="509621.09280000004"/>
    <n v="487682.61280000006"/>
    <n v="539564.74810000008"/>
    <n v="487682.61280000006"/>
    <x v="0"/>
    <x v="4"/>
  </r>
  <r>
    <s v="CLM-00059"/>
    <x v="58"/>
    <x v="0"/>
    <n v="592483.44999999995"/>
    <s v="Open"/>
    <n v="628849.74"/>
    <n v="625430.82999999996"/>
    <n v="2000000"/>
    <n v="32947.379999999997"/>
    <s v="Technical Failure"/>
    <s v="Atlantic Ocean"/>
    <s v="Company 9"/>
    <n v="64285"/>
    <n v="5"/>
    <n v="1.2053063131199999"/>
    <n v="753835.72781888139"/>
    <n v="720888.34781888139"/>
    <n v="757956.56162587053"/>
    <n v="720888.34781888139"/>
    <x v="0"/>
    <x v="2"/>
  </r>
  <r>
    <s v="CLM-00060"/>
    <x v="59"/>
    <x v="2"/>
    <n v="839483.29"/>
    <s v="Closed"/>
    <n v="872394.58"/>
    <n v="877431.67"/>
    <n v="5000000"/>
    <n v="37948.379999999997"/>
    <s v="Criminal Activity"/>
    <s v="Pacific Ocean"/>
    <s v="Company 6"/>
    <n v="18302"/>
    <n v="3"/>
    <n v="1.1479107743999999"/>
    <n v="1007213.2677927852"/>
    <n v="969264.88779278519"/>
    <n v="1001431.1379101626"/>
    <n v="969264.88779278519"/>
    <x v="0"/>
    <x v="0"/>
  </r>
  <r>
    <s v="CLM-00061"/>
    <x v="60"/>
    <x v="3"/>
    <n v="839483.58"/>
    <s v="Open"/>
    <n v="859382.45"/>
    <n v="878431.02999999991"/>
    <n v="5000000"/>
    <n v="38947.449999999997"/>
    <s v="Natural Disaster"/>
    <s v="North Sea"/>
    <s v="Company 11"/>
    <n v="117196"/>
    <n v="4"/>
    <n v="1.0506"/>
    <n v="922879.64011799986"/>
    <n v="883932.19011799991"/>
    <n v="902867.20196999994"/>
    <n v="883932.19011799991"/>
    <x v="0"/>
    <x v="5"/>
  </r>
  <r>
    <s v="CLM-00062"/>
    <x v="61"/>
    <x v="1"/>
    <n v="793849.23"/>
    <s v="Closed"/>
    <n v="823949.74"/>
    <n v="823331.71"/>
    <n v="5000000"/>
    <n v="29482.48"/>
    <s v="Technical Failure"/>
    <s v="Mediterranean Sea"/>
    <s v="Company 13"/>
    <n v="31755"/>
    <n v="7"/>
    <n v="1.071612"/>
    <n v="882292.14041651995"/>
    <n v="852809.66041651997"/>
    <n v="882954.42878087994"/>
    <n v="852809.66041651997"/>
    <x v="0"/>
    <x v="3"/>
  </r>
  <r>
    <s v="CLM-00063"/>
    <x v="62"/>
    <x v="4"/>
    <n v="473839.25"/>
    <s v="Closed"/>
    <n v="512849.56"/>
    <n v="501321.63"/>
    <n v="5000000"/>
    <n v="27482.38"/>
    <s v="Human Error"/>
    <s v="Pacific Ocean"/>
    <s v="Company 15"/>
    <n v="46472"/>
    <n v="6"/>
    <n v="1.1037603600000001"/>
    <n v="553338.94280458684"/>
    <n v="525856.56280458684"/>
    <n v="566063.01497144171"/>
    <n v="525856.56280458684"/>
    <x v="0"/>
    <x v="1"/>
  </r>
  <r>
    <s v="CLM-00064"/>
    <x v="63"/>
    <x v="0"/>
    <n v="573849.48"/>
    <s v="Open"/>
    <n v="612849.75"/>
    <n v="606697.05999999994"/>
    <n v="5000000"/>
    <n v="32847.58"/>
    <s v="Technical Failure"/>
    <s v="Indian Ocean"/>
    <s v="Company 8"/>
    <n v="88389"/>
    <n v="3"/>
    <n v="1.1479107743999999"/>
    <n v="696434.0919708031"/>
    <n v="663586.51197080314"/>
    <n v="703496.83111334639"/>
    <n v="663586.51197080314"/>
    <x v="0"/>
    <x v="0"/>
  </r>
  <r>
    <s v="CLM-00065"/>
    <x v="64"/>
    <x v="2"/>
    <n v="683849.75"/>
    <s v="Closed"/>
    <n v="728947.34"/>
    <n v="716797.2"/>
    <n v="5000000"/>
    <n v="32947.449999999997"/>
    <s v="Criminal Activity"/>
    <s v="Atlantic Ocean"/>
    <s v="Company 1"/>
    <n v="80880"/>
    <n v="2"/>
    <n v="1.03"/>
    <n v="738301.11599999992"/>
    <n v="705353.66599999997"/>
    <n v="750815.76020000002"/>
    <n v="705353.66599999997"/>
    <x v="0"/>
    <x v="4"/>
  </r>
  <r>
    <s v="CLM-00066"/>
    <x v="65"/>
    <x v="3"/>
    <n v="683849.45"/>
    <s v="Open"/>
    <n v="712849.23"/>
    <n v="713331.89999999991"/>
    <n v="5000000"/>
    <n v="29482.45"/>
    <s v="Natural Disaster"/>
    <s v="Mediterranean Sea"/>
    <s v="Company 7"/>
    <n v="52366"/>
    <n v="4"/>
    <n v="1.0506"/>
    <n v="749426.49413999985"/>
    <n v="719944.0441399999"/>
    <n v="748919.40103800001"/>
    <n v="719944.0441399999"/>
    <x v="0"/>
    <x v="5"/>
  </r>
  <r>
    <s v="CLM-00067"/>
    <x v="66"/>
    <x v="1"/>
    <n v="573839.54"/>
    <s v="Closed"/>
    <n v="612839.84"/>
    <n v="601678.92000000004"/>
    <n v="5000000"/>
    <n v="27839.38"/>
    <s v="Technical Failure"/>
    <s v="North Sea"/>
    <s v="Company 14"/>
    <n v="26779"/>
    <n v="5"/>
    <n v="1.071612"/>
    <n v="644766.35081904009"/>
    <n v="616926.97081904009"/>
    <n v="656726.52662208001"/>
    <n v="616926.97081904009"/>
    <x v="0"/>
    <x v="3"/>
  </r>
  <r>
    <s v="CLM-00068"/>
    <x v="67"/>
    <x v="4"/>
    <n v="572839.44999999995"/>
    <s v="Closed"/>
    <n v="610849.75"/>
    <n v="605786.89999999991"/>
    <n v="5000000"/>
    <n v="32947.449999999997"/>
    <s v="Human Error"/>
    <s v="Pacific Ocean"/>
    <s v="Company 6"/>
    <n v="47457"/>
    <n v="3"/>
    <n v="1.1037603600000001"/>
    <n v="668643.56682728394"/>
    <n v="635696.11682728399"/>
    <n v="674231.73996591009"/>
    <n v="635696.11682728399"/>
    <x v="0"/>
    <x v="1"/>
  </r>
  <r>
    <s v="CLM-00069"/>
    <x v="68"/>
    <x v="4"/>
    <n v="472839.38"/>
    <s v="Open"/>
    <n v="510839.74"/>
    <n v="502313.22000000003"/>
    <n v="2000000"/>
    <n v="29473.84"/>
    <s v="Technical Failure"/>
    <s v="Mediterranean Sea"/>
    <s v="Company 16"/>
    <n v="48237"/>
    <n v="4"/>
    <n v="1.1479107743999999"/>
    <n v="576610.75736155757"/>
    <n v="547136.9173615576"/>
    <n v="586398.44153769454"/>
    <n v="547136.9173615576"/>
    <x v="0"/>
    <x v="0"/>
  </r>
  <r>
    <s v="CLM-00070"/>
    <x v="69"/>
    <x v="0"/>
    <n v="573849.48"/>
    <s v="Closed"/>
    <n v="612849.75"/>
    <n v="606697.05999999994"/>
    <n v="5000000"/>
    <n v="32847.58"/>
    <s v="Technical Failure"/>
    <s v="North Sea"/>
    <s v="Company 7"/>
    <n v="49672"/>
    <n v="3"/>
    <n v="1.03"/>
    <n v="624897.97179999994"/>
    <n v="592050.39179999998"/>
    <n v="631235.24250000005"/>
    <n v="592050.39179999998"/>
    <x v="0"/>
    <x v="4"/>
  </r>
  <r>
    <s v="CLM-00071"/>
    <x v="70"/>
    <x v="2"/>
    <n v="683849.75"/>
    <s v="Closed"/>
    <n v="728947.34"/>
    <n v="721798.13"/>
    <n v="5000000"/>
    <n v="37948.379999999997"/>
    <s v="Criminal Activity"/>
    <s v="Pacific Ocean"/>
    <s v="Company 19"/>
    <n v="55320"/>
    <n v="5"/>
    <n v="1.071612"/>
    <n v="773487.53768556006"/>
    <n v="735539.15768556006"/>
    <n v="781148.71691207995"/>
    <n v="735539.15768556006"/>
    <x v="0"/>
    <x v="3"/>
  </r>
  <r>
    <s v="CLM-00072"/>
    <x v="71"/>
    <x v="3"/>
    <n v="739849.45"/>
    <s v="Open"/>
    <n v="762849.23"/>
    <n v="778796.89999999991"/>
    <n v="5000000"/>
    <n v="38947.449999999997"/>
    <s v="Natural Disaster"/>
    <s v="Indian Ocean"/>
    <s v="Company 5"/>
    <n v="65434"/>
    <n v="3"/>
    <n v="1.0506"/>
    <n v="818204.02313999983"/>
    <n v="779256.57313999988"/>
    <n v="801449.40103800001"/>
    <n v="779256.57313999988"/>
    <x v="0"/>
    <x v="5"/>
  </r>
  <r>
    <s v="CLM-00073"/>
    <x v="72"/>
    <x v="1"/>
    <n v="573839.54"/>
    <s v="Closed"/>
    <n v="612839.84"/>
    <n v="601678.92000000004"/>
    <n v="5000000"/>
    <n v="27839.38"/>
    <s v="Technical Failure"/>
    <s v="Atlantic Ocean"/>
    <s v="Company 20"/>
    <n v="44194"/>
    <n v="6"/>
    <n v="1.1037603600000001"/>
    <n v="664109.34134361136"/>
    <n v="636269.96134361136"/>
    <n v="676428.32242074248"/>
    <n v="636269.96134361136"/>
    <x v="0"/>
    <x v="1"/>
  </r>
  <r>
    <s v="CLM-00074"/>
    <x v="73"/>
    <x v="4"/>
    <n v="572839.44999999995"/>
    <s v="Closed"/>
    <n v="610849.75"/>
    <n v="605786.89999999991"/>
    <n v="5000000"/>
    <n v="32947.449999999997"/>
    <s v="Human Error"/>
    <s v="North Sea"/>
    <s v="Company 9"/>
    <n v="15962"/>
    <n v="3"/>
    <n v="1.2053063131199999"/>
    <n v="730158.77497539402"/>
    <n v="697211.32497539406"/>
    <n v="736261.06004277372"/>
    <n v="697211.32497539406"/>
    <x v="0"/>
    <x v="2"/>
  </r>
  <r>
    <s v="CLM-00075"/>
    <x v="74"/>
    <x v="0"/>
    <n v="793849.23"/>
    <s v="Open"/>
    <n v="823949.74"/>
    <n v="823331.71"/>
    <n v="5000000"/>
    <n v="29482.48"/>
    <s v="Technical Failure"/>
    <s v="Pacific Ocean"/>
    <s v="Company 12"/>
    <n v="98707"/>
    <n v="4"/>
    <n v="1.03"/>
    <n v="848031.66130000004"/>
    <n v="818549.18130000005"/>
    <n v="848668.23219999997"/>
    <n v="818549.18130000005"/>
    <x v="0"/>
    <x v="4"/>
  </r>
  <r>
    <s v="CLM-00076"/>
    <x v="75"/>
    <x v="2"/>
    <n v="573849.48"/>
    <s v="Closed"/>
    <n v="612849.75"/>
    <n v="606697.05999999994"/>
    <n v="5000000"/>
    <n v="32847.58"/>
    <s v="Criminal Activity"/>
    <s v="Indian Ocean"/>
    <s v="Company 14"/>
    <n v="65923"/>
    <n v="3"/>
    <n v="1.071612"/>
    <n v="650143.84986071999"/>
    <n v="617296.26986072003"/>
    <n v="656737.146297"/>
    <n v="617296.26986072003"/>
    <x v="0"/>
    <x v="3"/>
  </r>
  <r>
    <s v="CLM-00077"/>
    <x v="76"/>
    <x v="3"/>
    <n v="572839.44999999995"/>
    <s v="Closed"/>
    <n v="610849.75"/>
    <n v="605786.89999999991"/>
    <n v="5000000"/>
    <n v="32947.449999999997"/>
    <s v="Natural Disaster"/>
    <s v="Mediterranean Sea"/>
    <s v="Company 8"/>
    <n v="110287"/>
    <n v="6"/>
    <n v="1.1037603600000001"/>
    <n v="668643.56682728394"/>
    <n v="635696.11682728399"/>
    <n v="674231.73996591009"/>
    <n v="635696.11682728399"/>
    <x v="0"/>
    <x v="1"/>
  </r>
  <r>
    <s v="CLM-00078"/>
    <x v="24"/>
    <x v="1"/>
    <n v="573839.54"/>
    <s v="Open"/>
    <n v="612839.84"/>
    <n v="601678.92000000004"/>
    <n v="5000000"/>
    <n v="27839.38"/>
    <s v="Technical Failure"/>
    <s v="Atlantic Ocean"/>
    <s v="Company 11"/>
    <n v="60697"/>
    <n v="3"/>
    <n v="1.0506"/>
    <n v="632123.87335200002"/>
    <n v="604284.49335200002"/>
    <n v="643849.53590399993"/>
    <n v="604284.49335200002"/>
    <x v="0"/>
    <x v="5"/>
  </r>
  <r>
    <s v="CLM-00079"/>
    <x v="77"/>
    <x v="4"/>
    <n v="473839.25"/>
    <s v="Closed"/>
    <n v="512849.56"/>
    <n v="501321.63"/>
    <n v="2000000"/>
    <n v="27482.38"/>
    <s v="Human Error"/>
    <s v="North Sea"/>
    <s v="Company 2"/>
    <n v="31641"/>
    <n v="5"/>
    <n v="1.03"/>
    <n v="516361.27890000003"/>
    <n v="488878.89890000003"/>
    <n v="528235.04680000001"/>
    <n v="488878.89890000003"/>
    <x v="0"/>
    <x v="4"/>
  </r>
  <r>
    <s v="CLM-00080"/>
    <x v="78"/>
    <x v="0"/>
    <n v="573849.48"/>
    <s v="Closed"/>
    <n v="612849.75"/>
    <n v="606697.05999999994"/>
    <n v="5000000"/>
    <n v="32847.58"/>
    <s v="Technical Failure"/>
    <s v="Pacific Ocean"/>
    <s v="Company 17"/>
    <n v="77627"/>
    <n v="7"/>
    <n v="1.071612"/>
    <n v="650143.84986071999"/>
    <n v="617296.26986072003"/>
    <n v="656737.146297"/>
    <n v="617296.26986072003"/>
    <x v="0"/>
    <x v="3"/>
  </r>
  <r>
    <s v="CLM-00081"/>
    <x v="79"/>
    <x v="2"/>
    <n v="683849.75"/>
    <s v="Closed"/>
    <n v="728947.34"/>
    <n v="721798.13"/>
    <n v="5000000"/>
    <n v="37948.379999999997"/>
    <s v="Criminal Activity"/>
    <s v="Indian Ocean"/>
    <s v="Company 1"/>
    <n v="19270"/>
    <n v="3"/>
    <n v="1.1037603600000001"/>
    <n v="796692.16381612688"/>
    <n v="758743.78381612687"/>
    <n v="804583.1784194425"/>
    <n v="758743.78381612687"/>
    <x v="0"/>
    <x v="1"/>
  </r>
  <r>
    <s v="CLM-00082"/>
    <x v="80"/>
    <x v="3"/>
    <n v="739849.45"/>
    <s v="Open"/>
    <n v="762849.23"/>
    <n v="778796.89999999991"/>
    <n v="5000000"/>
    <n v="38947.449999999997"/>
    <s v="Natural Disaster"/>
    <s v="Mediterranean Sea"/>
    <s v="Company 13"/>
    <n v="68063"/>
    <n v="4"/>
    <n v="1.1479107743999999"/>
    <n v="893989.35257931915"/>
    <n v="855041.9025793192"/>
    <n v="875682.85035974358"/>
    <n v="855041.9025793192"/>
    <x v="0"/>
    <x v="0"/>
  </r>
  <r>
    <s v="CLM-00083"/>
    <x v="81"/>
    <x v="1"/>
    <n v="573839.54"/>
    <s v="Closed"/>
    <n v="612839.84"/>
    <n v="601678.92000000004"/>
    <n v="5000000"/>
    <n v="27839.38"/>
    <s v="Technical Failure"/>
    <s v="Atlantic Ocean"/>
    <s v="Company 18"/>
    <n v="49315"/>
    <n v="5"/>
    <n v="1.2053063131199999"/>
    <n v="725207.40074722341"/>
    <n v="697368.0207472234"/>
    <n v="738659.72808345058"/>
    <n v="697368.0207472234"/>
    <x v="0"/>
    <x v="2"/>
  </r>
  <r>
    <s v="CLM-00084"/>
    <x v="82"/>
    <x v="4"/>
    <n v="572839.44999999995"/>
    <s v="Closed"/>
    <n v="610849.75"/>
    <n v="605786.89999999991"/>
    <n v="5000000"/>
    <n v="32947.449999999997"/>
    <s v="Human Error"/>
    <s v="North Sea"/>
    <s v="Company 16"/>
    <n v="32699"/>
    <n v="6"/>
    <n v="1.03"/>
    <n v="623960.50699999987"/>
    <n v="591013.05699999991"/>
    <n v="629175.24250000005"/>
    <n v="591013.05699999991"/>
    <x v="0"/>
    <x v="4"/>
  </r>
  <r>
    <s v="CLM-00085"/>
    <x v="83"/>
    <x v="0"/>
    <n v="793849.23"/>
    <s v="Open"/>
    <n v="823949.74"/>
    <n v="823331.71"/>
    <n v="5000000"/>
    <n v="29482.48"/>
    <s v="Technical Failure"/>
    <s v="Pacific Ocean"/>
    <s v="Company 7"/>
    <n v="65127"/>
    <n v="4"/>
    <n v="1.071612"/>
    <n v="882292.14041651995"/>
    <n v="852809.66041651997"/>
    <n v="882954.42878087994"/>
    <n v="852809.66041651997"/>
    <x v="0"/>
    <x v="3"/>
  </r>
  <r>
    <s v="CLM-00086"/>
    <x v="84"/>
    <x v="2"/>
    <n v="573849.48"/>
    <s v="Closed"/>
    <n v="612849.75"/>
    <n v="606697.05999999994"/>
    <n v="5000000"/>
    <n v="32847.58"/>
    <s v="Criminal Activity"/>
    <s v="Indian Ocean"/>
    <s v="Company 4"/>
    <n v="85156"/>
    <n v="3"/>
    <n v="1.1037603600000001"/>
    <n v="669648.16535654163"/>
    <n v="636800.58535654168"/>
    <n v="676439.26068591012"/>
    <n v="636800.58535654168"/>
    <x v="0"/>
    <x v="1"/>
  </r>
  <r>
    <s v="CLM-00087"/>
    <x v="85"/>
    <x v="3"/>
    <n v="572839.44999999995"/>
    <s v="Closed"/>
    <n v="610849.75"/>
    <n v="605786.89999999991"/>
    <n v="5000000"/>
    <n v="32947.449999999997"/>
    <s v="Natural Disaster"/>
    <s v="Atlantic Ocean"/>
    <s v="Company 6"/>
    <n v="102930"/>
    <n v="5"/>
    <n v="1.1479107743999999"/>
    <n v="695389.30950037518"/>
    <n v="662441.85950037523"/>
    <n v="701201.00956454629"/>
    <n v="662441.85950037523"/>
    <x v="0"/>
    <x v="0"/>
  </r>
  <r>
    <s v="CLM-00088"/>
    <x v="86"/>
    <x v="1"/>
    <n v="573839.54"/>
    <s v="Open"/>
    <n v="612839.84"/>
    <n v="601678.92000000004"/>
    <n v="5000000"/>
    <n v="27839.38"/>
    <s v="Technical Failure"/>
    <s v="Mediterranean Sea"/>
    <s v="Company 5"/>
    <n v="40525"/>
    <n v="3"/>
    <n v="1.0506"/>
    <n v="632123.87335200002"/>
    <n v="604284.49335200002"/>
    <n v="643849.53590399993"/>
    <n v="604284.49335200002"/>
    <x v="0"/>
    <x v="5"/>
  </r>
  <r>
    <s v="CLM-00089"/>
    <x v="4"/>
    <x v="4"/>
    <n v="473839.25"/>
    <s v="Closed"/>
    <n v="512849.56"/>
    <n v="501321.63"/>
    <n v="2000000"/>
    <n v="27482.38"/>
    <s v="Human Error"/>
    <s v="North Sea"/>
    <s v="Company 9"/>
    <n v="55488"/>
    <n v="7"/>
    <n v="1.03"/>
    <n v="516361.27890000003"/>
    <n v="488878.89890000003"/>
    <n v="528235.04680000001"/>
    <n v="488878.89890000003"/>
    <x v="0"/>
    <x v="4"/>
  </r>
  <r>
    <s v="CLM-00090"/>
    <x v="87"/>
    <x v="0"/>
    <n v="573849.48"/>
    <s v="Closed"/>
    <n v="612849.75"/>
    <n v="606697.05999999994"/>
    <n v="5000000"/>
    <n v="32847.58"/>
    <s v="Technical Failure"/>
    <s v="Pacific Ocean"/>
    <s v="Company 11"/>
    <n v="65636"/>
    <n v="4"/>
    <n v="1.071612"/>
    <n v="650143.84986071999"/>
    <n v="617296.26986072003"/>
    <n v="656737.146297"/>
    <n v="617296.26986072003"/>
    <x v="0"/>
    <x v="3"/>
  </r>
  <r>
    <s v="CLM-00091"/>
    <x v="88"/>
    <x v="2"/>
    <n v="683849.75"/>
    <s v="Closed"/>
    <n v="728947.34"/>
    <n v="721798.13"/>
    <n v="5000000"/>
    <n v="37948.379999999997"/>
    <s v="Criminal Activity"/>
    <s v="Indian Ocean"/>
    <s v="Company 3"/>
    <n v="54308"/>
    <n v="5"/>
    <n v="1.1037603600000001"/>
    <n v="796692.16381612688"/>
    <n v="758743.78381612687"/>
    <n v="804583.1784194425"/>
    <n v="758743.78381612687"/>
    <x v="0"/>
    <x v="1"/>
  </r>
  <r>
    <s v="CLM-00092"/>
    <x v="89"/>
    <x v="3"/>
    <n v="739849.45"/>
    <s v="Open"/>
    <n v="762849.23"/>
    <n v="778796.89999999991"/>
    <n v="5000000"/>
    <n v="38947.449999999997"/>
    <s v="Natural Disaster"/>
    <s v="Mediterranean Sea"/>
    <s v="Company 17"/>
    <n v="59630"/>
    <n v="6"/>
    <n v="1.0506"/>
    <n v="818204.02313999983"/>
    <n v="779256.57313999988"/>
    <n v="801449.40103800001"/>
    <n v="779256.57313999988"/>
    <x v="0"/>
    <x v="5"/>
  </r>
  <r>
    <s v="CLM-00093"/>
    <x v="90"/>
    <x v="1"/>
    <n v="573839.54"/>
    <s v="Closed"/>
    <n v="612839.84"/>
    <n v="601678.92000000004"/>
    <n v="5000000"/>
    <n v="27839.38"/>
    <s v="Technical Failure"/>
    <s v="Atlantic Ocean"/>
    <s v="Company 14"/>
    <n v="48128"/>
    <n v="3"/>
    <n v="1.1479107743999999"/>
    <n v="690673.71499735559"/>
    <n v="662834.33499735559"/>
    <n v="703485.45531757199"/>
    <n v="662834.33499735559"/>
    <x v="0"/>
    <x v="0"/>
  </r>
  <r>
    <s v="CLM-00094"/>
    <x v="91"/>
    <x v="4"/>
    <n v="572839.44999999995"/>
    <s v="Closed"/>
    <n v="610849.75"/>
    <n v="605786.89999999991"/>
    <n v="5000000"/>
    <n v="32947.449999999997"/>
    <s v="Human Error"/>
    <s v="North Sea"/>
    <s v="Company 15"/>
    <n v="30582"/>
    <n v="4"/>
    <n v="1.03"/>
    <n v="623960.50699999987"/>
    <n v="591013.05699999991"/>
    <n v="629175.24250000005"/>
    <n v="591013.05699999991"/>
    <x v="0"/>
    <x v="4"/>
  </r>
  <r>
    <s v="CLM-00095"/>
    <x v="92"/>
    <x v="0"/>
    <n v="793849.23"/>
    <s v="Open"/>
    <n v="823949.74"/>
    <n v="823331.71"/>
    <n v="5000000"/>
    <n v="29482.48"/>
    <s v="Technical Failure"/>
    <s v="Pacific Ocean"/>
    <s v="Company 16"/>
    <n v="75978"/>
    <n v="3"/>
    <n v="1.071612"/>
    <n v="882292.14041651995"/>
    <n v="852809.66041651997"/>
    <n v="882954.42878087994"/>
    <n v="852809.66041651997"/>
    <x v="0"/>
    <x v="3"/>
  </r>
  <r>
    <s v="CLM-00096"/>
    <x v="93"/>
    <x v="2"/>
    <n v="573849.48"/>
    <s v="Closed"/>
    <n v="612849.75"/>
    <n v="606697.05999999994"/>
    <n v="5000000"/>
    <n v="32847.58"/>
    <s v="Criminal Activity"/>
    <s v="Indian Ocean"/>
    <s v="Company 7"/>
    <n v="76813"/>
    <n v="6"/>
    <n v="1.1037603600000001"/>
    <n v="669648.16535654163"/>
    <n v="636800.58535654168"/>
    <n v="676439.26068591012"/>
    <n v="636800.58535654168"/>
    <x v="0"/>
    <x v="1"/>
  </r>
  <r>
    <s v="CLM-00097"/>
    <x v="94"/>
    <x v="3"/>
    <n v="572839.44999999995"/>
    <s v="Closed"/>
    <n v="610849.75"/>
    <n v="605786.89999999991"/>
    <n v="5000000"/>
    <n v="32947.449999999997"/>
    <s v="Natural Disaster"/>
    <s v="Atlantic Ocean"/>
    <s v="Company 12"/>
    <n v="78039"/>
    <n v="5"/>
    <n v="1.1479107743999999"/>
    <n v="695389.30950037518"/>
    <n v="662441.85950037523"/>
    <n v="701201.00956454629"/>
    <n v="662441.85950037523"/>
    <x v="0"/>
    <x v="0"/>
  </r>
  <r>
    <s v="CLM-00098"/>
    <x v="95"/>
    <x v="1"/>
    <n v="573839.54"/>
    <s v="Open"/>
    <n v="612839.84"/>
    <n v="601678.92000000004"/>
    <n v="5000000"/>
    <n v="27839.38"/>
    <s v="Technical Failure"/>
    <s v="Mediterranean Sea"/>
    <s v="Company 8"/>
    <n v="11983"/>
    <n v="3"/>
    <n v="1.0506"/>
    <n v="632123.87335200002"/>
    <n v="604284.49335200002"/>
    <n v="643849.53590399993"/>
    <n v="604284.49335200002"/>
    <x v="0"/>
    <x v="5"/>
  </r>
  <r>
    <s v="CLM-00099"/>
    <x v="96"/>
    <x v="4"/>
    <n v="473839.25"/>
    <s v="Closed"/>
    <n v="512849.56"/>
    <n v="501321.63"/>
    <n v="2000000"/>
    <n v="27482.38"/>
    <s v="Human Error"/>
    <s v="Pacific Ocean"/>
    <s v="Company 19"/>
    <n v="45624"/>
    <n v="4"/>
    <n v="1.03"/>
    <n v="516361.27890000003"/>
    <n v="488878.89890000003"/>
    <n v="528235.04680000001"/>
    <n v="488878.89890000003"/>
    <x v="0"/>
    <x v="4"/>
  </r>
  <r>
    <s v="CLM-00100"/>
    <x v="97"/>
    <x v="3"/>
    <n v="5000000"/>
    <s v="In Litigation"/>
    <n v="4000000"/>
    <n v="5018723.79"/>
    <n v="10000000"/>
    <n v="18723.79"/>
    <s v="Natural Disaster"/>
    <s v="Atlantic Ocean"/>
    <s v="Company 15"/>
    <n v="103763"/>
    <n v="9"/>
    <n v="1.0506"/>
    <n v="5272671.2137740003"/>
    <n v="5253947.4237740003"/>
    <n v="4202400"/>
    <n v="5253947.4237740003"/>
    <x v="1"/>
    <x v="5"/>
  </r>
  <r>
    <m/>
    <x v="98"/>
    <x v="5"/>
    <m/>
    <m/>
    <m/>
    <m/>
    <m/>
    <m/>
    <m/>
    <m/>
    <m/>
    <m/>
    <m/>
    <m/>
    <m/>
    <m/>
    <m/>
    <m/>
    <x v="2"/>
    <x v="6"/>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x v="0"/>
    <x v="0"/>
    <x v="0"/>
    <x v="0"/>
    <s v="Closed"/>
    <n v="489716.94"/>
    <n v="749769.20000000007"/>
    <x v="0"/>
    <n v="12345.92"/>
    <x v="0"/>
    <x v="0"/>
    <s v="Company 9"/>
    <n v="58039"/>
    <n v="4"/>
    <n v="1.1479107743999999"/>
    <n v="860668.14299326844"/>
    <n v="848322.2229932684"/>
    <n v="562151.35183219833"/>
    <n v="848322.2229932684"/>
    <n v="1"/>
    <x v="0"/>
  </r>
  <r>
    <x v="1"/>
    <x v="1"/>
    <x v="1"/>
    <x v="1"/>
    <s v="Closed"/>
    <n v="58229.22"/>
    <n v="348906.5"/>
    <x v="0"/>
    <n v="33716.76"/>
    <x v="1"/>
    <x v="1"/>
    <s v="Company 4"/>
    <n v="15519"/>
    <n v="6"/>
    <n v="1.1037603600000001"/>
    <n v="385109.16404634004"/>
    <n v="351392.40404634003"/>
    <n v="64271.10482971921"/>
    <n v="351392.40404634003"/>
    <n v="1"/>
    <x v="1"/>
  </r>
  <r>
    <x v="2"/>
    <x v="2"/>
    <x v="2"/>
    <x v="2"/>
    <s v="Closed"/>
    <n v="649301.94999999995"/>
    <n v="712761.9"/>
    <x v="0"/>
    <n v="34396.910000000003"/>
    <x v="2"/>
    <x v="2"/>
    <s v="Company 2"/>
    <n v="46932"/>
    <n v="3"/>
    <n v="1.2053063131199999"/>
    <n v="859096.41782140615"/>
    <n v="824699.50782140612"/>
    <n v="782607.73945612647"/>
    <n v="824699.50782140612"/>
    <n v="1"/>
    <x v="2"/>
  </r>
  <r>
    <x v="3"/>
    <x v="3"/>
    <x v="3"/>
    <x v="3"/>
    <s v="Open"/>
    <n v="709725.17"/>
    <n v="215544.46"/>
    <x v="0"/>
    <n v="11703.88"/>
    <x v="3"/>
    <x v="3"/>
    <s v="Company 17"/>
    <n v="74301"/>
    <n v="7"/>
    <n v="1.071612"/>
    <n v="230980.02986951999"/>
    <n v="219276.14986951998"/>
    <n v="760550.0088740401"/>
    <n v="219276.14986951998"/>
    <n v="1"/>
    <x v="3"/>
  </r>
  <r>
    <x v="4"/>
    <x v="4"/>
    <x v="4"/>
    <x v="4"/>
    <s v="In Litigation"/>
    <n v="120802.84"/>
    <n v="146820.18"/>
    <x v="1"/>
    <n v="48127.72"/>
    <x v="0"/>
    <x v="0"/>
    <s v="Company 12"/>
    <n v="36109"/>
    <n v="8"/>
    <n v="1.03"/>
    <n v="151224.78539999999"/>
    <n v="103097.06539999999"/>
    <n v="124426.9252"/>
    <n v="103097.06539999999"/>
    <n v="1"/>
    <x v="4"/>
  </r>
  <r>
    <x v="5"/>
    <x v="5"/>
    <x v="0"/>
    <x v="5"/>
    <s v="Closed"/>
    <n v="289364.92"/>
    <n v="254504.19"/>
    <x v="0"/>
    <n v="10585.54"/>
    <x v="1"/>
    <x v="1"/>
    <s v="Company 3"/>
    <n v="58125"/>
    <n v="2"/>
    <n v="1.1479107743999999"/>
    <n v="292148.10183094471"/>
    <n v="281562.56183094473"/>
    <n v="332165.10940139397"/>
    <n v="281562.56183094473"/>
    <n v="1"/>
    <x v="0"/>
  </r>
  <r>
    <x v="6"/>
    <x v="6"/>
    <x v="3"/>
    <x v="6"/>
    <s v="Closed"/>
    <n v="689203.39"/>
    <n v="783218.83"/>
    <x v="0"/>
    <n v="17345.37"/>
    <x v="3"/>
    <x v="4"/>
    <s v="Company 11"/>
    <n v="65042"/>
    <n v="1"/>
    <n v="1.071612"/>
    <n v="839306.69685395993"/>
    <n v="821961.32685395994"/>
    <n v="738558.62316467997"/>
    <n v="821961.32685395994"/>
    <n v="1"/>
    <x v="3"/>
  </r>
  <r>
    <x v="7"/>
    <x v="7"/>
    <x v="2"/>
    <x v="7"/>
    <s v="Closed"/>
    <n v="800104.83"/>
    <n v="939444.11"/>
    <x v="0"/>
    <n v="25600.34"/>
    <x v="2"/>
    <x v="1"/>
    <s v="Company 5"/>
    <n v="15111"/>
    <n v="0"/>
    <n v="1.0506"/>
    <n v="986979.98196599993"/>
    <n v="961379.64196599997"/>
    <n v="840590.13439799997"/>
    <n v="961379.64196599997"/>
    <n v="1"/>
    <x v="5"/>
  </r>
  <r>
    <x v="8"/>
    <x v="8"/>
    <x v="1"/>
    <x v="8"/>
    <s v="Closed"/>
    <n v="523116.77"/>
    <n v="793074.64999999991"/>
    <x v="0"/>
    <n v="38184.44"/>
    <x v="1"/>
    <x v="2"/>
    <s v="Company 8"/>
    <n v="27170"/>
    <n v="6"/>
    <n v="1.1037603600000001"/>
    <n v="875364.36119087401"/>
    <n v="837179.92119087395"/>
    <n v="577395.55437723722"/>
    <n v="837179.92119087395"/>
    <n v="1"/>
    <x v="1"/>
  </r>
  <r>
    <x v="9"/>
    <x v="9"/>
    <x v="0"/>
    <x v="9"/>
    <s v="Open"/>
    <n v="559394.74"/>
    <n v="601436.52"/>
    <x v="0"/>
    <n v="1143.25"/>
    <x v="0"/>
    <x v="1"/>
    <s v="Company 10"/>
    <n v="21885"/>
    <n v="5"/>
    <n v="1.2053063131199999"/>
    <n v="724915.23449692316"/>
    <n v="723771.98449692316"/>
    <n v="674242.01164812094"/>
    <n v="723771.98449692316"/>
    <n v="1"/>
    <x v="2"/>
  </r>
  <r>
    <x v="10"/>
    <x v="10"/>
    <x v="3"/>
    <x v="10"/>
    <s v="Closed"/>
    <n v="582693.41"/>
    <n v="363045.08999999997"/>
    <x v="0"/>
    <n v="42318.97"/>
    <x v="1"/>
    <x v="4"/>
    <s v="Company 7"/>
    <n v="92932"/>
    <n v="7"/>
    <n v="1.071612"/>
    <n v="389043.47498507996"/>
    <n v="346724.50498507998"/>
    <n v="624421.25047692005"/>
    <n v="346724.50498507998"/>
    <n v="1"/>
    <x v="3"/>
  </r>
  <r>
    <x v="11"/>
    <x v="11"/>
    <x v="1"/>
    <x v="11"/>
    <s v="Closed"/>
    <n v="319792.05"/>
    <n v="220873.24"/>
    <x v="1"/>
    <n v="25634.69"/>
    <x v="2"/>
    <x v="2"/>
    <s v="Company 6"/>
    <n v="71437"/>
    <n v="8"/>
    <n v="1.1037603600000001"/>
    <n v="243791.12689676642"/>
    <n v="218156.43689676642"/>
    <n v="352973.78823313804"/>
    <n v="218156.43689676642"/>
    <n v="1"/>
    <x v="1"/>
  </r>
  <r>
    <x v="12"/>
    <x v="12"/>
    <x v="0"/>
    <x v="12"/>
    <s v="In Litigation"/>
    <n v="301208.46000000002"/>
    <n v="188195.05"/>
    <x v="1"/>
    <n v="29456.11"/>
    <x v="0"/>
    <x v="0"/>
    <s v="Company 13"/>
    <n v="48066"/>
    <n v="3"/>
    <n v="1.0506"/>
    <n v="197717.71952999997"/>
    <n v="168261.60952999996"/>
    <n v="316449.608076"/>
    <n v="168261.60952999996"/>
    <n v="1"/>
    <x v="5"/>
  </r>
  <r>
    <x v="13"/>
    <x v="13"/>
    <x v="2"/>
    <x v="13"/>
    <s v="Closed"/>
    <n v="500694.12"/>
    <n v="140287.41"/>
    <x v="1"/>
    <n v="14978.23"/>
    <x v="2"/>
    <x v="3"/>
    <s v="Company 19"/>
    <n v="52965"/>
    <n v="2"/>
    <n v="1.03"/>
    <n v="144496.03230000002"/>
    <n v="129517.80230000002"/>
    <n v="515714.9436"/>
    <n v="129517.80230000002"/>
    <n v="1"/>
    <x v="4"/>
  </r>
  <r>
    <x v="14"/>
    <x v="14"/>
    <x v="3"/>
    <x v="14"/>
    <s v="Open"/>
    <n v="587613.84"/>
    <n v="726627.31"/>
    <x v="0"/>
    <n v="24702.67"/>
    <x v="1"/>
    <x v="1"/>
    <s v="Company 14"/>
    <n v="66879"/>
    <n v="6"/>
    <n v="1.1479107743999999"/>
    <n v="834103.31812228879"/>
    <n v="809400.64812228875"/>
    <n v="674528.25812255754"/>
    <n v="809400.64812228875"/>
    <n v="1"/>
    <x v="0"/>
  </r>
  <r>
    <x v="15"/>
    <x v="15"/>
    <x v="4"/>
    <x v="15"/>
    <s v="Closed"/>
    <n v="590345.67000000004"/>
    <n v="600165.35"/>
    <x v="0"/>
    <n v="9432.5"/>
    <x v="3"/>
    <x v="2"/>
    <s v="Company 1"/>
    <n v="16754"/>
    <n v="4"/>
    <n v="1.2053063131199999"/>
    <n v="723383.08527087432"/>
    <n v="713950.58527087432"/>
    <n v="711547.36297405616"/>
    <n v="713950.58527087432"/>
    <n v="1"/>
    <x v="2"/>
  </r>
  <r>
    <x v="16"/>
    <x v="16"/>
    <x v="0"/>
    <x v="16"/>
    <s v="Closed"/>
    <n v="403102.27"/>
    <n v="375066.3"/>
    <x v="2"/>
    <n v="16920.37"/>
    <x v="0"/>
    <x v="3"/>
    <s v="Company 15"/>
    <n v="95161"/>
    <n v="7"/>
    <n v="1.071612"/>
    <n v="401925.54787559999"/>
    <n v="385005.1778756"/>
    <n v="431969.22975924"/>
    <n v="385005.1778756"/>
    <n v="1"/>
    <x v="3"/>
  </r>
  <r>
    <x v="17"/>
    <x v="17"/>
    <x v="2"/>
    <x v="17"/>
    <s v="Closed"/>
    <n v="459235.72"/>
    <n v="492825.48"/>
    <x v="3"/>
    <n v="38928.730000000003"/>
    <x v="2"/>
    <x v="4"/>
    <s v="Company 8"/>
    <n v="22430"/>
    <n v="5"/>
    <n v="1.1479107743999999"/>
    <n v="565719.67839085159"/>
    <n v="526790.94839085161"/>
    <n v="527161.63097734144"/>
    <n v="500000"/>
    <n v="1"/>
    <x v="0"/>
  </r>
  <r>
    <x v="18"/>
    <x v="18"/>
    <x v="1"/>
    <x v="18"/>
    <s v="In Litigation"/>
    <n v="279603.12"/>
    <n v="215631.84"/>
    <x v="3"/>
    <n v="19647.189999999999"/>
    <x v="1"/>
    <x v="0"/>
    <s v="Company 10"/>
    <n v="23621"/>
    <n v="3"/>
    <n v="1.0506"/>
    <n v="226542.81110399999"/>
    <n v="206895.62110399999"/>
    <n v="293751.03787200002"/>
    <n v="206895.62110399999"/>
    <n v="1"/>
    <x v="5"/>
  </r>
  <r>
    <x v="19"/>
    <x v="19"/>
    <x v="3"/>
    <x v="19"/>
    <s v="Open"/>
    <n v="345128.67"/>
    <n v="518485.62"/>
    <x v="0"/>
    <n v="45681.29"/>
    <x v="3"/>
    <x v="1"/>
    <s v="Company 11"/>
    <n v="51343"/>
    <n v="8"/>
    <n v="1.1037603600000001"/>
    <n v="572283.87458602327"/>
    <n v="526602.58458602324"/>
    <n v="380939.34504552122"/>
    <n v="526602.58458602324"/>
    <n v="1"/>
    <x v="1"/>
  </r>
  <r>
    <x v="20"/>
    <x v="20"/>
    <x v="4"/>
    <x v="20"/>
    <s v="Closed"/>
    <n v="99847.18"/>
    <n v="111522.66"/>
    <x v="3"/>
    <n v="23598.21"/>
    <x v="1"/>
    <x v="4"/>
    <s v="Company 13"/>
    <n v="56279"/>
    <n v="4"/>
    <n v="1.03"/>
    <n v="114868.3398"/>
    <n v="91270.129799999995"/>
    <n v="102842.59539999999"/>
    <n v="91270.129799999995"/>
    <n v="1"/>
    <x v="4"/>
  </r>
  <r>
    <x v="21"/>
    <x v="21"/>
    <x v="0"/>
    <x v="21"/>
    <s v="Closed"/>
    <n v="706298.12"/>
    <n v="673030.17999999993"/>
    <x v="0"/>
    <n v="18702.73"/>
    <x v="0"/>
    <x v="1"/>
    <s v="Company 16"/>
    <n v="67517"/>
    <n v="7"/>
    <n v="1.071612"/>
    <n v="721227.21725015994"/>
    <n v="702524.48725015996"/>
    <n v="756877.54096944002"/>
    <n v="702524.48725015996"/>
    <n v="1"/>
    <x v="3"/>
  </r>
  <r>
    <x v="22"/>
    <x v="22"/>
    <x v="2"/>
    <x v="22"/>
    <s v="Open"/>
    <n v="202954.87"/>
    <n v="268477.11"/>
    <x v="3"/>
    <n v="36928.379999999997"/>
    <x v="2"/>
    <x v="3"/>
    <s v="Company 2"/>
    <n v="56749"/>
    <n v="5"/>
    <n v="1.1037603600000001"/>
    <n v="296334.39158535964"/>
    <n v="259406.01158535964"/>
    <n v="224013.54037495321"/>
    <n v="259406.01158535964"/>
    <n v="1"/>
    <x v="1"/>
  </r>
  <r>
    <x v="23"/>
    <x v="23"/>
    <x v="3"/>
    <x v="23"/>
    <s v="In Litigation"/>
    <n v="239823.12"/>
    <n v="210177.78999999998"/>
    <x v="3"/>
    <n v="15439.27"/>
    <x v="3"/>
    <x v="0"/>
    <s v="Company 17"/>
    <n v="114375"/>
    <n v="8"/>
    <n v="1.1479107743999999"/>
    <n v="241265.34968058052"/>
    <n v="225826.07968058053"/>
    <n v="275295.54339822411"/>
    <n v="225826.07968058053"/>
    <n v="1"/>
    <x v="0"/>
  </r>
  <r>
    <x v="24"/>
    <x v="24"/>
    <x v="1"/>
    <x v="24"/>
    <s v="Closed"/>
    <n v="715298.34"/>
    <n v="896897.03"/>
    <x v="4"/>
    <n v="24502.38"/>
    <x v="0"/>
    <x v="2"/>
    <s v="Company 4"/>
    <n v="26388"/>
    <n v="2"/>
    <n v="1.0506"/>
    <n v="942280.01971799997"/>
    <n v="917777.63971799996"/>
    <n v="751492.4360039999"/>
    <n v="917777.63971799996"/>
    <n v="1"/>
    <x v="5"/>
  </r>
  <r>
    <x v="25"/>
    <x v="25"/>
    <x v="0"/>
    <x v="25"/>
    <s v="Closed"/>
    <n v="624539.27"/>
    <n v="520721.69"/>
    <x v="0"/>
    <n v="11982.54"/>
    <x v="1"/>
    <x v="4"/>
    <s v="Company 9"/>
    <n v="66172"/>
    <n v="3"/>
    <n v="1.2053063131199999"/>
    <n v="627629.14033551549"/>
    <n v="615646.60033551545"/>
    <n v="752761.12492235622"/>
    <n v="615646.60033551545"/>
    <n v="1"/>
    <x v="2"/>
  </r>
  <r>
    <x v="26"/>
    <x v="26"/>
    <x v="2"/>
    <x v="26"/>
    <s v="Closed"/>
    <n v="502739.21"/>
    <n v="405983.4"/>
    <x v="2"/>
    <n v="29748.62"/>
    <x v="2"/>
    <x v="0"/>
    <s v="Company 6"/>
    <n v="64550"/>
    <n v="7"/>
    <n v="1.071612"/>
    <n v="435056.68324080005"/>
    <n v="405308.06324080005"/>
    <n v="538741.37030652002"/>
    <n v="405308.06324080005"/>
    <n v="1"/>
    <x v="3"/>
  </r>
  <r>
    <x v="27"/>
    <x v="27"/>
    <x v="3"/>
    <x v="27"/>
    <s v="In Litigation"/>
    <n v="179803.12"/>
    <n v="162723.88"/>
    <x v="1"/>
    <n v="32920.129999999997"/>
    <x v="3"/>
    <x v="3"/>
    <s v="Company 18"/>
    <n v="84853"/>
    <n v="4"/>
    <n v="1.1037603600000001"/>
    <n v="179608.16836939682"/>
    <n v="146688.03836939682"/>
    <n v="198459.55646032322"/>
    <n v="146688.03836939682"/>
    <n v="1"/>
    <x v="1"/>
  </r>
  <r>
    <x v="28"/>
    <x v="28"/>
    <x v="1"/>
    <x v="28"/>
    <s v="Closed"/>
    <n v="624872.34"/>
    <n v="750172.09"/>
    <x v="0"/>
    <n v="18936.25"/>
    <x v="1"/>
    <x v="1"/>
    <s v="Company 14"/>
    <n v="69521"/>
    <n v="2"/>
    <n v="1.03"/>
    <n v="772677.25269999995"/>
    <n v="753741.00269999995"/>
    <n v="643618.51020000002"/>
    <n v="753741.00269999995"/>
    <n v="1"/>
    <x v="4"/>
  </r>
  <r>
    <x v="29"/>
    <x v="29"/>
    <x v="0"/>
    <x v="29"/>
    <s v="Closed"/>
    <n v="239682.47"/>
    <n v="174653.73"/>
    <x v="1"/>
    <n v="15728.95"/>
    <x v="0"/>
    <x v="4"/>
    <s v="Company 1"/>
    <n v="55746"/>
    <n v="6"/>
    <n v="1.1479107743999999"/>
    <n v="200486.89845614851"/>
    <n v="184757.9484561485"/>
    <n v="275134.08974780474"/>
    <n v="184757.9484561485"/>
    <n v="1"/>
    <x v="0"/>
  </r>
  <r>
    <x v="30"/>
    <x v="30"/>
    <x v="2"/>
    <x v="30"/>
    <s v="Closed"/>
    <n v="473893.25"/>
    <n v="471636.18"/>
    <x v="2"/>
    <n v="31803.94"/>
    <x v="2"/>
    <x v="1"/>
    <s v="Company 20"/>
    <n v="78974"/>
    <n v="8"/>
    <n v="1.0506"/>
    <n v="495500.97070800001"/>
    <n v="463697.03070800001"/>
    <n v="497872.24845000001"/>
    <n v="463697.03070800001"/>
    <n v="1"/>
    <x v="5"/>
  </r>
  <r>
    <x v="31"/>
    <x v="31"/>
    <x v="3"/>
    <x v="31"/>
    <s v="In Litigation"/>
    <n v="729324.73"/>
    <n v="717632.12"/>
    <x v="0"/>
    <n v="27392.54"/>
    <x v="3"/>
    <x v="2"/>
    <s v="Company 3"/>
    <n v="112726"/>
    <n v="7"/>
    <n v="1.1037603600000001"/>
    <n v="792093.88711876329"/>
    <n v="764701.34711876325"/>
    <n v="804999.72654170287"/>
    <n v="764701.34711876325"/>
    <n v="1"/>
    <x v="1"/>
  </r>
  <r>
    <x v="32"/>
    <x v="32"/>
    <x v="4"/>
    <x v="32"/>
    <s v="Closed"/>
    <n v="293749.36"/>
    <n v="236967.86000000002"/>
    <x v="2"/>
    <n v="20984.38"/>
    <x v="1"/>
    <x v="0"/>
    <s v="Company 19"/>
    <n v="26312"/>
    <n v="4"/>
    <n v="1.071612"/>
    <n v="253937.60239032001"/>
    <n v="232953.22239032001"/>
    <n v="314785.33916832"/>
    <n v="232953.22239032001"/>
    <n v="1"/>
    <x v="3"/>
  </r>
  <r>
    <x v="33"/>
    <x v="33"/>
    <x v="0"/>
    <x v="33"/>
    <s v="Open"/>
    <n v="539873.21"/>
    <n v="543166.67999999993"/>
    <x v="0"/>
    <n v="35183.26"/>
    <x v="0"/>
    <x v="3"/>
    <s v="Company 8"/>
    <n v="28277"/>
    <n v="2"/>
    <n v="1.1479107743999999"/>
    <n v="623506.88426707685"/>
    <n v="588323.62426707684"/>
    <n v="619726.27456891374"/>
    <n v="588323.62426707684"/>
    <n v="1"/>
    <x v="0"/>
  </r>
  <r>
    <x v="34"/>
    <x v="34"/>
    <x v="2"/>
    <x v="34"/>
    <s v="Closed"/>
    <n v="462839.74"/>
    <n v="480319.12999999995"/>
    <x v="3"/>
    <n v="28345.91"/>
    <x v="2"/>
    <x v="2"/>
    <s v="Company 5"/>
    <n v="74813"/>
    <n v="4"/>
    <n v="1.2053063131199999"/>
    <n v="578931.67970130593"/>
    <n v="550585.76970130589"/>
    <n v="557863.66058481939"/>
    <n v="500000"/>
    <n v="1"/>
    <x v="2"/>
  </r>
  <r>
    <x v="35"/>
    <x v="35"/>
    <x v="1"/>
    <x v="35"/>
    <s v="Closed"/>
    <n v="312984.46999999997"/>
    <n v="314363.61"/>
    <x v="2"/>
    <n v="24839.279999999999"/>
    <x v="1"/>
    <x v="1"/>
    <s v="Company 7"/>
    <n v="77655"/>
    <n v="3"/>
    <n v="1.071612"/>
    <n v="336875.81683932"/>
    <n v="312036.53683931998"/>
    <n v="335397.91386563994"/>
    <n v="312036.53683931998"/>
    <n v="1"/>
    <x v="3"/>
  </r>
  <r>
    <x v="36"/>
    <x v="36"/>
    <x v="3"/>
    <x v="36"/>
    <s v="Open"/>
    <n v="705673.45"/>
    <n v="716116.29"/>
    <x v="0"/>
    <n v="41283.54"/>
    <x v="3"/>
    <x v="3"/>
    <s v="Company 12"/>
    <n v="80867"/>
    <n v="5"/>
    <n v="1.1037603600000001"/>
    <n v="790420.77405226452"/>
    <n v="749137.23405226448"/>
    <n v="778894.38121444208"/>
    <n v="749137.23405226448"/>
    <n v="1"/>
    <x v="1"/>
  </r>
  <r>
    <x v="37"/>
    <x v="37"/>
    <x v="4"/>
    <x v="37"/>
    <s v="In Litigation"/>
    <n v="310849.56"/>
    <n v="316918.08"/>
    <x v="2"/>
    <n v="27394.74"/>
    <x v="0"/>
    <x v="4"/>
    <s v="Company 16"/>
    <n v="55049"/>
    <n v="8"/>
    <n v="1.03"/>
    <n v="326425.62240000005"/>
    <n v="299030.88240000006"/>
    <n v="320175.04680000001"/>
    <n v="299030.88240000006"/>
    <n v="1"/>
    <x v="4"/>
  </r>
  <r>
    <x v="38"/>
    <x v="38"/>
    <x v="0"/>
    <x v="38"/>
    <s v="Closed"/>
    <n v="489234.72"/>
    <n v="512067.73"/>
    <x v="2"/>
    <n v="19284.28"/>
    <x v="1"/>
    <x v="0"/>
    <s v="Company 11"/>
    <n v="67179"/>
    <n v="6"/>
    <n v="1.0506"/>
    <n v="537978.35713799996"/>
    <n v="518694.07713799994"/>
    <n v="513989.99683199998"/>
    <n v="518694.07713799994"/>
    <n v="1"/>
    <x v="5"/>
  </r>
  <r>
    <x v="39"/>
    <x v="39"/>
    <x v="2"/>
    <x v="39"/>
    <s v="Closed"/>
    <n v="893485.25"/>
    <n v="851033.0199999999"/>
    <x v="0"/>
    <n v="38293.449999999997"/>
    <x v="2"/>
    <x v="4"/>
    <s v="Company 18"/>
    <n v="61457"/>
    <n v="7"/>
    <n v="1.1479107743999999"/>
    <n v="976909.97302817053"/>
    <n v="938616.52302817057"/>
    <n v="1025641.3452424775"/>
    <n v="938616.52302817057"/>
    <n v="1"/>
    <x v="0"/>
  </r>
  <r>
    <x v="40"/>
    <x v="40"/>
    <x v="3"/>
    <x v="40"/>
    <s v="Open"/>
    <n v="594372.84"/>
    <n v="549880.48"/>
    <x v="0"/>
    <n v="25893.27"/>
    <x v="3"/>
    <x v="1"/>
    <s v="Company 10"/>
    <n v="76925"/>
    <n v="2"/>
    <n v="1.071612"/>
    <n v="589258.52093375998"/>
    <n v="563365.25093375996"/>
    <n v="636937.06781807996"/>
    <n v="563365.25093375996"/>
    <n v="1"/>
    <x v="3"/>
  </r>
  <r>
    <x v="41"/>
    <x v="41"/>
    <x v="1"/>
    <x v="41"/>
    <s v="Closed"/>
    <n v="410384.95"/>
    <n v="424721.10000000003"/>
    <x v="2"/>
    <n v="31847.45"/>
    <x v="1"/>
    <x v="2"/>
    <s v="Company 4"/>
    <n v="29729"/>
    <n v="5"/>
    <n v="1.03"/>
    <n v="437462.73300000007"/>
    <n v="405615.28300000005"/>
    <n v="422696.49850000005"/>
    <n v="405615.28300000005"/>
    <n v="1"/>
    <x v="4"/>
  </r>
  <r>
    <x v="42"/>
    <x v="42"/>
    <x v="4"/>
    <x v="42"/>
    <s v="Closed"/>
    <n v="590248.72"/>
    <n v="557573.29"/>
    <x v="0"/>
    <n v="18294.75"/>
    <x v="0"/>
    <x v="3"/>
    <s v="Company 15"/>
    <n v="48041"/>
    <n v="3"/>
    <n v="1.1037603600000001"/>
    <n v="615427.29529678449"/>
    <n v="597132.54529678449"/>
    <n v="651493.13967673923"/>
    <n v="597132.54529678449"/>
    <n v="1"/>
    <x v="1"/>
  </r>
  <r>
    <x v="43"/>
    <x v="43"/>
    <x v="0"/>
    <x v="43"/>
    <s v="Open"/>
    <n v="312384.21000000002"/>
    <n v="300456.98"/>
    <x v="2"/>
    <n v="16483.54"/>
    <x v="0"/>
    <x v="0"/>
    <s v="Company 9"/>
    <n v="53341"/>
    <n v="4"/>
    <n v="1.2053063131199999"/>
    <n v="362142.69481496955"/>
    <n v="345659.15481496957"/>
    <n v="376518.66043200385"/>
    <n v="345659.15481496957"/>
    <n v="1"/>
    <x v="2"/>
  </r>
  <r>
    <x v="44"/>
    <x v="44"/>
    <x v="2"/>
    <x v="44"/>
    <s v="Closed"/>
    <n v="493284.45"/>
    <n v="518138.29000000004"/>
    <x v="0"/>
    <n v="35298.639999999999"/>
    <x v="2"/>
    <x v="4"/>
    <s v="Company 7"/>
    <n v="70053"/>
    <n v="1"/>
    <n v="1.0506"/>
    <n v="544356.08747400006"/>
    <n v="509057.44747400004"/>
    <n v="518244.64317"/>
    <n v="509057.44747400004"/>
    <n v="1"/>
    <x v="5"/>
  </r>
  <r>
    <x v="45"/>
    <x v="45"/>
    <x v="3"/>
    <x v="45"/>
    <s v="In Litigation"/>
    <n v="705473.28"/>
    <n v="716430.78999999992"/>
    <x v="0"/>
    <n v="32947.85"/>
    <x v="3"/>
    <x v="1"/>
    <s v="Company 3"/>
    <n v="53077"/>
    <n v="6"/>
    <n v="1.071612"/>
    <n v="767735.83173347998"/>
    <n v="734787.98173348"/>
    <n v="755993.63252735999"/>
    <n v="734787.98173348"/>
    <n v="1"/>
    <x v="3"/>
  </r>
  <r>
    <x v="46"/>
    <x v="46"/>
    <x v="1"/>
    <x v="46"/>
    <s v="Closed"/>
    <n v="815738.23"/>
    <n v="813530.62"/>
    <x v="0"/>
    <n v="29582.39"/>
    <x v="1"/>
    <x v="2"/>
    <s v="Company 14"/>
    <n v="49671"/>
    <n v="2"/>
    <n v="1.1037603600000001"/>
    <n v="897942.85000222328"/>
    <n v="868360.46000222326"/>
    <n v="900379.52241056284"/>
    <n v="868360.46000222326"/>
    <n v="1"/>
    <x v="1"/>
  </r>
  <r>
    <x v="47"/>
    <x v="47"/>
    <x v="4"/>
    <x v="47"/>
    <s v="Closed"/>
    <n v="260384.12"/>
    <n v="260976.97"/>
    <x v="1"/>
    <n v="21394.23"/>
    <x v="0"/>
    <x v="0"/>
    <s v="Company 2"/>
    <n v="57863"/>
    <n v="7"/>
    <n v="1.1479107743999999"/>
    <n v="299578.27573326556"/>
    <n v="278184.04573326558"/>
    <n v="298897.73683066247"/>
    <n v="278184.04573326558"/>
    <n v="1"/>
    <x v="0"/>
  </r>
  <r>
    <x v="48"/>
    <x v="48"/>
    <x v="0"/>
    <x v="48"/>
    <s v="Closed"/>
    <n v="320839.53999999998"/>
    <n v="313686.01"/>
    <x v="2"/>
    <n v="18947.53"/>
    <x v="1"/>
    <x v="4"/>
    <s v="Company 8"/>
    <n v="74668"/>
    <n v="4"/>
    <n v="1.0506"/>
    <n v="329558.52210599999"/>
    <n v="310610.99210599996"/>
    <n v="337074.02072399994"/>
    <n v="310610.99210599996"/>
    <n v="1"/>
    <x v="5"/>
  </r>
  <r>
    <x v="49"/>
    <x v="49"/>
    <x v="2"/>
    <x v="49"/>
    <s v="Closed"/>
    <n v="612839.65"/>
    <n v="613232.67000000004"/>
    <x v="0"/>
    <n v="29284.38"/>
    <x v="2"/>
    <x v="3"/>
    <s v="Company 13"/>
    <n v="80590"/>
    <n v="9"/>
    <n v="1.071612"/>
    <n v="657147.48796404002"/>
    <n v="627863.10796404001"/>
    <n v="656726.32301579998"/>
    <n v="627863.10796404001"/>
    <n v="1"/>
    <x v="3"/>
  </r>
  <r>
    <x v="50"/>
    <x v="50"/>
    <x v="3"/>
    <x v="50"/>
    <s v="Open"/>
    <n v="815392.45"/>
    <n v="823786.49"/>
    <x v="0"/>
    <n v="38947.279999999999"/>
    <x v="3"/>
    <x v="1"/>
    <s v="Company 5"/>
    <n v="90873"/>
    <n v="3"/>
    <n v="1.1037603600000001"/>
    <n v="909262.87276553642"/>
    <n v="870315.59276553639"/>
    <n v="899997.86415328202"/>
    <n v="870315.59276553639"/>
    <n v="1"/>
    <x v="1"/>
  </r>
  <r>
    <x v="51"/>
    <x v="51"/>
    <x v="1"/>
    <x v="51"/>
    <s v="Closed"/>
    <n v="419384.25"/>
    <n v="427431.03"/>
    <x v="2"/>
    <n v="28947.38"/>
    <x v="1"/>
    <x v="2"/>
    <s v="Company 11"/>
    <n v="47192"/>
    <n v="6"/>
    <n v="1.03"/>
    <n v="440253.96090000006"/>
    <n v="411306.58090000006"/>
    <n v="431965.77750000003"/>
    <n v="411306.58090000006"/>
    <n v="1"/>
    <x v="4"/>
  </r>
  <r>
    <x v="52"/>
    <x v="52"/>
    <x v="4"/>
    <x v="52"/>
    <s v="Closed"/>
    <n v="523849.58"/>
    <n v="503135.07"/>
    <x v="0"/>
    <n v="17395.84"/>
    <x v="0"/>
    <x v="4"/>
    <s v="Company 17"/>
    <n v="45180"/>
    <n v="8"/>
    <n v="1.2053063131199999"/>
    <n v="606431.87622307311"/>
    <n v="589036.03622307314"/>
    <n v="631399.20589926047"/>
    <n v="589036.03622307314"/>
    <n v="1"/>
    <x v="2"/>
  </r>
  <r>
    <x v="53"/>
    <x v="53"/>
    <x v="0"/>
    <x v="53"/>
    <s v="Open"/>
    <n v="629382.74"/>
    <n v="632797.05999999994"/>
    <x v="0"/>
    <n v="38947.58"/>
    <x v="1"/>
    <x v="0"/>
    <s v="Company 4"/>
    <n v="91801"/>
    <n v="2"/>
    <n v="1.1479107743999999"/>
    <n v="726394.56318264315"/>
    <n v="687446.98318264319"/>
    <n v="722475.22846739378"/>
    <n v="687446.98318264319"/>
    <n v="1"/>
    <x v="0"/>
  </r>
  <r>
    <x v="54"/>
    <x v="54"/>
    <x v="2"/>
    <x v="54"/>
    <s v="Closed"/>
    <n v="728947.34"/>
    <n v="716797.2"/>
    <x v="0"/>
    <n v="32947.449999999997"/>
    <x v="2"/>
    <x v="3"/>
    <s v="Company 7"/>
    <n v="26345"/>
    <n v="3"/>
    <n v="1.0506"/>
    <n v="753067.13831999991"/>
    <n v="720119.68831999996"/>
    <n v="765832.075404"/>
    <n v="720119.68831999996"/>
    <n v="1"/>
    <x v="5"/>
  </r>
  <r>
    <x v="55"/>
    <x v="55"/>
    <x v="3"/>
    <x v="55"/>
    <s v="Open"/>
    <n v="812849.67"/>
    <n v="827431.81"/>
    <x v="0"/>
    <n v="34948.25"/>
    <x v="3"/>
    <x v="1"/>
    <s v="Company 8"/>
    <n v="59473"/>
    <n v="7"/>
    <n v="1.071612"/>
    <n v="886685.85677772004"/>
    <n v="851737.60677772004"/>
    <n v="871059.46056804003"/>
    <n v="851737.60677772004"/>
    <n v="1"/>
    <x v="3"/>
  </r>
  <r>
    <x v="56"/>
    <x v="56"/>
    <x v="1"/>
    <x v="56"/>
    <s v="Closed"/>
    <n v="629382.74"/>
    <n v="623785.5"/>
    <x v="0"/>
    <n v="28947.56"/>
    <x v="1"/>
    <x v="2"/>
    <s v="Company 10"/>
    <n v="30809"/>
    <n v="4"/>
    <n v="1.1037603600000001"/>
    <n v="688509.70804278005"/>
    <n v="659562.14804278"/>
    <n v="694687.71968018648"/>
    <n v="659562.14804278"/>
    <n v="1"/>
    <x v="1"/>
  </r>
  <r>
    <x v="57"/>
    <x v="57"/>
    <x v="4"/>
    <x v="57"/>
    <s v="Closed"/>
    <n v="523849.27"/>
    <n v="494777.76"/>
    <x v="0"/>
    <n v="21938.48"/>
    <x v="0"/>
    <x v="4"/>
    <s v="Company 3"/>
    <n v="15583"/>
    <n v="6"/>
    <n v="1.03"/>
    <n v="509621.09280000004"/>
    <n v="487682.61280000006"/>
    <n v="539564.74810000008"/>
    <n v="487682.61280000006"/>
    <n v="1"/>
    <x v="4"/>
  </r>
  <r>
    <x v="58"/>
    <x v="58"/>
    <x v="0"/>
    <x v="58"/>
    <s v="Open"/>
    <n v="628849.74"/>
    <n v="625430.82999999996"/>
    <x v="2"/>
    <n v="32947.379999999997"/>
    <x v="1"/>
    <x v="1"/>
    <s v="Company 9"/>
    <n v="20667"/>
    <n v="5"/>
    <n v="1.2053063131199999"/>
    <n v="753835.72781888139"/>
    <n v="720888.34781888139"/>
    <n v="757956.56162587053"/>
    <n v="720888.34781888139"/>
    <n v="1"/>
    <x v="2"/>
  </r>
  <r>
    <x v="59"/>
    <x v="59"/>
    <x v="2"/>
    <x v="59"/>
    <s v="Closed"/>
    <n v="872394.58"/>
    <n v="877431.67"/>
    <x v="0"/>
    <n v="37948.379999999997"/>
    <x v="2"/>
    <x v="3"/>
    <s v="Company 6"/>
    <n v="50296"/>
    <n v="3"/>
    <n v="1.1479107743999999"/>
    <n v="1007213.2677927852"/>
    <n v="969264.88779278519"/>
    <n v="1001431.1379101626"/>
    <n v="969264.88779278519"/>
    <n v="1"/>
    <x v="0"/>
  </r>
  <r>
    <x v="60"/>
    <x v="60"/>
    <x v="3"/>
    <x v="60"/>
    <s v="Open"/>
    <n v="859382.45"/>
    <n v="878431.02999999991"/>
    <x v="0"/>
    <n v="38947.449999999997"/>
    <x v="3"/>
    <x v="4"/>
    <s v="Company 11"/>
    <n v="75704"/>
    <n v="4"/>
    <n v="1.0506"/>
    <n v="922879.64011799986"/>
    <n v="883932.19011799991"/>
    <n v="902867.20196999994"/>
    <n v="883932.19011799991"/>
    <n v="1"/>
    <x v="5"/>
  </r>
  <r>
    <x v="61"/>
    <x v="61"/>
    <x v="1"/>
    <x v="61"/>
    <s v="Closed"/>
    <n v="823949.74"/>
    <n v="823331.71"/>
    <x v="0"/>
    <n v="29482.48"/>
    <x v="1"/>
    <x v="2"/>
    <s v="Company 13"/>
    <n v="74156"/>
    <n v="7"/>
    <n v="1.071612"/>
    <n v="882292.14041651995"/>
    <n v="852809.66041651997"/>
    <n v="882954.42878087994"/>
    <n v="852809.66041651997"/>
    <n v="1"/>
    <x v="3"/>
  </r>
  <r>
    <x v="62"/>
    <x v="62"/>
    <x v="4"/>
    <x v="62"/>
    <s v="Closed"/>
    <n v="512849.56"/>
    <n v="501321.63"/>
    <x v="0"/>
    <n v="27482.38"/>
    <x v="0"/>
    <x v="3"/>
    <s v="Company 15"/>
    <n v="17386"/>
    <n v="6"/>
    <n v="1.1037603600000001"/>
    <n v="553338.94280458684"/>
    <n v="525856.56280458684"/>
    <n v="566063.01497144171"/>
    <n v="525856.56280458684"/>
    <n v="1"/>
    <x v="1"/>
  </r>
  <r>
    <x v="63"/>
    <x v="63"/>
    <x v="0"/>
    <x v="63"/>
    <s v="Open"/>
    <n v="612849.75"/>
    <n v="606697.05999999994"/>
    <x v="0"/>
    <n v="32847.58"/>
    <x v="1"/>
    <x v="0"/>
    <s v="Company 8"/>
    <n v="93493"/>
    <n v="3"/>
    <n v="1.1479107743999999"/>
    <n v="696434.0919708031"/>
    <n v="663586.51197080314"/>
    <n v="703496.83111334639"/>
    <n v="663586.51197080314"/>
    <n v="1"/>
    <x v="0"/>
  </r>
  <r>
    <x v="64"/>
    <x v="64"/>
    <x v="2"/>
    <x v="54"/>
    <s v="Closed"/>
    <n v="728947.34"/>
    <n v="716797.2"/>
    <x v="0"/>
    <n v="32947.449999999997"/>
    <x v="2"/>
    <x v="1"/>
    <s v="Company 1"/>
    <n v="85822"/>
    <n v="2"/>
    <n v="1.03"/>
    <n v="738301.11599999992"/>
    <n v="705353.66599999997"/>
    <n v="750815.76020000002"/>
    <n v="705353.66599999997"/>
    <n v="1"/>
    <x v="4"/>
  </r>
  <r>
    <x v="65"/>
    <x v="65"/>
    <x v="3"/>
    <x v="64"/>
    <s v="Open"/>
    <n v="712849.23"/>
    <n v="713331.89999999991"/>
    <x v="0"/>
    <n v="29482.45"/>
    <x v="3"/>
    <x v="2"/>
    <s v="Company 7"/>
    <n v="91007"/>
    <n v="4"/>
    <n v="1.0506"/>
    <n v="749426.49413999985"/>
    <n v="719944.0441399999"/>
    <n v="748919.40103800001"/>
    <n v="719944.0441399999"/>
    <n v="1"/>
    <x v="5"/>
  </r>
  <r>
    <x v="66"/>
    <x v="66"/>
    <x v="1"/>
    <x v="65"/>
    <s v="Closed"/>
    <n v="612839.84"/>
    <n v="601678.92000000004"/>
    <x v="0"/>
    <n v="27839.38"/>
    <x v="1"/>
    <x v="4"/>
    <s v="Company 14"/>
    <n v="18675"/>
    <n v="5"/>
    <n v="1.071612"/>
    <n v="644766.35081904009"/>
    <n v="616926.97081904009"/>
    <n v="656726.52662208001"/>
    <n v="616926.97081904009"/>
    <n v="1"/>
    <x v="3"/>
  </r>
  <r>
    <x v="67"/>
    <x v="67"/>
    <x v="4"/>
    <x v="66"/>
    <s v="Closed"/>
    <n v="610849.75"/>
    <n v="605786.89999999991"/>
    <x v="0"/>
    <n v="32947.449999999997"/>
    <x v="0"/>
    <x v="3"/>
    <s v="Company 6"/>
    <n v="14023"/>
    <n v="3"/>
    <n v="1.1037603600000001"/>
    <n v="668643.56682728394"/>
    <n v="635696.11682728399"/>
    <n v="674231.73996591009"/>
    <n v="635696.11682728399"/>
    <n v="1"/>
    <x v="1"/>
  </r>
  <r>
    <x v="68"/>
    <x v="68"/>
    <x v="4"/>
    <x v="67"/>
    <s v="Open"/>
    <n v="510839.74"/>
    <n v="502313.22000000003"/>
    <x v="2"/>
    <n v="29473.84"/>
    <x v="1"/>
    <x v="2"/>
    <s v="Company 16"/>
    <n v="7588"/>
    <n v="4"/>
    <n v="1.1479107743999999"/>
    <n v="576610.75736155757"/>
    <n v="547136.9173615576"/>
    <n v="586398.44153769454"/>
    <n v="547136.9173615576"/>
    <n v="1"/>
    <x v="0"/>
  </r>
  <r>
    <x v="69"/>
    <x v="69"/>
    <x v="0"/>
    <x v="63"/>
    <s v="Closed"/>
    <n v="612849.75"/>
    <n v="606697.05999999994"/>
    <x v="0"/>
    <n v="32847.58"/>
    <x v="1"/>
    <x v="4"/>
    <s v="Company 7"/>
    <n v="94214"/>
    <n v="3"/>
    <n v="1.03"/>
    <n v="624897.97179999994"/>
    <n v="592050.39179999998"/>
    <n v="631235.24250000005"/>
    <n v="592050.39179999998"/>
    <n v="1"/>
    <x v="4"/>
  </r>
  <r>
    <x v="70"/>
    <x v="70"/>
    <x v="2"/>
    <x v="54"/>
    <s v="Closed"/>
    <n v="728947.34"/>
    <n v="721798.13"/>
    <x v="0"/>
    <n v="37948.379999999997"/>
    <x v="2"/>
    <x v="3"/>
    <s v="Company 19"/>
    <n v="16212"/>
    <n v="5"/>
    <n v="1.071612"/>
    <n v="773487.53768556006"/>
    <n v="735539.15768556006"/>
    <n v="781148.71691207995"/>
    <n v="735539.15768556006"/>
    <n v="1"/>
    <x v="3"/>
  </r>
  <r>
    <x v="71"/>
    <x v="71"/>
    <x v="3"/>
    <x v="68"/>
    <s v="Open"/>
    <n v="762849.23"/>
    <n v="778796.89999999991"/>
    <x v="0"/>
    <n v="38947.449999999997"/>
    <x v="3"/>
    <x v="0"/>
    <s v="Company 5"/>
    <n v="59639"/>
    <n v="3"/>
    <n v="1.0506"/>
    <n v="818204.02313999983"/>
    <n v="779256.57313999988"/>
    <n v="801449.40103800001"/>
    <n v="779256.57313999988"/>
    <n v="1"/>
    <x v="5"/>
  </r>
  <r>
    <x v="72"/>
    <x v="72"/>
    <x v="1"/>
    <x v="65"/>
    <s v="Closed"/>
    <n v="612839.84"/>
    <n v="601678.92000000004"/>
    <x v="0"/>
    <n v="27839.38"/>
    <x v="1"/>
    <x v="1"/>
    <s v="Company 20"/>
    <n v="26707"/>
    <n v="6"/>
    <n v="1.1037603600000001"/>
    <n v="664109.34134361136"/>
    <n v="636269.96134361136"/>
    <n v="676428.32242074248"/>
    <n v="636269.96134361136"/>
    <n v="1"/>
    <x v="1"/>
  </r>
  <r>
    <x v="73"/>
    <x v="73"/>
    <x v="4"/>
    <x v="66"/>
    <s v="Closed"/>
    <n v="610849.75"/>
    <n v="605786.89999999991"/>
    <x v="0"/>
    <n v="32947.449999999997"/>
    <x v="0"/>
    <x v="4"/>
    <s v="Company 9"/>
    <n v="41486"/>
    <n v="3"/>
    <n v="1.2053063131199999"/>
    <n v="730158.77497539402"/>
    <n v="697211.32497539406"/>
    <n v="736261.06004277372"/>
    <n v="697211.32497539406"/>
    <n v="1"/>
    <x v="2"/>
  </r>
  <r>
    <x v="74"/>
    <x v="74"/>
    <x v="0"/>
    <x v="61"/>
    <s v="Open"/>
    <n v="823949.74"/>
    <n v="823331.71"/>
    <x v="0"/>
    <n v="29482.48"/>
    <x v="1"/>
    <x v="3"/>
    <s v="Company 12"/>
    <n v="49463"/>
    <n v="4"/>
    <n v="1.03"/>
    <n v="848031.66130000004"/>
    <n v="818549.18130000005"/>
    <n v="848668.23219999997"/>
    <n v="818549.18130000005"/>
    <n v="1"/>
    <x v="4"/>
  </r>
  <r>
    <x v="75"/>
    <x v="75"/>
    <x v="2"/>
    <x v="63"/>
    <s v="Closed"/>
    <n v="612849.75"/>
    <n v="606697.05999999994"/>
    <x v="0"/>
    <n v="32847.58"/>
    <x v="2"/>
    <x v="0"/>
    <s v="Company 14"/>
    <n v="42841"/>
    <n v="3"/>
    <n v="1.071612"/>
    <n v="650143.84986071999"/>
    <n v="617296.26986072003"/>
    <n v="656737.146297"/>
    <n v="617296.26986072003"/>
    <n v="1"/>
    <x v="3"/>
  </r>
  <r>
    <x v="76"/>
    <x v="76"/>
    <x v="3"/>
    <x v="66"/>
    <s v="Closed"/>
    <n v="610849.75"/>
    <n v="605786.89999999991"/>
    <x v="0"/>
    <n v="32947.449999999997"/>
    <x v="3"/>
    <x v="2"/>
    <s v="Company 8"/>
    <n v="72310"/>
    <n v="6"/>
    <n v="1.1037603600000001"/>
    <n v="668643.56682728394"/>
    <n v="635696.11682728399"/>
    <n v="674231.73996591009"/>
    <n v="635696.11682728399"/>
    <n v="1"/>
    <x v="1"/>
  </r>
  <r>
    <x v="77"/>
    <x v="24"/>
    <x v="1"/>
    <x v="65"/>
    <s v="Open"/>
    <n v="612839.84"/>
    <n v="601678.92000000004"/>
    <x v="0"/>
    <n v="27839.38"/>
    <x v="1"/>
    <x v="1"/>
    <s v="Company 11"/>
    <n v="21399"/>
    <n v="3"/>
    <n v="1.0506"/>
    <n v="632123.87335200002"/>
    <n v="604284.49335200002"/>
    <n v="643849.53590399993"/>
    <n v="604284.49335200002"/>
    <n v="1"/>
    <x v="5"/>
  </r>
  <r>
    <x v="78"/>
    <x v="77"/>
    <x v="4"/>
    <x v="62"/>
    <s v="Closed"/>
    <n v="512849.56"/>
    <n v="501321.63"/>
    <x v="2"/>
    <n v="27482.38"/>
    <x v="0"/>
    <x v="4"/>
    <s v="Company 2"/>
    <n v="37317"/>
    <n v="5"/>
    <n v="1.03"/>
    <n v="516361.27890000003"/>
    <n v="488878.89890000003"/>
    <n v="528235.04680000001"/>
    <n v="488878.89890000003"/>
    <n v="1"/>
    <x v="4"/>
  </r>
  <r>
    <x v="79"/>
    <x v="78"/>
    <x v="0"/>
    <x v="63"/>
    <s v="Closed"/>
    <n v="612849.75"/>
    <n v="606697.05999999994"/>
    <x v="0"/>
    <n v="32847.58"/>
    <x v="1"/>
    <x v="3"/>
    <s v="Company 17"/>
    <n v="34612"/>
    <n v="7"/>
    <n v="1.071612"/>
    <n v="650143.84986071999"/>
    <n v="617296.26986072003"/>
    <n v="656737.146297"/>
    <n v="617296.26986072003"/>
    <n v="1"/>
    <x v="3"/>
  </r>
  <r>
    <x v="80"/>
    <x v="79"/>
    <x v="2"/>
    <x v="54"/>
    <s v="Closed"/>
    <n v="728947.34"/>
    <n v="721798.13"/>
    <x v="0"/>
    <n v="37948.379999999997"/>
    <x v="2"/>
    <x v="0"/>
    <s v="Company 1"/>
    <n v="67442"/>
    <n v="3"/>
    <n v="1.1037603600000001"/>
    <n v="796692.16381612688"/>
    <n v="758743.78381612687"/>
    <n v="804583.1784194425"/>
    <n v="758743.78381612687"/>
    <n v="1"/>
    <x v="1"/>
  </r>
  <r>
    <x v="81"/>
    <x v="80"/>
    <x v="3"/>
    <x v="68"/>
    <s v="Open"/>
    <n v="762849.23"/>
    <n v="778796.89999999991"/>
    <x v="0"/>
    <n v="38947.449999999997"/>
    <x v="3"/>
    <x v="2"/>
    <s v="Company 13"/>
    <n v="91795"/>
    <n v="4"/>
    <n v="1.1479107743999999"/>
    <n v="893989.35257931915"/>
    <n v="855041.9025793192"/>
    <n v="875682.85035974358"/>
    <n v="855041.9025793192"/>
    <n v="1"/>
    <x v="0"/>
  </r>
  <r>
    <x v="82"/>
    <x v="81"/>
    <x v="1"/>
    <x v="65"/>
    <s v="Closed"/>
    <n v="612839.84"/>
    <n v="601678.92000000004"/>
    <x v="0"/>
    <n v="27839.38"/>
    <x v="1"/>
    <x v="1"/>
    <s v="Company 18"/>
    <n v="22549"/>
    <n v="5"/>
    <n v="1.2053063131199999"/>
    <n v="725207.40074722341"/>
    <n v="697368.0207472234"/>
    <n v="738659.72808345058"/>
    <n v="697368.0207472234"/>
    <n v="1"/>
    <x v="2"/>
  </r>
  <r>
    <x v="83"/>
    <x v="82"/>
    <x v="4"/>
    <x v="66"/>
    <s v="Closed"/>
    <n v="610849.75"/>
    <n v="605786.89999999991"/>
    <x v="0"/>
    <n v="32947.449999999997"/>
    <x v="0"/>
    <x v="4"/>
    <s v="Company 16"/>
    <n v="53470"/>
    <n v="6"/>
    <n v="1.03"/>
    <n v="623960.50699999987"/>
    <n v="591013.05699999991"/>
    <n v="629175.24250000005"/>
    <n v="591013.05699999991"/>
    <n v="1"/>
    <x v="4"/>
  </r>
  <r>
    <x v="84"/>
    <x v="83"/>
    <x v="0"/>
    <x v="61"/>
    <s v="Open"/>
    <n v="823949.74"/>
    <n v="823331.71"/>
    <x v="0"/>
    <n v="29482.48"/>
    <x v="1"/>
    <x v="3"/>
    <s v="Company 7"/>
    <n v="70274"/>
    <n v="4"/>
    <n v="1.071612"/>
    <n v="882292.14041651995"/>
    <n v="852809.66041651997"/>
    <n v="882954.42878087994"/>
    <n v="852809.66041651997"/>
    <n v="1"/>
    <x v="3"/>
  </r>
  <r>
    <x v="85"/>
    <x v="84"/>
    <x v="2"/>
    <x v="63"/>
    <s v="Closed"/>
    <n v="612849.75"/>
    <n v="606697.05999999994"/>
    <x v="0"/>
    <n v="32847.58"/>
    <x v="2"/>
    <x v="0"/>
    <s v="Company 4"/>
    <n v="44836"/>
    <n v="3"/>
    <n v="1.1037603600000001"/>
    <n v="669648.16535654163"/>
    <n v="636800.58535654168"/>
    <n v="676439.26068591012"/>
    <n v="636800.58535654168"/>
    <n v="1"/>
    <x v="1"/>
  </r>
  <r>
    <x v="86"/>
    <x v="85"/>
    <x v="3"/>
    <x v="66"/>
    <s v="Closed"/>
    <n v="610849.75"/>
    <n v="605786.89999999991"/>
    <x v="0"/>
    <n v="32947.449999999997"/>
    <x v="3"/>
    <x v="1"/>
    <s v="Company 6"/>
    <n v="60022"/>
    <n v="5"/>
    <n v="1.1479107743999999"/>
    <n v="695389.30950037518"/>
    <n v="662441.85950037523"/>
    <n v="701201.00956454629"/>
    <n v="662441.85950037523"/>
    <n v="1"/>
    <x v="0"/>
  </r>
  <r>
    <x v="87"/>
    <x v="86"/>
    <x v="1"/>
    <x v="65"/>
    <s v="Open"/>
    <n v="612839.84"/>
    <n v="601678.92000000004"/>
    <x v="0"/>
    <n v="27839.38"/>
    <x v="1"/>
    <x v="2"/>
    <s v="Company 5"/>
    <n v="24192"/>
    <n v="3"/>
    <n v="1.0506"/>
    <n v="632123.87335200002"/>
    <n v="604284.49335200002"/>
    <n v="643849.53590399993"/>
    <n v="604284.49335200002"/>
    <n v="1"/>
    <x v="5"/>
  </r>
  <r>
    <x v="88"/>
    <x v="4"/>
    <x v="4"/>
    <x v="62"/>
    <s v="Closed"/>
    <n v="512849.56"/>
    <n v="501321.63"/>
    <x v="2"/>
    <n v="27482.38"/>
    <x v="0"/>
    <x v="4"/>
    <s v="Company 9"/>
    <n v="48914"/>
    <n v="7"/>
    <n v="1.03"/>
    <n v="516361.27890000003"/>
    <n v="488878.89890000003"/>
    <n v="528235.04680000001"/>
    <n v="488878.89890000003"/>
    <n v="1"/>
    <x v="4"/>
  </r>
  <r>
    <x v="89"/>
    <x v="87"/>
    <x v="0"/>
    <x v="63"/>
    <s v="Closed"/>
    <n v="612849.75"/>
    <n v="606697.05999999994"/>
    <x v="0"/>
    <n v="32847.58"/>
    <x v="1"/>
    <x v="3"/>
    <s v="Company 11"/>
    <n v="86353"/>
    <n v="4"/>
    <n v="1.071612"/>
    <n v="650143.84986071999"/>
    <n v="617296.26986072003"/>
    <n v="656737.146297"/>
    <n v="617296.26986072003"/>
    <n v="1"/>
    <x v="3"/>
  </r>
  <r>
    <x v="90"/>
    <x v="88"/>
    <x v="2"/>
    <x v="54"/>
    <s v="Closed"/>
    <n v="728947.34"/>
    <n v="721798.13"/>
    <x v="0"/>
    <n v="37948.379999999997"/>
    <x v="2"/>
    <x v="0"/>
    <s v="Company 3"/>
    <n v="24591"/>
    <n v="5"/>
    <n v="1.1037603600000001"/>
    <n v="796692.16381612688"/>
    <n v="758743.78381612687"/>
    <n v="804583.1784194425"/>
    <n v="758743.78381612687"/>
    <n v="1"/>
    <x v="1"/>
  </r>
  <r>
    <x v="91"/>
    <x v="89"/>
    <x v="3"/>
    <x v="68"/>
    <s v="Open"/>
    <n v="762849.23"/>
    <n v="778796.89999999991"/>
    <x v="0"/>
    <n v="38947.449999999997"/>
    <x v="3"/>
    <x v="2"/>
    <s v="Company 17"/>
    <n v="113122"/>
    <n v="6"/>
    <n v="1.0506"/>
    <n v="818204.02313999983"/>
    <n v="779256.57313999988"/>
    <n v="801449.40103800001"/>
    <n v="779256.57313999988"/>
    <n v="1"/>
    <x v="5"/>
  </r>
  <r>
    <x v="92"/>
    <x v="90"/>
    <x v="1"/>
    <x v="65"/>
    <s v="Closed"/>
    <n v="612839.84"/>
    <n v="601678.92000000004"/>
    <x v="0"/>
    <n v="27839.38"/>
    <x v="1"/>
    <x v="1"/>
    <s v="Company 14"/>
    <n v="72498"/>
    <n v="3"/>
    <n v="1.1479107743999999"/>
    <n v="690673.71499735559"/>
    <n v="662834.33499735559"/>
    <n v="703485.45531757199"/>
    <n v="662834.33499735559"/>
    <n v="1"/>
    <x v="0"/>
  </r>
  <r>
    <x v="93"/>
    <x v="91"/>
    <x v="4"/>
    <x v="66"/>
    <s v="Closed"/>
    <n v="610849.75"/>
    <n v="605786.89999999991"/>
    <x v="0"/>
    <n v="32947.449999999997"/>
    <x v="0"/>
    <x v="4"/>
    <s v="Company 15"/>
    <n v="33434"/>
    <n v="4"/>
    <n v="1.03"/>
    <n v="623960.50699999987"/>
    <n v="591013.05699999991"/>
    <n v="629175.24250000005"/>
    <n v="591013.05699999991"/>
    <n v="1"/>
    <x v="4"/>
  </r>
  <r>
    <x v="94"/>
    <x v="92"/>
    <x v="0"/>
    <x v="61"/>
    <s v="Open"/>
    <n v="823949.74"/>
    <n v="823331.71"/>
    <x v="0"/>
    <n v="29482.48"/>
    <x v="1"/>
    <x v="3"/>
    <s v="Company 16"/>
    <n v="52351"/>
    <n v="3"/>
    <n v="1.071612"/>
    <n v="882292.14041651995"/>
    <n v="852809.66041651997"/>
    <n v="882954.42878087994"/>
    <n v="852809.66041651997"/>
    <n v="1"/>
    <x v="3"/>
  </r>
  <r>
    <x v="95"/>
    <x v="93"/>
    <x v="2"/>
    <x v="63"/>
    <s v="Closed"/>
    <n v="612849.75"/>
    <n v="606697.05999999994"/>
    <x v="0"/>
    <n v="32847.58"/>
    <x v="2"/>
    <x v="0"/>
    <s v="Company 7"/>
    <n v="75585"/>
    <n v="6"/>
    <n v="1.1037603600000001"/>
    <n v="669648.16535654163"/>
    <n v="636800.58535654168"/>
    <n v="676439.26068591012"/>
    <n v="636800.58535654168"/>
    <n v="1"/>
    <x v="1"/>
  </r>
  <r>
    <x v="96"/>
    <x v="94"/>
    <x v="3"/>
    <x v="66"/>
    <s v="Closed"/>
    <n v="610849.75"/>
    <n v="605786.89999999991"/>
    <x v="0"/>
    <n v="32947.449999999997"/>
    <x v="3"/>
    <x v="1"/>
    <s v="Company 12"/>
    <n v="67294"/>
    <n v="5"/>
    <n v="1.1479107743999999"/>
    <n v="695389.30950037518"/>
    <n v="662441.85950037523"/>
    <n v="701201.00956454629"/>
    <n v="662441.85950037523"/>
    <n v="1"/>
    <x v="0"/>
  </r>
  <r>
    <x v="97"/>
    <x v="95"/>
    <x v="1"/>
    <x v="65"/>
    <s v="Open"/>
    <n v="612839.84"/>
    <n v="601678.92000000004"/>
    <x v="0"/>
    <n v="27839.38"/>
    <x v="1"/>
    <x v="2"/>
    <s v="Company 8"/>
    <n v="12492"/>
    <n v="3"/>
    <n v="1.0506"/>
    <n v="632123.87335200002"/>
    <n v="604284.49335200002"/>
    <n v="643849.53590399993"/>
    <n v="604284.49335200002"/>
    <n v="1"/>
    <x v="5"/>
  </r>
  <r>
    <x v="98"/>
    <x v="96"/>
    <x v="4"/>
    <x v="62"/>
    <s v="Closed"/>
    <n v="512849.56"/>
    <n v="501321.63"/>
    <x v="2"/>
    <n v="27482.38"/>
    <x v="0"/>
    <x v="3"/>
    <s v="Company 19"/>
    <n v="7700"/>
    <n v="4"/>
    <n v="1.03"/>
    <n v="516361.27890000003"/>
    <n v="488878.89890000003"/>
    <n v="528235.04680000001"/>
    <n v="488878.89890000003"/>
    <n v="1"/>
    <x v="4"/>
  </r>
  <r>
    <x v="99"/>
    <x v="97"/>
    <x v="3"/>
    <x v="69"/>
    <s v="In Litigation"/>
    <n v="4000000"/>
    <n v="5018723.79"/>
    <x v="4"/>
    <n v="18723.79"/>
    <x v="3"/>
    <x v="1"/>
    <s v="Company 15"/>
    <n v="115933"/>
    <n v="9"/>
    <n v="1.0506"/>
    <n v="5272671.2137740003"/>
    <n v="5253947.4237740003"/>
    <n v="4202400"/>
    <n v="5253947.4237740003"/>
    <n v="0"/>
    <x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9CCB304-311F-4DFB-A2B3-3425CB606D83}"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65:H73" firstHeaderRow="1" firstDataRow="2" firstDataCol="1"/>
  <pivotFields count="21">
    <pivotField showAll="0"/>
    <pivotField numFmtId="14" showAll="0"/>
    <pivotField showAll="0"/>
    <pivotField numFmtId="44" showAll="0"/>
    <pivotField showAll="0"/>
    <pivotField numFmtId="44" showAll="0"/>
    <pivotField numFmtId="44" showAll="0"/>
    <pivotField numFmtId="6" showAll="0"/>
    <pivotField numFmtId="44" showAll="0"/>
    <pivotField axis="axisCol" showAll="0">
      <items count="5">
        <item x="2"/>
        <item x="0"/>
        <item x="3"/>
        <item x="1"/>
        <item t="default"/>
      </items>
    </pivotField>
    <pivotField showAll="0"/>
    <pivotField showAll="0"/>
    <pivotField showAll="0"/>
    <pivotField showAll="0"/>
    <pivotField showAll="0"/>
    <pivotField numFmtId="44" showAll="0"/>
    <pivotField numFmtId="44" showAll="0"/>
    <pivotField numFmtId="44" showAll="0"/>
    <pivotField dataField="1" numFmtId="44" showAll="0"/>
    <pivotField showAll="0"/>
    <pivotField axis="axisRow" showAll="0">
      <items count="7">
        <item x="2"/>
        <item x="0"/>
        <item x="1"/>
        <item x="3"/>
        <item x="5"/>
        <item x="4"/>
        <item t="default"/>
      </items>
    </pivotField>
  </pivotFields>
  <rowFields count="1">
    <field x="20"/>
  </rowFields>
  <rowItems count="7">
    <i>
      <x/>
    </i>
    <i>
      <x v="1"/>
    </i>
    <i>
      <x v="2"/>
    </i>
    <i>
      <x v="3"/>
    </i>
    <i>
      <x v="4"/>
    </i>
    <i>
      <x v="5"/>
    </i>
    <i t="grand">
      <x/>
    </i>
  </rowItems>
  <colFields count="1">
    <field x="9"/>
  </colFields>
  <colItems count="5">
    <i>
      <x/>
    </i>
    <i>
      <x v="1"/>
    </i>
    <i>
      <x v="2"/>
    </i>
    <i>
      <x v="3"/>
    </i>
    <i t="grand">
      <x/>
    </i>
  </colItems>
  <dataFields count="1">
    <dataField name="Count of Capped net adjusted incurred claim " fld="18" subtotal="count" baseField="2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667B48B-66CD-422B-A407-FCB14192DDC0}"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C41:I49" firstHeaderRow="1" firstDataRow="2" firstDataCol="1"/>
  <pivotFields count="21">
    <pivotField showAll="0"/>
    <pivotField numFmtId="14" showAll="0"/>
    <pivotField axis="axisCol" showAll="0">
      <items count="6">
        <item x="1"/>
        <item x="0"/>
        <item x="2"/>
        <item x="3"/>
        <item x="4"/>
        <item t="default"/>
      </items>
    </pivotField>
    <pivotField numFmtId="44" showAll="0"/>
    <pivotField showAll="0"/>
    <pivotField numFmtId="44" showAll="0"/>
    <pivotField numFmtId="44" showAll="0"/>
    <pivotField numFmtId="6" showAll="0"/>
    <pivotField numFmtId="44" showAll="0"/>
    <pivotField showAll="0"/>
    <pivotField showAll="0"/>
    <pivotField showAll="0"/>
    <pivotField showAll="0"/>
    <pivotField showAll="0"/>
    <pivotField showAll="0"/>
    <pivotField numFmtId="44" showAll="0"/>
    <pivotField numFmtId="44" showAll="0"/>
    <pivotField numFmtId="44" showAll="0"/>
    <pivotField dataField="1" numFmtId="44" showAll="0"/>
    <pivotField showAll="0"/>
    <pivotField axis="axisRow" showAll="0">
      <items count="7">
        <item x="2"/>
        <item x="0"/>
        <item x="1"/>
        <item x="3"/>
        <item x="5"/>
        <item x="4"/>
        <item t="default"/>
      </items>
    </pivotField>
  </pivotFields>
  <rowFields count="1">
    <field x="20"/>
  </rowFields>
  <rowItems count="7">
    <i>
      <x/>
    </i>
    <i>
      <x v="1"/>
    </i>
    <i>
      <x v="2"/>
    </i>
    <i>
      <x v="3"/>
    </i>
    <i>
      <x v="4"/>
    </i>
    <i>
      <x v="5"/>
    </i>
    <i t="grand">
      <x/>
    </i>
  </rowItems>
  <colFields count="1">
    <field x="2"/>
  </colFields>
  <colItems count="6">
    <i>
      <x/>
    </i>
    <i>
      <x v="1"/>
    </i>
    <i>
      <x v="2"/>
    </i>
    <i>
      <x v="3"/>
    </i>
    <i>
      <x v="4"/>
    </i>
    <i t="grand">
      <x/>
    </i>
  </colItems>
  <dataFields count="1">
    <dataField name="Average of Capped net adjusted incurred claim " fld="18" subtotal="average" baseField="20" baseItem="2" numFmtId="170"/>
  </dataFields>
  <formats count="1">
    <format dxfId="21">
      <pivotArea outline="0" collapsedLevelsAreSubtotals="1" fieldPosition="0"/>
    </format>
  </formats>
  <chartFormats count="5">
    <chartFormat chart="5" format="12" series="1">
      <pivotArea type="data" outline="0" fieldPosition="0">
        <references count="2">
          <reference field="4294967294" count="1" selected="0">
            <x v="0"/>
          </reference>
          <reference field="2" count="1" selected="0">
            <x v="0"/>
          </reference>
        </references>
      </pivotArea>
    </chartFormat>
    <chartFormat chart="5" format="13" series="1">
      <pivotArea type="data" outline="0" fieldPosition="0">
        <references count="2">
          <reference field="4294967294" count="1" selected="0">
            <x v="0"/>
          </reference>
          <reference field="2" count="1" selected="0">
            <x v="1"/>
          </reference>
        </references>
      </pivotArea>
    </chartFormat>
    <chartFormat chart="5" format="14" series="1">
      <pivotArea type="data" outline="0" fieldPosition="0">
        <references count="2">
          <reference field="4294967294" count="1" selected="0">
            <x v="0"/>
          </reference>
          <reference field="2" count="1" selected="0">
            <x v="2"/>
          </reference>
        </references>
      </pivotArea>
    </chartFormat>
    <chartFormat chart="5" format="15" series="1">
      <pivotArea type="data" outline="0" fieldPosition="0">
        <references count="2">
          <reference field="4294967294" count="1" selected="0">
            <x v="0"/>
          </reference>
          <reference field="2" count="1" selected="0">
            <x v="3"/>
          </reference>
        </references>
      </pivotArea>
    </chartFormat>
    <chartFormat chart="5" format="16" series="1">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3F3DD16-223E-4BB1-8D73-BBF364D970F8}"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L18:R26" firstHeaderRow="1" firstDataRow="2" firstDataCol="1"/>
  <pivotFields count="21">
    <pivotField showAll="0"/>
    <pivotField numFmtId="14" showAll="0"/>
    <pivotField showAll="0"/>
    <pivotField numFmtId="44" showAll="0"/>
    <pivotField showAll="0"/>
    <pivotField numFmtId="44" showAll="0"/>
    <pivotField numFmtId="44" showAll="0"/>
    <pivotField numFmtId="6" showAll="0"/>
    <pivotField numFmtId="44" showAll="0"/>
    <pivotField showAll="0"/>
    <pivotField axis="axisCol" showAll="0">
      <items count="6">
        <item x="1"/>
        <item x="0"/>
        <item x="2"/>
        <item x="4"/>
        <item x="3"/>
        <item t="default"/>
      </items>
    </pivotField>
    <pivotField showAll="0"/>
    <pivotField showAll="0"/>
    <pivotField showAll="0"/>
    <pivotField showAll="0"/>
    <pivotField numFmtId="44" showAll="0"/>
    <pivotField numFmtId="44" showAll="0"/>
    <pivotField numFmtId="44" showAll="0"/>
    <pivotField dataField="1" numFmtId="44" showAll="0"/>
    <pivotField showAll="0"/>
    <pivotField axis="axisRow" showAll="0">
      <items count="7">
        <item x="2"/>
        <item x="0"/>
        <item x="1"/>
        <item x="3"/>
        <item x="5"/>
        <item x="4"/>
        <item t="default"/>
      </items>
    </pivotField>
  </pivotFields>
  <rowFields count="1">
    <field x="20"/>
  </rowFields>
  <rowItems count="7">
    <i>
      <x/>
    </i>
    <i>
      <x v="1"/>
    </i>
    <i>
      <x v="2"/>
    </i>
    <i>
      <x v="3"/>
    </i>
    <i>
      <x v="4"/>
    </i>
    <i>
      <x v="5"/>
    </i>
    <i t="grand">
      <x/>
    </i>
  </rowItems>
  <colFields count="1">
    <field x="10"/>
  </colFields>
  <colItems count="6">
    <i>
      <x/>
    </i>
    <i>
      <x v="1"/>
    </i>
    <i>
      <x v="2"/>
    </i>
    <i>
      <x v="3"/>
    </i>
    <i>
      <x v="4"/>
    </i>
    <i t="grand">
      <x/>
    </i>
  </colItems>
  <dataFields count="1">
    <dataField name="Count of Capped net adjusted incurred claim " fld="18" subtotal="count" baseField="2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DADC663-EAA8-4C4B-ACB5-E93BA2C7ECF3}" name="Average Claim Amount by Year (Adjusted for Inflation)" cacheId="0" applyNumberFormats="0" applyBorderFormats="0" applyFontFormats="0" applyPatternFormats="0" applyAlignmentFormats="0" applyWidthHeightFormats="1" dataCaption="Values" updatedVersion="8" minRefreshableVersion="3" showDrill="0" useAutoFormatting="1" itemPrintTitles="1" createdVersion="8" indent="0" outline="1" outlineData="1" multipleFieldFilters="0">
  <location ref="F6:H13" firstHeaderRow="0" firstDataRow="1" firstDataCol="1"/>
  <pivotFields count="24">
    <pivotField showAll="0"/>
    <pivotField dataField="1" showAll="0">
      <items count="100">
        <item x="43"/>
        <item x="25"/>
        <item x="9"/>
        <item x="73"/>
        <item x="15"/>
        <item x="52"/>
        <item x="81"/>
        <item x="2"/>
        <item x="58"/>
        <item x="34"/>
        <item x="94"/>
        <item x="29"/>
        <item x="85"/>
        <item x="63"/>
        <item x="47"/>
        <item x="5"/>
        <item x="68"/>
        <item x="17"/>
        <item x="59"/>
        <item x="0"/>
        <item x="23"/>
        <item x="80"/>
        <item x="39"/>
        <item x="90"/>
        <item x="14"/>
        <item x="53"/>
        <item x="33"/>
        <item x="46"/>
        <item x="67"/>
        <item x="36"/>
        <item x="76"/>
        <item x="93"/>
        <item x="50"/>
        <item x="19"/>
        <item x="27"/>
        <item x="62"/>
        <item x="1"/>
        <item x="79"/>
        <item x="22"/>
        <item x="84"/>
        <item x="42"/>
        <item x="72"/>
        <item x="31"/>
        <item x="56"/>
        <item x="8"/>
        <item x="11"/>
        <item x="88"/>
        <item x="3"/>
        <item x="61"/>
        <item x="49"/>
        <item x="10"/>
        <item x="92"/>
        <item x="16"/>
        <item x="83"/>
        <item x="55"/>
        <item x="32"/>
        <item x="66"/>
        <item x="75"/>
        <item x="6"/>
        <item x="87"/>
        <item x="35"/>
        <item x="45"/>
        <item x="70"/>
        <item x="26"/>
        <item x="40"/>
        <item x="78"/>
        <item x="21"/>
        <item x="38"/>
        <item x="7"/>
        <item x="71"/>
        <item x="95"/>
        <item x="89"/>
        <item x="44"/>
        <item x="65"/>
        <item x="18"/>
        <item x="54"/>
        <item x="12"/>
        <item x="24"/>
        <item x="60"/>
        <item x="30"/>
        <item x="86"/>
        <item x="48"/>
        <item x="97"/>
        <item x="13"/>
        <item x="82"/>
        <item x="64"/>
        <item x="41"/>
        <item x="77"/>
        <item x="57"/>
        <item x="37"/>
        <item x="69"/>
        <item x="74"/>
        <item x="20"/>
        <item x="4"/>
        <item x="91"/>
        <item x="28"/>
        <item x="51"/>
        <item x="96"/>
        <item x="9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1"/>
        <item sd="0" x="2"/>
        <item sd="0" x="3"/>
        <item sd="0" x="4"/>
        <item x="0"/>
        <item x="5"/>
        <item t="default"/>
      </items>
    </pivotField>
    <pivotField axis="axisRow" showAll="0">
      <items count="9">
        <item sd="0" x="1"/>
        <item sd="0" x="2"/>
        <item sd="0" x="3"/>
        <item sd="0" x="4"/>
        <item sd="0" x="5"/>
        <item sd="0" x="6"/>
        <item h="1" x="0"/>
        <item h="1" x="7"/>
        <item t="default"/>
      </items>
    </pivotField>
  </pivotFields>
  <rowFields count="3">
    <field x="23"/>
    <field x="22"/>
    <field x="21"/>
  </rowFields>
  <rowItems count="7">
    <i>
      <x/>
    </i>
    <i>
      <x v="1"/>
    </i>
    <i>
      <x v="2"/>
    </i>
    <i>
      <x v="3"/>
    </i>
    <i>
      <x v="4"/>
    </i>
    <i>
      <x v="5"/>
    </i>
    <i t="grand">
      <x/>
    </i>
  </rowItems>
  <colFields count="1">
    <field x="-2"/>
  </colFields>
  <colItems count="2">
    <i>
      <x/>
    </i>
    <i i="1">
      <x v="1"/>
    </i>
  </colItems>
  <dataFields count="2">
    <dataField name="Sum of Gross inflation adjusted claim" fld="15" baseField="0" baseItem="0" numFmtId="172"/>
    <dataField name="Count of Date of Claim" fld="1" subtotal="count" baseField="0" baseItem="0"/>
  </dataFields>
  <formats count="1">
    <format dxfId="22">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727C15B-F6E3-439E-9BCC-6FFDB9A1C81D}"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L5:R13" firstHeaderRow="1" firstDataRow="2" firstDataCol="1"/>
  <pivotFields count="21">
    <pivotField showAll="0"/>
    <pivotField numFmtId="14" showAll="0"/>
    <pivotField showAll="0"/>
    <pivotField numFmtId="44" showAll="0"/>
    <pivotField showAll="0"/>
    <pivotField numFmtId="44" showAll="0"/>
    <pivotField numFmtId="44" showAll="0"/>
    <pivotField numFmtId="6" showAll="0"/>
    <pivotField numFmtId="44" showAll="0"/>
    <pivotField showAll="0"/>
    <pivotField axis="axisCol" showAll="0">
      <items count="6">
        <item x="1"/>
        <item x="0"/>
        <item x="2"/>
        <item x="4"/>
        <item x="3"/>
        <item t="default"/>
      </items>
    </pivotField>
    <pivotField showAll="0"/>
    <pivotField showAll="0"/>
    <pivotField showAll="0"/>
    <pivotField showAll="0"/>
    <pivotField numFmtId="44" showAll="0"/>
    <pivotField numFmtId="44" showAll="0"/>
    <pivotField numFmtId="44" showAll="0"/>
    <pivotField dataField="1" numFmtId="44" showAll="0"/>
    <pivotField showAll="0"/>
    <pivotField axis="axisRow" showAll="0">
      <items count="7">
        <item x="2"/>
        <item x="0"/>
        <item x="1"/>
        <item x="3"/>
        <item x="5"/>
        <item x="4"/>
        <item t="default"/>
      </items>
    </pivotField>
  </pivotFields>
  <rowFields count="1">
    <field x="20"/>
  </rowFields>
  <rowItems count="7">
    <i>
      <x/>
    </i>
    <i>
      <x v="1"/>
    </i>
    <i>
      <x v="2"/>
    </i>
    <i>
      <x v="3"/>
    </i>
    <i>
      <x v="4"/>
    </i>
    <i>
      <x v="5"/>
    </i>
    <i t="grand">
      <x/>
    </i>
  </rowItems>
  <colFields count="1">
    <field x="10"/>
  </colFields>
  <colItems count="6">
    <i>
      <x/>
    </i>
    <i>
      <x v="1"/>
    </i>
    <i>
      <x v="2"/>
    </i>
    <i>
      <x v="3"/>
    </i>
    <i>
      <x v="4"/>
    </i>
    <i t="grand">
      <x/>
    </i>
  </colItems>
  <dataFields count="1">
    <dataField name="Sum of Capped net adjusted incurred claim " fld="18" baseField="0" baseItem="0" numFmtId="170"/>
  </dataFields>
  <formats count="1">
    <format dxfId="2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6E6D676-CB97-455B-B859-4FCD15E76B08}"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29:I37" firstHeaderRow="1" firstDataRow="2" firstDataCol="1"/>
  <pivotFields count="21">
    <pivotField showAll="0"/>
    <pivotField numFmtId="14" showAll="0"/>
    <pivotField axis="axisCol" showAll="0">
      <items count="6">
        <item x="1"/>
        <item x="0"/>
        <item x="2"/>
        <item x="3"/>
        <item x="4"/>
        <item t="default"/>
      </items>
    </pivotField>
    <pivotField numFmtId="44" showAll="0"/>
    <pivotField showAll="0"/>
    <pivotField numFmtId="44" showAll="0"/>
    <pivotField numFmtId="44" showAll="0"/>
    <pivotField numFmtId="6" showAll="0"/>
    <pivotField numFmtId="44" showAll="0"/>
    <pivotField showAll="0"/>
    <pivotField showAll="0"/>
    <pivotField showAll="0"/>
    <pivotField showAll="0"/>
    <pivotField showAll="0"/>
    <pivotField showAll="0"/>
    <pivotField numFmtId="44" showAll="0"/>
    <pivotField numFmtId="44" showAll="0"/>
    <pivotField numFmtId="44" showAll="0"/>
    <pivotField dataField="1" numFmtId="44" showAll="0"/>
    <pivotField showAll="0"/>
    <pivotField axis="axisRow" showAll="0">
      <items count="7">
        <item x="2"/>
        <item x="0"/>
        <item x="1"/>
        <item x="3"/>
        <item x="5"/>
        <item x="4"/>
        <item t="default"/>
      </items>
    </pivotField>
  </pivotFields>
  <rowFields count="1">
    <field x="20"/>
  </rowFields>
  <rowItems count="7">
    <i>
      <x/>
    </i>
    <i>
      <x v="1"/>
    </i>
    <i>
      <x v="2"/>
    </i>
    <i>
      <x v="3"/>
    </i>
    <i>
      <x v="4"/>
    </i>
    <i>
      <x v="5"/>
    </i>
    <i t="grand">
      <x/>
    </i>
  </rowItems>
  <colFields count="1">
    <field x="2"/>
  </colFields>
  <colItems count="6">
    <i>
      <x/>
    </i>
    <i>
      <x v="1"/>
    </i>
    <i>
      <x v="2"/>
    </i>
    <i>
      <x v="3"/>
    </i>
    <i>
      <x v="4"/>
    </i>
    <i t="grand">
      <x/>
    </i>
  </colItems>
  <dataFields count="1">
    <dataField name="Count of Capped net adjusted incurred claim " fld="18" subtotal="count" baseField="20" baseItem="0"/>
  </dataFields>
  <chartFormats count="5">
    <chartFormat chart="3" format="12" series="1">
      <pivotArea type="data" outline="0" fieldPosition="0">
        <references count="2">
          <reference field="4294967294" count="1" selected="0">
            <x v="0"/>
          </reference>
          <reference field="2" count="1" selected="0">
            <x v="0"/>
          </reference>
        </references>
      </pivotArea>
    </chartFormat>
    <chartFormat chart="3" format="13" series="1">
      <pivotArea type="data" outline="0" fieldPosition="0">
        <references count="2">
          <reference field="4294967294" count="1" selected="0">
            <x v="0"/>
          </reference>
          <reference field="2" count="1" selected="0">
            <x v="1"/>
          </reference>
        </references>
      </pivotArea>
    </chartFormat>
    <chartFormat chart="3" format="14" series="1">
      <pivotArea type="data" outline="0" fieldPosition="0">
        <references count="2">
          <reference field="4294967294" count="1" selected="0">
            <x v="0"/>
          </reference>
          <reference field="2" count="1" selected="0">
            <x v="2"/>
          </reference>
        </references>
      </pivotArea>
    </chartFormat>
    <chartFormat chart="3" format="15" series="1">
      <pivotArea type="data" outline="0" fieldPosition="0">
        <references count="2">
          <reference field="4294967294" count="1" selected="0">
            <x v="0"/>
          </reference>
          <reference field="2" count="1" selected="0">
            <x v="3"/>
          </reference>
        </references>
      </pivotArea>
    </chartFormat>
    <chartFormat chart="3" format="16" series="1">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742FD1-CF3E-43D8-A2D2-C5BC12D48D7A}"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C17:I25" firstHeaderRow="1" firstDataRow="2" firstDataCol="1"/>
  <pivotFields count="21">
    <pivotField showAll="0"/>
    <pivotField numFmtId="14" showAll="0"/>
    <pivotField axis="axisCol" showAll="0">
      <items count="6">
        <item x="1"/>
        <item x="0"/>
        <item x="2"/>
        <item x="3"/>
        <item x="4"/>
        <item t="default"/>
      </items>
    </pivotField>
    <pivotField numFmtId="44" showAll="0"/>
    <pivotField showAll="0"/>
    <pivotField numFmtId="44" showAll="0"/>
    <pivotField numFmtId="44" showAll="0"/>
    <pivotField numFmtId="6" showAll="0"/>
    <pivotField numFmtId="44" showAll="0"/>
    <pivotField showAll="0"/>
    <pivotField showAll="0"/>
    <pivotField showAll="0"/>
    <pivotField showAll="0"/>
    <pivotField showAll="0"/>
    <pivotField showAll="0"/>
    <pivotField numFmtId="44" showAll="0"/>
    <pivotField numFmtId="44" showAll="0"/>
    <pivotField numFmtId="44" showAll="0"/>
    <pivotField dataField="1" numFmtId="44" showAll="0"/>
    <pivotField showAll="0"/>
    <pivotField axis="axisRow" showAll="0">
      <items count="7">
        <item x="2"/>
        <item x="0"/>
        <item x="1"/>
        <item x="3"/>
        <item x="5"/>
        <item x="4"/>
        <item t="default"/>
      </items>
    </pivotField>
  </pivotFields>
  <rowFields count="1">
    <field x="20"/>
  </rowFields>
  <rowItems count="7">
    <i>
      <x/>
    </i>
    <i>
      <x v="1"/>
    </i>
    <i>
      <x v="2"/>
    </i>
    <i>
      <x v="3"/>
    </i>
    <i>
      <x v="4"/>
    </i>
    <i>
      <x v="5"/>
    </i>
    <i t="grand">
      <x/>
    </i>
  </rowItems>
  <colFields count="1">
    <field x="2"/>
  </colFields>
  <colItems count="6">
    <i>
      <x/>
    </i>
    <i>
      <x v="1"/>
    </i>
    <i>
      <x v="2"/>
    </i>
    <i>
      <x v="3"/>
    </i>
    <i>
      <x v="4"/>
    </i>
    <i t="grand">
      <x/>
    </i>
  </colItems>
  <dataFields count="1">
    <dataField name="Sum of Capped net adjusted incurred claim " fld="18" baseField="0" baseItem="0" numFmtId="170"/>
  </dataFields>
  <formats count="1">
    <format dxfId="24">
      <pivotArea outline="0" collapsedLevelsAreSubtotals="1" fieldPosition="0"/>
    </format>
  </formats>
  <chartFormats count="5">
    <chartFormat chart="5" format="12" series="1">
      <pivotArea type="data" outline="0" fieldPosition="0">
        <references count="2">
          <reference field="4294967294" count="1" selected="0">
            <x v="0"/>
          </reference>
          <reference field="2" count="1" selected="0">
            <x v="0"/>
          </reference>
        </references>
      </pivotArea>
    </chartFormat>
    <chartFormat chart="5" format="13" series="1">
      <pivotArea type="data" outline="0" fieldPosition="0">
        <references count="2">
          <reference field="4294967294" count="1" selected="0">
            <x v="0"/>
          </reference>
          <reference field="2" count="1" selected="0">
            <x v="1"/>
          </reference>
        </references>
      </pivotArea>
    </chartFormat>
    <chartFormat chart="5" format="14" series="1">
      <pivotArea type="data" outline="0" fieldPosition="0">
        <references count="2">
          <reference field="4294967294" count="1" selected="0">
            <x v="0"/>
          </reference>
          <reference field="2" count="1" selected="0">
            <x v="2"/>
          </reference>
        </references>
      </pivotArea>
    </chartFormat>
    <chartFormat chart="5" format="15" series="1">
      <pivotArea type="data" outline="0" fieldPosition="0">
        <references count="2">
          <reference field="4294967294" count="1" selected="0">
            <x v="0"/>
          </reference>
          <reference field="2" count="1" selected="0">
            <x v="3"/>
          </reference>
        </references>
      </pivotArea>
    </chartFormat>
    <chartFormat chart="5" format="16" series="1">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2DCE9A9-908F-4C97-80D6-4F611E915412}"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54:H62" firstHeaderRow="1" firstDataRow="2" firstDataCol="1"/>
  <pivotFields count="21">
    <pivotField showAll="0"/>
    <pivotField numFmtId="14" showAll="0"/>
    <pivotField showAll="0"/>
    <pivotField numFmtId="44" showAll="0"/>
    <pivotField showAll="0"/>
    <pivotField numFmtId="44" showAll="0"/>
    <pivotField numFmtId="44" showAll="0"/>
    <pivotField numFmtId="6" showAll="0"/>
    <pivotField numFmtId="44" showAll="0"/>
    <pivotField axis="axisCol" showAll="0">
      <items count="5">
        <item x="2"/>
        <item x="0"/>
        <item x="3"/>
        <item x="1"/>
        <item t="default"/>
      </items>
    </pivotField>
    <pivotField showAll="0"/>
    <pivotField showAll="0"/>
    <pivotField showAll="0"/>
    <pivotField showAll="0"/>
    <pivotField showAll="0"/>
    <pivotField numFmtId="44" showAll="0"/>
    <pivotField numFmtId="44" showAll="0"/>
    <pivotField numFmtId="44" showAll="0"/>
    <pivotField dataField="1" numFmtId="44" showAll="0"/>
    <pivotField showAll="0"/>
    <pivotField axis="axisRow" showAll="0">
      <items count="7">
        <item x="2"/>
        <item x="0"/>
        <item x="1"/>
        <item x="3"/>
        <item x="5"/>
        <item x="4"/>
        <item t="default"/>
      </items>
    </pivotField>
  </pivotFields>
  <rowFields count="1">
    <field x="20"/>
  </rowFields>
  <rowItems count="7">
    <i>
      <x/>
    </i>
    <i>
      <x v="1"/>
    </i>
    <i>
      <x v="2"/>
    </i>
    <i>
      <x v="3"/>
    </i>
    <i>
      <x v="4"/>
    </i>
    <i>
      <x v="5"/>
    </i>
    <i t="grand">
      <x/>
    </i>
  </rowItems>
  <colFields count="1">
    <field x="9"/>
  </colFields>
  <colItems count="5">
    <i>
      <x/>
    </i>
    <i>
      <x v="1"/>
    </i>
    <i>
      <x v="2"/>
    </i>
    <i>
      <x v="3"/>
    </i>
    <i t="grand">
      <x/>
    </i>
  </colItems>
  <dataFields count="1">
    <dataField name="Sum of Capped net adjusted incurred claim " fld="18" baseField="0" baseItem="0" numFmtId="170"/>
  </dataFields>
  <formats count="1">
    <format dxfId="2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A9740DD-0AD3-46D0-8FC1-110C571927F1}"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C77:H85" firstHeaderRow="1" firstDataRow="2" firstDataCol="1"/>
  <pivotFields count="21">
    <pivotField showAll="0"/>
    <pivotField numFmtId="14" showAll="0"/>
    <pivotField showAll="0">
      <items count="6">
        <item x="1"/>
        <item x="0"/>
        <item x="2"/>
        <item x="3"/>
        <item x="4"/>
        <item t="default"/>
      </items>
    </pivotField>
    <pivotField numFmtId="44" showAll="0"/>
    <pivotField showAll="0"/>
    <pivotField numFmtId="44" showAll="0"/>
    <pivotField numFmtId="44" showAll="0"/>
    <pivotField numFmtId="6" showAll="0"/>
    <pivotField numFmtId="44" showAll="0"/>
    <pivotField axis="axisCol" showAll="0">
      <items count="5">
        <item x="2"/>
        <item x="0"/>
        <item x="3"/>
        <item x="1"/>
        <item t="default"/>
      </items>
    </pivotField>
    <pivotField showAll="0"/>
    <pivotField showAll="0"/>
    <pivotField showAll="0"/>
    <pivotField showAll="0"/>
    <pivotField showAll="0"/>
    <pivotField numFmtId="44" showAll="0"/>
    <pivotField numFmtId="44" showAll="0"/>
    <pivotField numFmtId="44" showAll="0"/>
    <pivotField dataField="1" numFmtId="44" showAll="0"/>
    <pivotField showAll="0"/>
    <pivotField axis="axisRow" showAll="0">
      <items count="7">
        <item x="2"/>
        <item x="0"/>
        <item x="1"/>
        <item x="3"/>
        <item x="5"/>
        <item x="4"/>
        <item t="default"/>
      </items>
    </pivotField>
  </pivotFields>
  <rowFields count="1">
    <field x="20"/>
  </rowFields>
  <rowItems count="7">
    <i>
      <x/>
    </i>
    <i>
      <x v="1"/>
    </i>
    <i>
      <x v="2"/>
    </i>
    <i>
      <x v="3"/>
    </i>
    <i>
      <x v="4"/>
    </i>
    <i>
      <x v="5"/>
    </i>
    <i t="grand">
      <x/>
    </i>
  </rowItems>
  <colFields count="1">
    <field x="9"/>
  </colFields>
  <colItems count="5">
    <i>
      <x/>
    </i>
    <i>
      <x v="1"/>
    </i>
    <i>
      <x v="2"/>
    </i>
    <i>
      <x v="3"/>
    </i>
    <i t="grand">
      <x/>
    </i>
  </colItems>
  <dataFields count="1">
    <dataField name="Average of Capped net adjusted incurred claim " fld="18" subtotal="average" baseField="20" baseItem="2" numFmtId="170"/>
  </dataFields>
  <formats count="1">
    <format dxfId="2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DC71429-717A-4941-B218-3C1332EA43E9}"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L30:R38" firstHeaderRow="1" firstDataRow="2" firstDataCol="1"/>
  <pivotFields count="21">
    <pivotField showAll="0"/>
    <pivotField numFmtId="14" showAll="0"/>
    <pivotField showAll="0">
      <items count="6">
        <item x="1"/>
        <item x="0"/>
        <item x="2"/>
        <item x="3"/>
        <item x="4"/>
        <item t="default"/>
      </items>
    </pivotField>
    <pivotField numFmtId="44" showAll="0"/>
    <pivotField showAll="0"/>
    <pivotField numFmtId="44" showAll="0"/>
    <pivotField numFmtId="44" showAll="0"/>
    <pivotField numFmtId="6" showAll="0"/>
    <pivotField numFmtId="44" showAll="0"/>
    <pivotField showAll="0">
      <items count="5">
        <item x="2"/>
        <item x="0"/>
        <item x="3"/>
        <item x="1"/>
        <item t="default"/>
      </items>
    </pivotField>
    <pivotField axis="axisCol" showAll="0">
      <items count="6">
        <item x="1"/>
        <item x="0"/>
        <item x="2"/>
        <item x="4"/>
        <item x="3"/>
        <item t="default"/>
      </items>
    </pivotField>
    <pivotField showAll="0"/>
    <pivotField showAll="0"/>
    <pivotField showAll="0"/>
    <pivotField showAll="0"/>
    <pivotField numFmtId="44" showAll="0"/>
    <pivotField numFmtId="44" showAll="0"/>
    <pivotField numFmtId="44" showAll="0"/>
    <pivotField dataField="1" numFmtId="44" showAll="0"/>
    <pivotField showAll="0"/>
    <pivotField axis="axisRow" showAll="0">
      <items count="7">
        <item x="2"/>
        <item x="0"/>
        <item x="1"/>
        <item x="3"/>
        <item x="5"/>
        <item x="4"/>
        <item t="default"/>
      </items>
    </pivotField>
  </pivotFields>
  <rowFields count="1">
    <field x="20"/>
  </rowFields>
  <rowItems count="7">
    <i>
      <x/>
    </i>
    <i>
      <x v="1"/>
    </i>
    <i>
      <x v="2"/>
    </i>
    <i>
      <x v="3"/>
    </i>
    <i>
      <x v="4"/>
    </i>
    <i>
      <x v="5"/>
    </i>
    <i t="grand">
      <x/>
    </i>
  </rowItems>
  <colFields count="1">
    <field x="10"/>
  </colFields>
  <colItems count="6">
    <i>
      <x/>
    </i>
    <i>
      <x v="1"/>
    </i>
    <i>
      <x v="2"/>
    </i>
    <i>
      <x v="3"/>
    </i>
    <i>
      <x v="4"/>
    </i>
    <i t="grand">
      <x/>
    </i>
  </colItems>
  <dataFields count="1">
    <dataField name="Average of Capped net adjusted incurred claim " fld="18" subtotal="average" baseField="20" baseItem="2" numFmtId="170"/>
  </dataFields>
  <formats count="1">
    <format dxfId="2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95F6940-DD1A-4811-80FC-EB835F203207}"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G16:I23" firstHeaderRow="0" firstDataRow="1" firstDataCol="1" rowPageCount="1" colPageCount="1"/>
  <pivotFields count="24">
    <pivotField dataField="1" showAll="0"/>
    <pivotField numFmtId="14" showAll="0">
      <items count="100">
        <item x="43"/>
        <item x="25"/>
        <item x="9"/>
        <item x="73"/>
        <item x="15"/>
        <item x="52"/>
        <item x="81"/>
        <item x="2"/>
        <item x="58"/>
        <item x="34"/>
        <item x="94"/>
        <item x="29"/>
        <item x="85"/>
        <item x="63"/>
        <item x="47"/>
        <item x="5"/>
        <item x="68"/>
        <item x="17"/>
        <item x="59"/>
        <item x="0"/>
        <item x="23"/>
        <item x="80"/>
        <item x="39"/>
        <item x="90"/>
        <item x="14"/>
        <item x="53"/>
        <item x="33"/>
        <item x="46"/>
        <item x="67"/>
        <item x="36"/>
        <item x="76"/>
        <item x="93"/>
        <item x="50"/>
        <item x="19"/>
        <item x="27"/>
        <item x="62"/>
        <item x="1"/>
        <item x="79"/>
        <item x="22"/>
        <item x="84"/>
        <item x="42"/>
        <item x="72"/>
        <item x="31"/>
        <item x="56"/>
        <item x="8"/>
        <item x="11"/>
        <item x="88"/>
        <item x="3"/>
        <item x="61"/>
        <item x="49"/>
        <item x="10"/>
        <item x="92"/>
        <item x="16"/>
        <item x="83"/>
        <item x="55"/>
        <item x="32"/>
        <item x="66"/>
        <item x="75"/>
        <item x="6"/>
        <item x="87"/>
        <item x="35"/>
        <item x="45"/>
        <item x="70"/>
        <item x="26"/>
        <item x="40"/>
        <item x="78"/>
        <item x="21"/>
        <item x="38"/>
        <item x="7"/>
        <item x="71"/>
        <item x="95"/>
        <item x="89"/>
        <item x="44"/>
        <item x="65"/>
        <item x="18"/>
        <item x="54"/>
        <item x="12"/>
        <item x="24"/>
        <item x="60"/>
        <item x="30"/>
        <item x="86"/>
        <item x="48"/>
        <item x="97"/>
        <item x="13"/>
        <item x="82"/>
        <item x="64"/>
        <item x="41"/>
        <item x="77"/>
        <item x="57"/>
        <item x="37"/>
        <item x="69"/>
        <item x="74"/>
        <item x="20"/>
        <item x="4"/>
        <item x="91"/>
        <item x="28"/>
        <item x="51"/>
        <item x="96"/>
        <item x="98"/>
        <item t="default"/>
      </items>
    </pivotField>
    <pivotField showAll="0"/>
    <pivotField numFmtId="44" showAll="0"/>
    <pivotField showAll="0"/>
    <pivotField numFmtId="44" showAll="0"/>
    <pivotField numFmtId="44" showAll="0"/>
    <pivotField numFmtId="6" showAll="0"/>
    <pivotField numFmtId="44" showAll="0"/>
    <pivotField showAll="0"/>
    <pivotField showAll="0"/>
    <pivotField showAll="0"/>
    <pivotField showAll="0"/>
    <pivotField showAll="0"/>
    <pivotField showAll="0"/>
    <pivotField numFmtId="44" showAll="0"/>
    <pivotField numFmtId="44" showAll="0"/>
    <pivotField numFmtId="44" showAll="0"/>
    <pivotField dataField="1" numFmtId="44" showAll="0"/>
    <pivotField axis="axisPage" showAll="0">
      <items count="4">
        <item x="1"/>
        <item x="0"/>
        <item x="2"/>
        <item t="default"/>
      </items>
    </pivotField>
    <pivotField axis="axisRow" showAll="0">
      <items count="8">
        <item x="2"/>
        <item x="0"/>
        <item x="1"/>
        <item x="3"/>
        <item x="5"/>
        <item x="4"/>
        <item x="6"/>
        <item t="default"/>
      </items>
    </pivotField>
    <pivotField showAll="0"/>
    <pivotField showAll="0"/>
    <pivotField showAll="0">
      <items count="9">
        <item x="1"/>
        <item x="2"/>
        <item x="3"/>
        <item x="4"/>
        <item x="5"/>
        <item x="6"/>
        <item x="0"/>
        <item x="7"/>
        <item t="default"/>
      </items>
    </pivotField>
  </pivotFields>
  <rowFields count="1">
    <field x="20"/>
  </rowFields>
  <rowItems count="7">
    <i>
      <x/>
    </i>
    <i>
      <x v="1"/>
    </i>
    <i>
      <x v="2"/>
    </i>
    <i>
      <x v="3"/>
    </i>
    <i>
      <x v="4"/>
    </i>
    <i>
      <x v="5"/>
    </i>
    <i t="grand">
      <x/>
    </i>
  </rowItems>
  <colFields count="1">
    <field x="-2"/>
  </colFields>
  <colItems count="2">
    <i>
      <x/>
    </i>
    <i i="1">
      <x v="1"/>
    </i>
  </colItems>
  <pageFields count="1">
    <pageField fld="19" item="1" hier="-1"/>
  </pageFields>
  <dataFields count="2">
    <dataField name="Sum of Capped net adjusted incurred claim " fld="18" baseField="0" baseItem="0" numFmtId="164"/>
    <dataField name="Count of Claim ID" fld="0" subtotal="count" baseField="0" baseItem="0"/>
  </dataFields>
  <formats count="1">
    <format dxfId="20">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D83AA03-4811-A84A-BD39-835FDDF6D2E9}" name="PivotTable11"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1">
  <location ref="A60:B65" firstHeaderRow="1" firstDataRow="1" firstDataCol="1"/>
  <pivotFields count="21">
    <pivotField showAll="0">
      <items count="1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umFmtId="14" showAll="0"/>
    <pivotField showAll="0">
      <items count="6">
        <item x="1"/>
        <item x="0"/>
        <item x="2"/>
        <item x="3"/>
        <item x="4"/>
        <item t="default"/>
      </items>
    </pivotField>
    <pivotField dataField="1" numFmtId="44" showAll="0">
      <items count="71">
        <item x="20"/>
        <item x="4"/>
        <item x="13"/>
        <item x="27"/>
        <item x="12"/>
        <item x="29"/>
        <item x="23"/>
        <item x="11"/>
        <item x="18"/>
        <item x="3"/>
        <item x="32"/>
        <item x="22"/>
        <item x="47"/>
        <item x="5"/>
        <item x="43"/>
        <item x="37"/>
        <item x="35"/>
        <item x="48"/>
        <item x="1"/>
        <item x="10"/>
        <item x="16"/>
        <item x="26"/>
        <item x="41"/>
        <item x="51"/>
        <item x="30"/>
        <item x="34"/>
        <item x="17"/>
        <item x="19"/>
        <item x="57"/>
        <item x="67"/>
        <item x="62"/>
        <item x="44"/>
        <item x="52"/>
        <item x="38"/>
        <item x="33"/>
        <item x="25"/>
        <item x="40"/>
        <item x="42"/>
        <item x="66"/>
        <item x="65"/>
        <item x="63"/>
        <item x="49"/>
        <item x="15"/>
        <item x="58"/>
        <item x="53"/>
        <item x="56"/>
        <item x="9"/>
        <item x="21"/>
        <item x="36"/>
        <item x="2"/>
        <item x="45"/>
        <item x="64"/>
        <item x="54"/>
        <item x="31"/>
        <item x="14"/>
        <item x="28"/>
        <item x="0"/>
        <item x="68"/>
        <item x="8"/>
        <item x="6"/>
        <item x="46"/>
        <item x="50"/>
        <item x="55"/>
        <item x="61"/>
        <item x="39"/>
        <item x="59"/>
        <item x="60"/>
        <item x="24"/>
        <item x="7"/>
        <item x="69"/>
        <item t="default"/>
      </items>
    </pivotField>
    <pivotField showAll="0"/>
    <pivotField numFmtId="44" showAll="0"/>
    <pivotField numFmtId="44" showAll="0"/>
    <pivotField numFmtId="6" showAll="0"/>
    <pivotField numFmtId="44" showAll="0"/>
    <pivotField showAll="0"/>
    <pivotField axis="axisRow" showAll="0">
      <items count="6">
        <item x="1"/>
        <item x="0"/>
        <item x="2"/>
        <item x="4"/>
        <item x="3"/>
        <item t="default"/>
      </items>
    </pivotField>
    <pivotField showAll="0"/>
    <pivotField showAll="0"/>
    <pivotField showAll="0"/>
    <pivotField showAll="0"/>
    <pivotField numFmtId="44" showAll="0"/>
    <pivotField numFmtId="44" showAll="0"/>
    <pivotField numFmtId="44" showAll="0"/>
    <pivotField numFmtId="44" showAll="0"/>
    <pivotField showAll="0"/>
    <pivotField showAll="0">
      <items count="7">
        <item h="1" x="2"/>
        <item x="0"/>
        <item h="1" x="1"/>
        <item h="1" x="3"/>
        <item h="1" x="5"/>
        <item h="1" x="4"/>
        <item t="default"/>
      </items>
    </pivotField>
  </pivotFields>
  <rowFields count="1">
    <field x="10"/>
  </rowFields>
  <rowItems count="5">
    <i>
      <x/>
    </i>
    <i>
      <x v="1"/>
    </i>
    <i>
      <x v="2"/>
    </i>
    <i>
      <x v="3"/>
    </i>
    <i>
      <x v="4"/>
    </i>
  </rowItems>
  <colItems count="1">
    <i/>
  </colItems>
  <dataFields count="1">
    <dataField name="Sum of Claim Incurred ($)" fld="3" baseField="0" baseItem="0" numFmtId="172"/>
  </dataFields>
  <formats count="1">
    <format dxfId="9">
      <pivotArea outline="0" collapsedLevelsAreSubtotals="1" fieldPosition="0"/>
    </format>
  </formats>
  <chartFormats count="14">
    <chartFormat chart="6" format="0"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8" format="1">
      <pivotArea type="data" outline="0" fieldPosition="0">
        <references count="2">
          <reference field="4294967294" count="1" selected="0">
            <x v="0"/>
          </reference>
          <reference field="10" count="1" selected="0">
            <x v="0"/>
          </reference>
        </references>
      </pivotArea>
    </chartFormat>
    <chartFormat chart="8" format="2">
      <pivotArea type="data" outline="0" fieldPosition="0">
        <references count="2">
          <reference field="4294967294" count="1" selected="0">
            <x v="0"/>
          </reference>
          <reference field="10" count="1" selected="0">
            <x v="1"/>
          </reference>
        </references>
      </pivotArea>
    </chartFormat>
    <chartFormat chart="8" format="3">
      <pivotArea type="data" outline="0" fieldPosition="0">
        <references count="2">
          <reference field="4294967294" count="1" selected="0">
            <x v="0"/>
          </reference>
          <reference field="10" count="1" selected="0">
            <x v="2"/>
          </reference>
        </references>
      </pivotArea>
    </chartFormat>
    <chartFormat chart="8" format="4">
      <pivotArea type="data" outline="0" fieldPosition="0">
        <references count="2">
          <reference field="4294967294" count="1" selected="0">
            <x v="0"/>
          </reference>
          <reference field="10" count="1" selected="0">
            <x v="3"/>
          </reference>
        </references>
      </pivotArea>
    </chartFormat>
    <chartFormat chart="8" format="5">
      <pivotArea type="data" outline="0" fieldPosition="0">
        <references count="2">
          <reference field="4294967294" count="1" selected="0">
            <x v="0"/>
          </reference>
          <reference field="10" count="1" selected="0">
            <x v="4"/>
          </reference>
        </references>
      </pivotArea>
    </chartFormat>
    <chartFormat chart="10" format="12" series="1">
      <pivotArea type="data" outline="0" fieldPosition="0">
        <references count="1">
          <reference field="4294967294" count="1" selected="0">
            <x v="0"/>
          </reference>
        </references>
      </pivotArea>
    </chartFormat>
    <chartFormat chart="10" format="13">
      <pivotArea type="data" outline="0" fieldPosition="0">
        <references count="2">
          <reference field="4294967294" count="1" selected="0">
            <x v="0"/>
          </reference>
          <reference field="10" count="1" selected="0">
            <x v="0"/>
          </reference>
        </references>
      </pivotArea>
    </chartFormat>
    <chartFormat chart="10" format="14">
      <pivotArea type="data" outline="0" fieldPosition="0">
        <references count="2">
          <reference field="4294967294" count="1" selected="0">
            <x v="0"/>
          </reference>
          <reference field="10" count="1" selected="0">
            <x v="1"/>
          </reference>
        </references>
      </pivotArea>
    </chartFormat>
    <chartFormat chart="10" format="15">
      <pivotArea type="data" outline="0" fieldPosition="0">
        <references count="2">
          <reference field="4294967294" count="1" selected="0">
            <x v="0"/>
          </reference>
          <reference field="10" count="1" selected="0">
            <x v="2"/>
          </reference>
        </references>
      </pivotArea>
    </chartFormat>
    <chartFormat chart="10" format="16">
      <pivotArea type="data" outline="0" fieldPosition="0">
        <references count="2">
          <reference field="4294967294" count="1" selected="0">
            <x v="0"/>
          </reference>
          <reference field="10" count="1" selected="0">
            <x v="3"/>
          </reference>
        </references>
      </pivotArea>
    </chartFormat>
    <chartFormat chart="10" format="17">
      <pivotArea type="data" outline="0" fieldPosition="0">
        <references count="2">
          <reference field="4294967294" count="1" selected="0">
            <x v="0"/>
          </reference>
          <reference field="1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3F63C5-CEEB-1646-A749-7369D22A4D0F}" name="PivotTable10"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0">
  <location ref="A44:B49" firstHeaderRow="1" firstDataRow="1" firstDataCol="1"/>
  <pivotFields count="21">
    <pivotField showAll="0">
      <items count="1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umFmtId="14" showAll="0"/>
    <pivotField axis="axisRow" showAll="0">
      <items count="6">
        <item x="1"/>
        <item x="0"/>
        <item x="2"/>
        <item x="3"/>
        <item x="4"/>
        <item t="default"/>
      </items>
    </pivotField>
    <pivotField dataField="1" numFmtId="44" showAll="0">
      <items count="71">
        <item x="20"/>
        <item x="4"/>
        <item x="13"/>
        <item x="27"/>
        <item x="12"/>
        <item x="29"/>
        <item x="23"/>
        <item x="11"/>
        <item x="18"/>
        <item x="3"/>
        <item x="32"/>
        <item x="22"/>
        <item x="47"/>
        <item x="5"/>
        <item x="43"/>
        <item x="37"/>
        <item x="35"/>
        <item x="48"/>
        <item x="1"/>
        <item x="10"/>
        <item x="16"/>
        <item x="26"/>
        <item x="41"/>
        <item x="51"/>
        <item x="30"/>
        <item x="34"/>
        <item x="17"/>
        <item x="19"/>
        <item x="57"/>
        <item x="67"/>
        <item x="62"/>
        <item x="44"/>
        <item x="52"/>
        <item x="38"/>
        <item x="33"/>
        <item x="25"/>
        <item x="40"/>
        <item x="42"/>
        <item x="66"/>
        <item x="65"/>
        <item x="63"/>
        <item x="49"/>
        <item x="15"/>
        <item x="58"/>
        <item x="53"/>
        <item x="56"/>
        <item x="9"/>
        <item x="21"/>
        <item x="36"/>
        <item x="2"/>
        <item x="45"/>
        <item x="64"/>
        <item x="54"/>
        <item x="31"/>
        <item x="14"/>
        <item x="28"/>
        <item x="0"/>
        <item x="68"/>
        <item x="8"/>
        <item x="6"/>
        <item x="46"/>
        <item x="50"/>
        <item x="55"/>
        <item x="61"/>
        <item x="39"/>
        <item x="59"/>
        <item x="60"/>
        <item x="24"/>
        <item x="7"/>
        <item x="69"/>
        <item t="default"/>
      </items>
    </pivotField>
    <pivotField showAll="0"/>
    <pivotField numFmtId="44" showAll="0"/>
    <pivotField numFmtId="44" showAll="0"/>
    <pivotField numFmtId="6" showAll="0"/>
    <pivotField numFmtId="44" showAll="0"/>
    <pivotField showAll="0"/>
    <pivotField showAll="0"/>
    <pivotField showAll="0"/>
    <pivotField showAll="0"/>
    <pivotField showAll="0"/>
    <pivotField showAll="0"/>
    <pivotField numFmtId="44" showAll="0"/>
    <pivotField numFmtId="44" showAll="0"/>
    <pivotField numFmtId="44" showAll="0"/>
    <pivotField numFmtId="44" showAll="0"/>
    <pivotField showAll="0"/>
    <pivotField showAll="0">
      <items count="7">
        <item h="1" x="2"/>
        <item x="0"/>
        <item h="1" x="1"/>
        <item h="1" x="3"/>
        <item h="1" x="5"/>
        <item h="1" x="4"/>
        <item t="default"/>
      </items>
    </pivotField>
  </pivotFields>
  <rowFields count="1">
    <field x="2"/>
  </rowFields>
  <rowItems count="5">
    <i>
      <x/>
    </i>
    <i>
      <x v="1"/>
    </i>
    <i>
      <x v="2"/>
    </i>
    <i>
      <x v="3"/>
    </i>
    <i>
      <x v="4"/>
    </i>
  </rowItems>
  <colItems count="1">
    <i/>
  </colItems>
  <dataFields count="1">
    <dataField name="Sum of Claim Incurred ($)" fld="3" baseField="0" baseItem="0" numFmtId="172"/>
  </dataFields>
  <formats count="1">
    <format dxfId="10">
      <pivotArea outline="0" collapsedLevelsAreSubtotals="1" fieldPosition="0"/>
    </format>
  </formats>
  <chartFormats count="13">
    <chartFormat chart="6" format="0"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7" format="1">
      <pivotArea type="data" outline="0" fieldPosition="0">
        <references count="2">
          <reference field="4294967294" count="1" selected="0">
            <x v="0"/>
          </reference>
          <reference field="2" count="1" selected="0">
            <x v="0"/>
          </reference>
        </references>
      </pivotArea>
    </chartFormat>
    <chartFormat chart="7" format="2">
      <pivotArea type="data" outline="0" fieldPosition="0">
        <references count="2">
          <reference field="4294967294" count="1" selected="0">
            <x v="0"/>
          </reference>
          <reference field="2" count="1" selected="0">
            <x v="1"/>
          </reference>
        </references>
      </pivotArea>
    </chartFormat>
    <chartFormat chart="7" format="3">
      <pivotArea type="data" outline="0" fieldPosition="0">
        <references count="2">
          <reference field="4294967294" count="1" selected="0">
            <x v="0"/>
          </reference>
          <reference field="2" count="1" selected="0">
            <x v="2"/>
          </reference>
        </references>
      </pivotArea>
    </chartFormat>
    <chartFormat chart="7" format="4">
      <pivotArea type="data" outline="0" fieldPosition="0">
        <references count="2">
          <reference field="4294967294" count="1" selected="0">
            <x v="0"/>
          </reference>
          <reference field="2" count="1" selected="0">
            <x v="3"/>
          </reference>
        </references>
      </pivotArea>
    </chartFormat>
    <chartFormat chart="7" format="5">
      <pivotArea type="data" outline="0" fieldPosition="0">
        <references count="2">
          <reference field="4294967294" count="1" selected="0">
            <x v="0"/>
          </reference>
          <reference field="2" count="1" selected="0">
            <x v="4"/>
          </reference>
        </references>
      </pivotArea>
    </chartFormat>
    <chartFormat chart="9" format="12" series="1">
      <pivotArea type="data" outline="0" fieldPosition="0">
        <references count="1">
          <reference field="4294967294" count="1" selected="0">
            <x v="0"/>
          </reference>
        </references>
      </pivotArea>
    </chartFormat>
    <chartFormat chart="9" format="13">
      <pivotArea type="data" outline="0" fieldPosition="0">
        <references count="2">
          <reference field="4294967294" count="1" selected="0">
            <x v="0"/>
          </reference>
          <reference field="2" count="1" selected="0">
            <x v="0"/>
          </reference>
        </references>
      </pivotArea>
    </chartFormat>
    <chartFormat chart="9" format="14">
      <pivotArea type="data" outline="0" fieldPosition="0">
        <references count="2">
          <reference field="4294967294" count="1" selected="0">
            <x v="0"/>
          </reference>
          <reference field="2" count="1" selected="0">
            <x v="1"/>
          </reference>
        </references>
      </pivotArea>
    </chartFormat>
    <chartFormat chart="9" format="15">
      <pivotArea type="data" outline="0" fieldPosition="0">
        <references count="2">
          <reference field="4294967294" count="1" selected="0">
            <x v="0"/>
          </reference>
          <reference field="2" count="1" selected="0">
            <x v="2"/>
          </reference>
        </references>
      </pivotArea>
    </chartFormat>
    <chartFormat chart="9" format="16">
      <pivotArea type="data" outline="0" fieldPosition="0">
        <references count="2">
          <reference field="4294967294" count="1" selected="0">
            <x v="0"/>
          </reference>
          <reference field="2" count="1" selected="0">
            <x v="3"/>
          </reference>
        </references>
      </pivotArea>
    </chartFormat>
    <chartFormat chart="9" format="17">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3EB335A-76C9-F34E-A865-4133EC40F828}" name="PivotTable5"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
  <location ref="L19:M24" firstHeaderRow="1" firstDataRow="1" firstDataCol="1"/>
  <pivotFields count="21">
    <pivotField dataField="1" showAll="0">
      <items count="1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umFmtId="14" showAll="0"/>
    <pivotField showAll="0" sortType="descending">
      <items count="6">
        <item x="1"/>
        <item x="0"/>
        <item x="2"/>
        <item x="3"/>
        <item x="4"/>
        <item t="default"/>
      </items>
      <autoSortScope>
        <pivotArea dataOnly="0" outline="0" fieldPosition="0">
          <references count="1">
            <reference field="4294967294" count="1" selected="0">
              <x v="0"/>
            </reference>
          </references>
        </pivotArea>
      </autoSortScope>
    </pivotField>
    <pivotField numFmtId="44" showAll="0">
      <items count="71">
        <item x="20"/>
        <item x="4"/>
        <item x="13"/>
        <item x="27"/>
        <item x="12"/>
        <item x="29"/>
        <item x="23"/>
        <item x="11"/>
        <item x="18"/>
        <item x="3"/>
        <item x="32"/>
        <item x="22"/>
        <item x="47"/>
        <item x="5"/>
        <item x="43"/>
        <item x="37"/>
        <item x="35"/>
        <item x="48"/>
        <item x="1"/>
        <item x="10"/>
        <item x="16"/>
        <item x="26"/>
        <item x="41"/>
        <item x="51"/>
        <item x="30"/>
        <item x="34"/>
        <item x="17"/>
        <item x="19"/>
        <item x="57"/>
        <item x="67"/>
        <item x="62"/>
        <item x="44"/>
        <item x="52"/>
        <item x="38"/>
        <item x="33"/>
        <item x="25"/>
        <item x="40"/>
        <item x="42"/>
        <item x="66"/>
        <item x="65"/>
        <item x="63"/>
        <item x="49"/>
        <item x="15"/>
        <item x="58"/>
        <item x="53"/>
        <item x="56"/>
        <item x="9"/>
        <item x="21"/>
        <item x="36"/>
        <item x="2"/>
        <item x="45"/>
        <item x="64"/>
        <item x="54"/>
        <item x="31"/>
        <item x="14"/>
        <item x="28"/>
        <item x="0"/>
        <item x="68"/>
        <item x="8"/>
        <item x="6"/>
        <item x="46"/>
        <item x="50"/>
        <item x="55"/>
        <item x="61"/>
        <item x="39"/>
        <item x="59"/>
        <item x="60"/>
        <item x="24"/>
        <item x="7"/>
        <item x="69"/>
        <item t="default"/>
      </items>
    </pivotField>
    <pivotField showAll="0"/>
    <pivotField numFmtId="44" showAll="0"/>
    <pivotField numFmtId="44" showAll="0"/>
    <pivotField numFmtId="6" showAll="0"/>
    <pivotField numFmtId="44" showAll="0"/>
    <pivotField showAll="0"/>
    <pivotField axis="axisRow" showAll="0">
      <items count="6">
        <item x="1"/>
        <item x="0"/>
        <item x="2"/>
        <item x="4"/>
        <item x="3"/>
        <item t="default"/>
      </items>
    </pivotField>
    <pivotField showAll="0"/>
    <pivotField showAll="0"/>
    <pivotField showAll="0"/>
    <pivotField showAll="0"/>
    <pivotField numFmtId="44" showAll="0"/>
    <pivotField numFmtId="44" showAll="0"/>
    <pivotField numFmtId="44" showAll="0"/>
    <pivotField numFmtId="44" showAll="0"/>
    <pivotField showAll="0"/>
    <pivotField showAll="0">
      <items count="7">
        <item h="1" x="2"/>
        <item x="0"/>
        <item h="1" x="1"/>
        <item h="1" x="3"/>
        <item h="1" x="5"/>
        <item h="1" x="4"/>
        <item t="default"/>
      </items>
    </pivotField>
  </pivotFields>
  <rowFields count="1">
    <field x="10"/>
  </rowFields>
  <rowItems count="5">
    <i>
      <x/>
    </i>
    <i>
      <x v="1"/>
    </i>
    <i>
      <x v="2"/>
    </i>
    <i>
      <x v="3"/>
    </i>
    <i>
      <x v="4"/>
    </i>
  </rowItems>
  <colItems count="1">
    <i/>
  </colItems>
  <dataFields count="1">
    <dataField name="Count of Claim ID" fld="0" subtotal="count" baseField="0" baseItem="0"/>
  </dataFields>
  <formats count="1">
    <format dxfId="1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1828DE7-CB2E-5D44-8464-BF975789471D}" name="PivotTable8"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5">
  <location ref="A30:B36" firstHeaderRow="1" firstDataRow="1" firstDataCol="1"/>
  <pivotFields count="21">
    <pivotField dataField="1" showAll="0">
      <items count="1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umFmtId="14" showAll="0"/>
    <pivotField showAll="0">
      <items count="6">
        <item x="1"/>
        <item x="0"/>
        <item x="2"/>
        <item x="3"/>
        <item x="4"/>
        <item t="default"/>
      </items>
    </pivotField>
    <pivotField numFmtId="44" showAll="0">
      <items count="71">
        <item x="20"/>
        <item x="4"/>
        <item x="13"/>
        <item x="27"/>
        <item x="12"/>
        <item x="29"/>
        <item x="23"/>
        <item x="11"/>
        <item x="18"/>
        <item x="3"/>
        <item x="32"/>
        <item x="22"/>
        <item x="47"/>
        <item x="5"/>
        <item x="43"/>
        <item x="37"/>
        <item x="35"/>
        <item x="48"/>
        <item x="1"/>
        <item x="10"/>
        <item x="16"/>
        <item x="26"/>
        <item x="41"/>
        <item x="51"/>
        <item x="30"/>
        <item x="34"/>
        <item x="17"/>
        <item x="19"/>
        <item x="57"/>
        <item x="67"/>
        <item x="62"/>
        <item x="44"/>
        <item x="52"/>
        <item x="38"/>
        <item x="33"/>
        <item x="25"/>
        <item x="40"/>
        <item x="42"/>
        <item x="66"/>
        <item x="65"/>
        <item x="63"/>
        <item x="49"/>
        <item x="15"/>
        <item x="58"/>
        <item x="53"/>
        <item x="56"/>
        <item x="9"/>
        <item x="21"/>
        <item x="36"/>
        <item x="2"/>
        <item x="45"/>
        <item x="64"/>
        <item x="54"/>
        <item x="31"/>
        <item x="14"/>
        <item x="28"/>
        <item x="0"/>
        <item x="68"/>
        <item x="8"/>
        <item x="6"/>
        <item x="46"/>
        <item x="50"/>
        <item x="55"/>
        <item x="61"/>
        <item x="39"/>
        <item x="59"/>
        <item x="60"/>
        <item x="24"/>
        <item x="7"/>
        <item x="69"/>
        <item t="default"/>
      </items>
    </pivotField>
    <pivotField showAll="0"/>
    <pivotField numFmtId="44" showAll="0"/>
    <pivotField numFmtId="44" showAll="0"/>
    <pivotField numFmtId="6" showAll="0"/>
    <pivotField numFmtId="44" showAll="0"/>
    <pivotField showAll="0"/>
    <pivotField showAll="0"/>
    <pivotField showAll="0"/>
    <pivotField showAll="0"/>
    <pivotField showAll="0"/>
    <pivotField showAll="0"/>
    <pivotField numFmtId="44" showAll="0"/>
    <pivotField numFmtId="44" showAll="0"/>
    <pivotField numFmtId="44" showAll="0"/>
    <pivotField numFmtId="44" showAll="0"/>
    <pivotField showAll="0"/>
    <pivotField axis="axisRow" showAll="0">
      <items count="7">
        <item x="2"/>
        <item x="0"/>
        <item x="1"/>
        <item x="3"/>
        <item x="5"/>
        <item x="4"/>
        <item t="default"/>
      </items>
    </pivotField>
  </pivotFields>
  <rowFields count="1">
    <field x="20"/>
  </rowFields>
  <rowItems count="6">
    <i>
      <x/>
    </i>
    <i>
      <x v="1"/>
    </i>
    <i>
      <x v="2"/>
    </i>
    <i>
      <x v="3"/>
    </i>
    <i>
      <x v="4"/>
    </i>
    <i>
      <x v="5"/>
    </i>
  </rowItems>
  <colItems count="1">
    <i/>
  </colItems>
  <dataFields count="1">
    <dataField name="Count of Claim ID" fld="0" subtotal="count" baseField="0" baseItem="0" numFmtId="1"/>
  </dataFields>
  <formats count="1">
    <format dxfId="12">
      <pivotArea outline="0" collapsedLevelsAreSubtotals="1" fieldPosition="0"/>
    </format>
  </formats>
  <chartFormats count="2">
    <chartFormat chart="8"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72283C89-8593-A34E-A11D-2A24A62062F2}" name="PivotTable31"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
  <location ref="L2:L3" firstHeaderRow="1" firstDataRow="1" firstDataCol="0"/>
  <pivotFields count="21">
    <pivotField dataField="1" showAll="0">
      <items count="1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umFmtId="14" showAll="0"/>
    <pivotField showAll="0">
      <items count="6">
        <item x="1"/>
        <item x="0"/>
        <item x="2"/>
        <item x="3"/>
        <item x="4"/>
        <item t="default"/>
      </items>
    </pivotField>
    <pivotField numFmtId="44" showAll="0">
      <items count="71">
        <item x="20"/>
        <item x="4"/>
        <item x="13"/>
        <item x="27"/>
        <item x="12"/>
        <item x="29"/>
        <item x="23"/>
        <item x="11"/>
        <item x="18"/>
        <item x="3"/>
        <item x="32"/>
        <item x="22"/>
        <item x="47"/>
        <item x="5"/>
        <item x="43"/>
        <item x="37"/>
        <item x="35"/>
        <item x="48"/>
        <item x="1"/>
        <item x="10"/>
        <item x="16"/>
        <item x="26"/>
        <item x="41"/>
        <item x="51"/>
        <item x="30"/>
        <item x="34"/>
        <item x="17"/>
        <item x="19"/>
        <item x="57"/>
        <item x="67"/>
        <item x="62"/>
        <item x="44"/>
        <item x="52"/>
        <item x="38"/>
        <item x="33"/>
        <item x="25"/>
        <item x="40"/>
        <item x="42"/>
        <item x="66"/>
        <item x="65"/>
        <item x="63"/>
        <item x="49"/>
        <item x="15"/>
        <item x="58"/>
        <item x="53"/>
        <item x="56"/>
        <item x="9"/>
        <item x="21"/>
        <item x="36"/>
        <item x="2"/>
        <item x="45"/>
        <item x="64"/>
        <item x="54"/>
        <item x="31"/>
        <item x="14"/>
        <item x="28"/>
        <item x="0"/>
        <item x="68"/>
        <item x="8"/>
        <item x="6"/>
        <item x="46"/>
        <item x="50"/>
        <item x="55"/>
        <item x="61"/>
        <item x="39"/>
        <item x="59"/>
        <item x="60"/>
        <item x="24"/>
        <item x="7"/>
        <item x="69"/>
        <item t="default"/>
      </items>
    </pivotField>
    <pivotField showAll="0"/>
    <pivotField numFmtId="44" showAll="0"/>
    <pivotField numFmtId="44" showAll="0"/>
    <pivotField numFmtId="6" showAll="0"/>
    <pivotField numFmtId="44" showAll="0"/>
    <pivotField showAll="0"/>
    <pivotField showAll="0"/>
    <pivotField showAll="0"/>
    <pivotField showAll="0"/>
    <pivotField showAll="0"/>
    <pivotField showAll="0"/>
    <pivotField numFmtId="44" showAll="0"/>
    <pivotField numFmtId="44" showAll="0"/>
    <pivotField numFmtId="44" showAll="0"/>
    <pivotField numFmtId="44" showAll="0"/>
    <pivotField showAll="0"/>
    <pivotField showAll="0">
      <items count="7">
        <item h="1" x="2"/>
        <item x="0"/>
        <item h="1" x="1"/>
        <item h="1" x="3"/>
        <item h="1" x="5"/>
        <item h="1" x="4"/>
        <item t="default"/>
      </items>
    </pivotField>
  </pivotFields>
  <rowItems count="1">
    <i/>
  </rowItems>
  <colItems count="1">
    <i/>
  </colItems>
  <dataFields count="1">
    <dataField name="Total Claims" fld="0" subtotal="count" baseField="0" baseItem="0"/>
  </dataFields>
  <formats count="1">
    <format dxfId="1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D4D422F-09C5-7244-8027-3CAFCA80AFF9}" name="PivotTable7" cacheId="1"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chartFormat="10">
  <location ref="A15:B20" firstHeaderRow="1" firstDataRow="1" firstDataCol="1"/>
  <pivotFields count="21">
    <pivotField showAll="0">
      <items count="1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umFmtId="14" showAll="0">
      <items count="99">
        <item x="43"/>
        <item x="25"/>
        <item x="9"/>
        <item x="73"/>
        <item x="15"/>
        <item x="52"/>
        <item x="81"/>
        <item x="2"/>
        <item x="58"/>
        <item x="34"/>
        <item x="94"/>
        <item x="29"/>
        <item x="85"/>
        <item x="63"/>
        <item x="47"/>
        <item x="5"/>
        <item x="68"/>
        <item x="17"/>
        <item x="59"/>
        <item x="0"/>
        <item x="23"/>
        <item x="80"/>
        <item x="39"/>
        <item x="90"/>
        <item x="14"/>
        <item x="53"/>
        <item x="33"/>
        <item x="46"/>
        <item x="67"/>
        <item x="36"/>
        <item x="76"/>
        <item x="93"/>
        <item x="50"/>
        <item x="19"/>
        <item x="27"/>
        <item x="62"/>
        <item x="1"/>
        <item x="79"/>
        <item x="22"/>
        <item x="84"/>
        <item x="42"/>
        <item x="72"/>
        <item x="31"/>
        <item x="56"/>
        <item x="8"/>
        <item x="11"/>
        <item x="88"/>
        <item x="3"/>
        <item x="61"/>
        <item x="49"/>
        <item x="10"/>
        <item x="92"/>
        <item x="16"/>
        <item x="83"/>
        <item x="55"/>
        <item x="32"/>
        <item x="66"/>
        <item x="75"/>
        <item x="6"/>
        <item x="87"/>
        <item x="35"/>
        <item x="45"/>
        <item x="70"/>
        <item x="26"/>
        <item x="40"/>
        <item x="78"/>
        <item x="21"/>
        <item x="38"/>
        <item x="7"/>
        <item x="71"/>
        <item x="95"/>
        <item x="89"/>
        <item x="44"/>
        <item x="65"/>
        <item x="18"/>
        <item x="54"/>
        <item x="12"/>
        <item x="24"/>
        <item x="60"/>
        <item x="30"/>
        <item x="86"/>
        <item x="48"/>
        <item x="97"/>
        <item x="13"/>
        <item x="82"/>
        <item x="64"/>
        <item x="41"/>
        <item x="77"/>
        <item x="57"/>
        <item x="37"/>
        <item x="69"/>
        <item x="74"/>
        <item x="20"/>
        <item x="4"/>
        <item x="91"/>
        <item x="28"/>
        <item x="51"/>
        <item x="96"/>
        <item t="default"/>
      </items>
    </pivotField>
    <pivotField axis="axisRow" showAll="0">
      <items count="6">
        <item x="1"/>
        <item x="0"/>
        <item x="2"/>
        <item x="3"/>
        <item x="4"/>
        <item t="default"/>
      </items>
    </pivotField>
    <pivotField dataField="1" numFmtId="44" showAll="0">
      <items count="71">
        <item x="20"/>
        <item x="4"/>
        <item x="13"/>
        <item x="27"/>
        <item x="12"/>
        <item x="29"/>
        <item x="23"/>
        <item x="11"/>
        <item x="18"/>
        <item x="3"/>
        <item x="32"/>
        <item x="22"/>
        <item x="47"/>
        <item x="5"/>
        <item x="43"/>
        <item x="37"/>
        <item x="35"/>
        <item x="48"/>
        <item x="1"/>
        <item x="10"/>
        <item x="16"/>
        <item x="26"/>
        <item x="41"/>
        <item x="51"/>
        <item x="30"/>
        <item x="34"/>
        <item x="17"/>
        <item x="19"/>
        <item x="57"/>
        <item x="67"/>
        <item x="62"/>
        <item x="44"/>
        <item x="52"/>
        <item x="38"/>
        <item x="33"/>
        <item x="25"/>
        <item x="40"/>
        <item x="42"/>
        <item x="66"/>
        <item x="65"/>
        <item x="63"/>
        <item x="49"/>
        <item x="15"/>
        <item x="58"/>
        <item x="53"/>
        <item x="56"/>
        <item x="9"/>
        <item x="21"/>
        <item x="36"/>
        <item x="2"/>
        <item x="45"/>
        <item x="64"/>
        <item x="54"/>
        <item x="31"/>
        <item x="14"/>
        <item x="28"/>
        <item x="0"/>
        <item x="68"/>
        <item x="8"/>
        <item x="6"/>
        <item x="46"/>
        <item x="50"/>
        <item x="55"/>
        <item x="61"/>
        <item x="39"/>
        <item x="59"/>
        <item x="60"/>
        <item x="24"/>
        <item x="7"/>
        <item x="69"/>
        <item t="default"/>
      </items>
    </pivotField>
    <pivotField showAll="0"/>
    <pivotField numFmtId="44" showAll="0"/>
    <pivotField numFmtId="44" showAll="0"/>
    <pivotField numFmtId="6" showAll="0"/>
    <pivotField numFmtId="44" showAll="0"/>
    <pivotField showAll="0">
      <items count="5">
        <item x="2"/>
        <item x="0"/>
        <item x="3"/>
        <item x="1"/>
        <item t="default"/>
      </items>
    </pivotField>
    <pivotField showAll="0">
      <items count="6">
        <item x="1"/>
        <item x="0"/>
        <item x="2"/>
        <item x="4"/>
        <item x="3"/>
        <item t="default"/>
      </items>
    </pivotField>
    <pivotField showAll="0"/>
    <pivotField showAll="0"/>
    <pivotField showAll="0"/>
    <pivotField showAll="0"/>
    <pivotField numFmtId="44" showAll="0"/>
    <pivotField numFmtId="44" showAll="0"/>
    <pivotField numFmtId="44" showAll="0"/>
    <pivotField numFmtId="44" showAll="0"/>
    <pivotField showAll="0"/>
    <pivotField showAll="0">
      <items count="7">
        <item h="1" x="2"/>
        <item x="0"/>
        <item h="1" x="1"/>
        <item h="1" x="3"/>
        <item h="1" x="5"/>
        <item h="1" x="4"/>
        <item t="default"/>
      </items>
    </pivotField>
  </pivotFields>
  <rowFields count="1">
    <field x="2"/>
  </rowFields>
  <rowItems count="5">
    <i>
      <x/>
    </i>
    <i>
      <x v="1"/>
    </i>
    <i>
      <x v="2"/>
    </i>
    <i>
      <x v="3"/>
    </i>
    <i>
      <x v="4"/>
    </i>
  </rowItems>
  <colItems count="1">
    <i/>
  </colItems>
  <dataFields count="1">
    <dataField name="Average of Claim Incurred ($)" fld="3" subtotal="average" baseField="0" baseItem="0" numFmtId="172"/>
  </dataFields>
  <formats count="1">
    <format dxfId="14">
      <pivotArea outline="0" collapsedLevelsAreSubtotals="1" fieldPosition="0"/>
    </format>
  </formats>
  <chartFormats count="6">
    <chartFormat chart="3" format="3"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dateBetween" evalOrder="-1" id="6" name="Date of Claim">
      <autoFilter ref="A1">
        <filterColumn colId="0">
          <customFilters and="1">
            <customFilter operator="greaterThanOrEqual" val="45200"/>
            <customFilter operator="lessThanOrEqual" val="45230"/>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657F2EF1-71F4-3F47-9730-154221B82EA6}" name="PivotTable1"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
  <location ref="L5:L6" firstHeaderRow="1" firstDataRow="1" firstDataCol="0"/>
  <pivotFields count="21">
    <pivotField showAll="0">
      <items count="1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umFmtId="14" showAll="0"/>
    <pivotField showAll="0">
      <items count="6">
        <item x="1"/>
        <item x="0"/>
        <item x="2"/>
        <item x="3"/>
        <item x="4"/>
        <item t="default"/>
      </items>
    </pivotField>
    <pivotField dataField="1" numFmtId="44" showAll="0">
      <items count="71">
        <item x="20"/>
        <item x="4"/>
        <item x="13"/>
        <item x="27"/>
        <item x="12"/>
        <item x="29"/>
        <item x="23"/>
        <item x="11"/>
        <item x="18"/>
        <item x="3"/>
        <item x="32"/>
        <item x="22"/>
        <item x="47"/>
        <item x="5"/>
        <item x="43"/>
        <item x="37"/>
        <item x="35"/>
        <item x="48"/>
        <item x="1"/>
        <item x="10"/>
        <item x="16"/>
        <item x="26"/>
        <item x="41"/>
        <item x="51"/>
        <item x="30"/>
        <item x="34"/>
        <item x="17"/>
        <item x="19"/>
        <item x="57"/>
        <item x="67"/>
        <item x="62"/>
        <item x="44"/>
        <item x="52"/>
        <item x="38"/>
        <item x="33"/>
        <item x="25"/>
        <item x="40"/>
        <item x="42"/>
        <item x="66"/>
        <item x="65"/>
        <item x="63"/>
        <item x="49"/>
        <item x="15"/>
        <item x="58"/>
        <item x="53"/>
        <item x="56"/>
        <item x="9"/>
        <item x="21"/>
        <item x="36"/>
        <item x="2"/>
        <item x="45"/>
        <item x="64"/>
        <item x="54"/>
        <item x="31"/>
        <item x="14"/>
        <item x="28"/>
        <item x="0"/>
        <item x="68"/>
        <item x="8"/>
        <item x="6"/>
        <item x="46"/>
        <item x="50"/>
        <item x="55"/>
        <item x="61"/>
        <item x="39"/>
        <item x="59"/>
        <item x="60"/>
        <item x="24"/>
        <item x="7"/>
        <item x="69"/>
        <item t="default"/>
      </items>
    </pivotField>
    <pivotField showAll="0"/>
    <pivotField numFmtId="44" showAll="0"/>
    <pivotField numFmtId="44" showAll="0"/>
    <pivotField numFmtId="6" showAll="0"/>
    <pivotField numFmtId="44" showAll="0"/>
    <pivotField showAll="0"/>
    <pivotField showAll="0"/>
    <pivotField showAll="0"/>
    <pivotField showAll="0"/>
    <pivotField showAll="0"/>
    <pivotField showAll="0"/>
    <pivotField numFmtId="44" showAll="0"/>
    <pivotField numFmtId="44" showAll="0"/>
    <pivotField numFmtId="44" showAll="0"/>
    <pivotField numFmtId="44" showAll="0"/>
    <pivotField showAll="0"/>
    <pivotField showAll="0">
      <items count="7">
        <item h="1" x="2"/>
        <item x="0"/>
        <item h="1" x="1"/>
        <item h="1" x="3"/>
        <item h="1" x="5"/>
        <item h="1" x="4"/>
        <item t="default"/>
      </items>
    </pivotField>
  </pivotFields>
  <rowItems count="1">
    <i/>
  </rowItems>
  <colItems count="1">
    <i/>
  </colItems>
  <dataFields count="1">
    <dataField name="Total Loss ($)" fld="3" baseField="0" baseItem="0" numFmtId="172"/>
  </dataFields>
  <formats count="1">
    <format dxfId="1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E89D60D4-75E8-F442-AAEF-0652D45CB51F}" name="PivotTable14" cacheId="1"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chartFormat="11">
  <location ref="A2:B8" firstHeaderRow="1" firstDataRow="1" firstDataCol="1"/>
  <pivotFields count="21">
    <pivotField showAll="0">
      <items count="1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umFmtId="14" showAll="0">
      <items count="99">
        <item x="43"/>
        <item x="25"/>
        <item x="9"/>
        <item x="73"/>
        <item x="15"/>
        <item x="52"/>
        <item x="81"/>
        <item x="2"/>
        <item x="58"/>
        <item x="34"/>
        <item x="94"/>
        <item x="29"/>
        <item x="85"/>
        <item x="63"/>
        <item x="47"/>
        <item x="5"/>
        <item x="68"/>
        <item x="17"/>
        <item x="59"/>
        <item x="0"/>
        <item x="23"/>
        <item x="80"/>
        <item x="39"/>
        <item x="90"/>
        <item x="14"/>
        <item x="53"/>
        <item x="33"/>
        <item x="46"/>
        <item x="67"/>
        <item x="36"/>
        <item x="76"/>
        <item x="93"/>
        <item x="50"/>
        <item x="19"/>
        <item x="27"/>
        <item x="62"/>
        <item x="1"/>
        <item x="79"/>
        <item x="22"/>
        <item x="84"/>
        <item x="42"/>
        <item x="72"/>
        <item x="31"/>
        <item x="56"/>
        <item x="8"/>
        <item x="11"/>
        <item x="88"/>
        <item x="3"/>
        <item x="61"/>
        <item x="49"/>
        <item x="10"/>
        <item x="92"/>
        <item x="16"/>
        <item x="83"/>
        <item x="55"/>
        <item x="32"/>
        <item x="66"/>
        <item x="75"/>
        <item x="6"/>
        <item x="87"/>
        <item x="35"/>
        <item x="45"/>
        <item x="70"/>
        <item x="26"/>
        <item x="40"/>
        <item x="78"/>
        <item x="21"/>
        <item x="38"/>
        <item x="7"/>
        <item x="71"/>
        <item x="95"/>
        <item x="89"/>
        <item x="44"/>
        <item x="65"/>
        <item x="18"/>
        <item x="54"/>
        <item x="12"/>
        <item x="24"/>
        <item x="60"/>
        <item x="30"/>
        <item x="86"/>
        <item x="48"/>
        <item x="97"/>
        <item x="13"/>
        <item x="82"/>
        <item x="64"/>
        <item x="41"/>
        <item x="77"/>
        <item x="57"/>
        <item x="37"/>
        <item x="69"/>
        <item x="74"/>
        <item x="20"/>
        <item x="4"/>
        <item x="91"/>
        <item x="28"/>
        <item x="51"/>
        <item x="96"/>
        <item t="default"/>
      </items>
    </pivotField>
    <pivotField showAll="0">
      <items count="6">
        <item x="1"/>
        <item x="0"/>
        <item x="2"/>
        <item x="3"/>
        <item x="4"/>
        <item t="default"/>
      </items>
    </pivotField>
    <pivotField dataField="1" numFmtId="44" showAll="0">
      <items count="71">
        <item x="20"/>
        <item x="4"/>
        <item x="13"/>
        <item x="27"/>
        <item x="12"/>
        <item x="29"/>
        <item x="23"/>
        <item x="11"/>
        <item x="18"/>
        <item x="3"/>
        <item x="32"/>
        <item x="22"/>
        <item x="47"/>
        <item x="5"/>
        <item x="43"/>
        <item x="37"/>
        <item x="35"/>
        <item x="48"/>
        <item x="1"/>
        <item x="10"/>
        <item x="16"/>
        <item x="26"/>
        <item x="41"/>
        <item x="51"/>
        <item x="30"/>
        <item x="34"/>
        <item x="17"/>
        <item x="19"/>
        <item x="57"/>
        <item x="67"/>
        <item x="62"/>
        <item x="44"/>
        <item x="52"/>
        <item x="38"/>
        <item x="33"/>
        <item x="25"/>
        <item x="40"/>
        <item x="42"/>
        <item x="66"/>
        <item x="65"/>
        <item x="63"/>
        <item x="49"/>
        <item x="15"/>
        <item x="58"/>
        <item x="53"/>
        <item x="56"/>
        <item x="9"/>
        <item x="21"/>
        <item x="36"/>
        <item x="2"/>
        <item x="45"/>
        <item x="64"/>
        <item x="54"/>
        <item x="31"/>
        <item x="14"/>
        <item x="28"/>
        <item x="0"/>
        <item x="68"/>
        <item x="8"/>
        <item x="6"/>
        <item x="46"/>
        <item x="50"/>
        <item x="55"/>
        <item x="61"/>
        <item x="39"/>
        <item x="59"/>
        <item x="60"/>
        <item x="24"/>
        <item x="7"/>
        <item x="69"/>
        <item t="default"/>
      </items>
    </pivotField>
    <pivotField showAll="0"/>
    <pivotField numFmtId="44" showAll="0"/>
    <pivotField numFmtId="44" showAll="0"/>
    <pivotField numFmtId="6" showAll="0"/>
    <pivotField numFmtId="44" showAll="0"/>
    <pivotField showAll="0">
      <items count="5">
        <item x="2"/>
        <item x="0"/>
        <item x="3"/>
        <item x="1"/>
        <item t="default"/>
      </items>
    </pivotField>
    <pivotField showAll="0">
      <items count="6">
        <item x="1"/>
        <item x="0"/>
        <item x="2"/>
        <item x="4"/>
        <item x="3"/>
        <item t="default"/>
      </items>
    </pivotField>
    <pivotField showAll="0"/>
    <pivotField showAll="0"/>
    <pivotField showAll="0"/>
    <pivotField showAll="0"/>
    <pivotField numFmtId="44" showAll="0"/>
    <pivotField numFmtId="44" showAll="0"/>
    <pivotField numFmtId="44" showAll="0"/>
    <pivotField numFmtId="44" showAll="0"/>
    <pivotField showAll="0"/>
    <pivotField axis="axisRow" showAll="0">
      <items count="7">
        <item x="2"/>
        <item x="0"/>
        <item x="1"/>
        <item x="3"/>
        <item x="5"/>
        <item x="4"/>
        <item t="default"/>
      </items>
    </pivotField>
  </pivotFields>
  <rowFields count="1">
    <field x="20"/>
  </rowFields>
  <rowItems count="6">
    <i>
      <x/>
    </i>
    <i>
      <x v="1"/>
    </i>
    <i>
      <x v="2"/>
    </i>
    <i>
      <x v="3"/>
    </i>
    <i>
      <x v="4"/>
    </i>
    <i>
      <x v="5"/>
    </i>
  </rowItems>
  <colItems count="1">
    <i/>
  </colItems>
  <dataFields count="1">
    <dataField name="Sum of Claim Incurred ($)" fld="3" baseField="0" baseItem="0" numFmtId="172"/>
  </dataFields>
  <formats count="1">
    <format dxfId="16">
      <pivotArea outline="0" collapsedLevelsAreSubtotals="1" fieldPosition="0"/>
    </format>
  </formats>
  <chartFormats count="6">
    <chartFormat chart="3" format="3"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dateBetween" evalOrder="-1" id="6" name="Date of Claim">
      <autoFilter ref="A1">
        <filterColumn colId="0">
          <customFilters and="1">
            <customFilter operator="greaterThanOrEqual" val="45200"/>
            <customFilter operator="lessThanOrEqual" val="45230"/>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8EE438-C356-6846-930B-191410964EF2}" name="PivotTable2"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
  <location ref="L8:L9" firstHeaderRow="1" firstDataRow="1" firstDataCol="0"/>
  <pivotFields count="21">
    <pivotField showAll="0">
      <items count="1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umFmtId="14" showAll="0"/>
    <pivotField showAll="0">
      <items count="6">
        <item x="1"/>
        <item x="0"/>
        <item x="2"/>
        <item x="3"/>
        <item x="4"/>
        <item t="default"/>
      </items>
    </pivotField>
    <pivotField dataField="1" numFmtId="44" showAll="0">
      <items count="71">
        <item x="20"/>
        <item x="4"/>
        <item x="13"/>
        <item x="27"/>
        <item x="12"/>
        <item x="29"/>
        <item x="23"/>
        <item x="11"/>
        <item x="18"/>
        <item x="3"/>
        <item x="32"/>
        <item x="22"/>
        <item x="47"/>
        <item x="5"/>
        <item x="43"/>
        <item x="37"/>
        <item x="35"/>
        <item x="48"/>
        <item x="1"/>
        <item x="10"/>
        <item x="16"/>
        <item x="26"/>
        <item x="41"/>
        <item x="51"/>
        <item x="30"/>
        <item x="34"/>
        <item x="17"/>
        <item x="19"/>
        <item x="57"/>
        <item x="67"/>
        <item x="62"/>
        <item x="44"/>
        <item x="52"/>
        <item x="38"/>
        <item x="33"/>
        <item x="25"/>
        <item x="40"/>
        <item x="42"/>
        <item x="66"/>
        <item x="65"/>
        <item x="63"/>
        <item x="49"/>
        <item x="15"/>
        <item x="58"/>
        <item x="53"/>
        <item x="56"/>
        <item x="9"/>
        <item x="21"/>
        <item x="36"/>
        <item x="2"/>
        <item x="45"/>
        <item x="64"/>
        <item x="54"/>
        <item x="31"/>
        <item x="14"/>
        <item x="28"/>
        <item x="0"/>
        <item x="68"/>
        <item x="8"/>
        <item x="6"/>
        <item x="46"/>
        <item x="50"/>
        <item x="55"/>
        <item x="61"/>
        <item x="39"/>
        <item x="59"/>
        <item x="60"/>
        <item x="24"/>
        <item x="7"/>
        <item x="69"/>
        <item t="default"/>
      </items>
    </pivotField>
    <pivotField showAll="0"/>
    <pivotField numFmtId="44" showAll="0"/>
    <pivotField numFmtId="44" showAll="0"/>
    <pivotField numFmtId="6" showAll="0"/>
    <pivotField numFmtId="44" showAll="0"/>
    <pivotField showAll="0"/>
    <pivotField showAll="0"/>
    <pivotField showAll="0"/>
    <pivotField showAll="0"/>
    <pivotField showAll="0"/>
    <pivotField showAll="0"/>
    <pivotField numFmtId="44" showAll="0"/>
    <pivotField numFmtId="44" showAll="0"/>
    <pivotField numFmtId="44" showAll="0"/>
    <pivotField numFmtId="44" showAll="0"/>
    <pivotField showAll="0"/>
    <pivotField showAll="0">
      <items count="7">
        <item h="1" x="2"/>
        <item x="0"/>
        <item h="1" x="1"/>
        <item h="1" x="3"/>
        <item h="1" x="5"/>
        <item h="1" x="4"/>
        <item t="default"/>
      </items>
    </pivotField>
  </pivotFields>
  <rowItems count="1">
    <i/>
  </rowItems>
  <colItems count="1">
    <i/>
  </colItems>
  <dataFields count="1">
    <dataField name="Average of Claim Incurred ($)" fld="3" subtotal="average" baseField="0" baseItem="0" numFmtId="172"/>
  </dataFields>
  <formats count="1">
    <format dxfId="1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712E121-983B-CA4A-BD0A-838342E5E2B8}" name="PivotTable6"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
  <location ref="O1:P2" firstHeaderRow="1" firstDataRow="1" firstDataCol="1"/>
  <pivotFields count="21">
    <pivotField dataField="1" showAll="0">
      <items count="1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umFmtId="14" showAll="0"/>
    <pivotField showAll="0">
      <items count="6">
        <item x="1"/>
        <item x="0"/>
        <item x="2"/>
        <item x="3"/>
        <item x="4"/>
        <item t="default"/>
      </items>
    </pivotField>
    <pivotField numFmtId="44" showAll="0">
      <items count="71">
        <item x="20"/>
        <item x="4"/>
        <item x="13"/>
        <item x="27"/>
        <item x="12"/>
        <item x="29"/>
        <item x="23"/>
        <item x="11"/>
        <item x="18"/>
        <item x="3"/>
        <item x="32"/>
        <item x="22"/>
        <item x="47"/>
        <item x="5"/>
        <item x="43"/>
        <item x="37"/>
        <item x="35"/>
        <item x="48"/>
        <item x="1"/>
        <item x="10"/>
        <item x="16"/>
        <item x="26"/>
        <item x="41"/>
        <item x="51"/>
        <item x="30"/>
        <item x="34"/>
        <item x="17"/>
        <item x="19"/>
        <item x="57"/>
        <item x="67"/>
        <item x="62"/>
        <item x="44"/>
        <item x="52"/>
        <item x="38"/>
        <item x="33"/>
        <item x="25"/>
        <item x="40"/>
        <item x="42"/>
        <item x="66"/>
        <item x="65"/>
        <item x="63"/>
        <item x="49"/>
        <item x="15"/>
        <item x="58"/>
        <item x="53"/>
        <item x="56"/>
        <item x="9"/>
        <item x="21"/>
        <item x="36"/>
        <item x="2"/>
        <item x="45"/>
        <item x="64"/>
        <item x="54"/>
        <item x="31"/>
        <item x="14"/>
        <item x="28"/>
        <item x="0"/>
        <item x="68"/>
        <item x="8"/>
        <item x="6"/>
        <item x="46"/>
        <item x="50"/>
        <item x="55"/>
        <item x="61"/>
        <item x="39"/>
        <item x="59"/>
        <item x="60"/>
        <item x="24"/>
        <item x="7"/>
        <item x="69"/>
        <item t="default"/>
      </items>
    </pivotField>
    <pivotField showAll="0"/>
    <pivotField numFmtId="44" showAll="0"/>
    <pivotField numFmtId="44" showAll="0"/>
    <pivotField numFmtId="6" showAll="0"/>
    <pivotField numFmtId="44" showAll="0"/>
    <pivotField showAll="0"/>
    <pivotField showAll="0"/>
    <pivotField showAll="0"/>
    <pivotField showAll="0"/>
    <pivotField showAll="0"/>
    <pivotField showAll="0"/>
    <pivotField numFmtId="44" showAll="0"/>
    <pivotField numFmtId="44" showAll="0"/>
    <pivotField numFmtId="44" showAll="0"/>
    <pivotField numFmtId="44" showAll="0"/>
    <pivotField showAll="0"/>
    <pivotField axis="axisRow" showAll="0">
      <items count="7">
        <item h="1" x="2"/>
        <item x="0"/>
        <item h="1" x="1"/>
        <item h="1" x="3"/>
        <item h="1" x="5"/>
        <item h="1" x="4"/>
        <item t="default"/>
      </items>
    </pivotField>
  </pivotFields>
  <rowFields count="1">
    <field x="20"/>
  </rowFields>
  <rowItems count="1">
    <i>
      <x v="1"/>
    </i>
  </rowItems>
  <colItems count="1">
    <i/>
  </colItems>
  <dataFields count="1">
    <dataField name="Count of Claim ID" fld="0" subtotal="count" baseField="0" baseItem="0"/>
  </dataFields>
  <formats count="1">
    <format dxfId="1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7D1B704-7B36-0941-88C9-3826DCBFC37B}" name="PivotTable3"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
  <location ref="L11:M16" firstHeaderRow="1" firstDataRow="1" firstDataCol="1"/>
  <pivotFields count="21">
    <pivotField dataField="1" showAll="0">
      <items count="1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umFmtId="14" showAll="0"/>
    <pivotField axis="axisRow" showAll="0">
      <items count="6">
        <item x="1"/>
        <item x="0"/>
        <item x="2"/>
        <item x="3"/>
        <item x="4"/>
        <item t="default"/>
      </items>
    </pivotField>
    <pivotField numFmtId="44" showAll="0">
      <items count="71">
        <item x="20"/>
        <item x="4"/>
        <item x="13"/>
        <item x="27"/>
        <item x="12"/>
        <item x="29"/>
        <item x="23"/>
        <item x="11"/>
        <item x="18"/>
        <item x="3"/>
        <item x="32"/>
        <item x="22"/>
        <item x="47"/>
        <item x="5"/>
        <item x="43"/>
        <item x="37"/>
        <item x="35"/>
        <item x="48"/>
        <item x="1"/>
        <item x="10"/>
        <item x="16"/>
        <item x="26"/>
        <item x="41"/>
        <item x="51"/>
        <item x="30"/>
        <item x="34"/>
        <item x="17"/>
        <item x="19"/>
        <item x="57"/>
        <item x="67"/>
        <item x="62"/>
        <item x="44"/>
        <item x="52"/>
        <item x="38"/>
        <item x="33"/>
        <item x="25"/>
        <item x="40"/>
        <item x="42"/>
        <item x="66"/>
        <item x="65"/>
        <item x="63"/>
        <item x="49"/>
        <item x="15"/>
        <item x="58"/>
        <item x="53"/>
        <item x="56"/>
        <item x="9"/>
        <item x="21"/>
        <item x="36"/>
        <item x="2"/>
        <item x="45"/>
        <item x="64"/>
        <item x="54"/>
        <item x="31"/>
        <item x="14"/>
        <item x="28"/>
        <item x="0"/>
        <item x="68"/>
        <item x="8"/>
        <item x="6"/>
        <item x="46"/>
        <item x="50"/>
        <item x="55"/>
        <item x="61"/>
        <item x="39"/>
        <item x="59"/>
        <item x="60"/>
        <item x="24"/>
        <item x="7"/>
        <item x="69"/>
        <item t="default"/>
      </items>
    </pivotField>
    <pivotField showAll="0"/>
    <pivotField numFmtId="44" showAll="0"/>
    <pivotField numFmtId="44" showAll="0"/>
    <pivotField numFmtId="6" showAll="0"/>
    <pivotField numFmtId="44" showAll="0"/>
    <pivotField showAll="0"/>
    <pivotField showAll="0"/>
    <pivotField showAll="0"/>
    <pivotField showAll="0"/>
    <pivotField showAll="0"/>
    <pivotField showAll="0"/>
    <pivotField numFmtId="44" showAll="0"/>
    <pivotField numFmtId="44" showAll="0"/>
    <pivotField numFmtId="44" showAll="0"/>
    <pivotField numFmtId="44" showAll="0"/>
    <pivotField showAll="0"/>
    <pivotField showAll="0">
      <items count="7">
        <item h="1" x="2"/>
        <item x="0"/>
        <item h="1" x="1"/>
        <item h="1" x="3"/>
        <item h="1" x="5"/>
        <item h="1" x="4"/>
        <item t="default"/>
      </items>
    </pivotField>
  </pivotFields>
  <rowFields count="1">
    <field x="2"/>
  </rowFields>
  <rowItems count="5">
    <i>
      <x/>
    </i>
    <i>
      <x v="1"/>
    </i>
    <i>
      <x v="2"/>
    </i>
    <i>
      <x v="3"/>
    </i>
    <i>
      <x v="4"/>
    </i>
  </rowItems>
  <colItems count="1">
    <i/>
  </colItems>
  <dataFields count="1">
    <dataField name="Count of Claim ID" fld="0" subtotal="count" baseField="0" baseItem="0"/>
  </dataFields>
  <formats count="1">
    <format dxfId="1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C9A6CC3B-B6CA-384F-AAC1-1697F3C56B1A}" sourceName="Year">
  <pivotTables>
    <pivotTable tabId="14" name="PivotTable1"/>
    <pivotTable tabId="14" name="PivotTable10"/>
    <pivotTable tabId="14" name="PivotTable11"/>
    <pivotTable tabId="14" name="PivotTable2"/>
    <pivotTable tabId="14" name="PivotTable3"/>
    <pivotTable tabId="14" name="PivotTable31"/>
    <pivotTable tabId="14" name="PivotTable5"/>
    <pivotTable tabId="14" name="PivotTable6"/>
    <pivotTable tabId="14" name="PivotTable7"/>
  </pivotTables>
  <data>
    <tabular pivotCacheId="574133625">
      <items count="6">
        <i x="2"/>
        <i x="0" s="1"/>
        <i x="1"/>
        <i x="3"/>
        <i x="5"/>
        <i x="4"/>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02F20463-03FE-254A-A94B-88DF596D9D86}" cache="Slicer_Year" caption="Year" showCaption="0" style="SlicerStyleLight1 2" rowHeight="4572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CCA9ED74-4B8E-44B9-AA23-194D200D773E}" cache="Slicer_Year" caption="Year" showCaption="0" style="SlicerStyleLight1 2" rowHeight="82296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rinterSettings" Target="../printerSettings/printerSettings2.bin"/><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11.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19.xml"/><Relationship Id="rId13" Type="http://schemas.microsoft.com/office/2007/relationships/slicer" Target="../slicers/slicer1.xml"/><Relationship Id="rId3" Type="http://schemas.openxmlformats.org/officeDocument/2006/relationships/pivotTable" Target="../pivotTables/pivotTable14.xml"/><Relationship Id="rId7" Type="http://schemas.openxmlformats.org/officeDocument/2006/relationships/pivotTable" Target="../pivotTables/pivotTable18.xml"/><Relationship Id="rId12" Type="http://schemas.openxmlformats.org/officeDocument/2006/relationships/drawing" Target="../drawings/drawing2.xml"/><Relationship Id="rId2" Type="http://schemas.openxmlformats.org/officeDocument/2006/relationships/pivotTable" Target="../pivotTables/pivotTable13.xml"/><Relationship Id="rId1" Type="http://schemas.openxmlformats.org/officeDocument/2006/relationships/pivotTable" Target="../pivotTables/pivotTable12.xml"/><Relationship Id="rId6" Type="http://schemas.openxmlformats.org/officeDocument/2006/relationships/pivotTable" Target="../pivotTables/pivotTable17.xml"/><Relationship Id="rId11" Type="http://schemas.openxmlformats.org/officeDocument/2006/relationships/pivotTable" Target="../pivotTables/pivotTable22.xml"/><Relationship Id="rId5" Type="http://schemas.openxmlformats.org/officeDocument/2006/relationships/pivotTable" Target="../pivotTables/pivotTable16.xml"/><Relationship Id="rId10" Type="http://schemas.openxmlformats.org/officeDocument/2006/relationships/pivotTable" Target="../pivotTables/pivotTable21.xml"/><Relationship Id="rId4" Type="http://schemas.openxmlformats.org/officeDocument/2006/relationships/pivotTable" Target="../pivotTables/pivotTable15.xml"/><Relationship Id="rId9" Type="http://schemas.openxmlformats.org/officeDocument/2006/relationships/pivotTable" Target="../pivotTables/pivotTable20.xml"/></Relationships>
</file>

<file path=xl/worksheets/_rels/sheet5.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4DF57-728B-AA4E-9CFF-ED2615DD969F}">
  <dimension ref="A1:S101"/>
  <sheetViews>
    <sheetView topLeftCell="C1" zoomScale="80" zoomScaleNormal="80" workbookViewId="0">
      <pane ySplit="1" topLeftCell="A2" activePane="bottomLeft" state="frozen"/>
      <selection pane="bottomLeft" activeCell="F33" sqref="F33"/>
    </sheetView>
  </sheetViews>
  <sheetFormatPr defaultColWidth="10.69921875" defaultRowHeight="15.6" x14ac:dyDescent="0.3"/>
  <cols>
    <col min="1" max="1" width="10.5" bestFit="1" customWidth="1"/>
    <col min="2" max="2" width="12.5" bestFit="1" customWidth="1"/>
    <col min="3" max="3" width="21.5" bestFit="1" customWidth="1"/>
    <col min="4" max="4" width="21.5" style="3" customWidth="1"/>
    <col min="5" max="5" width="11.796875" bestFit="1" customWidth="1"/>
    <col min="6" max="6" width="20" style="69" customWidth="1"/>
    <col min="7" max="7" width="16" style="76" bestFit="1" customWidth="1"/>
    <col min="8" max="8" width="12.796875" style="3" customWidth="1"/>
    <col min="9" max="9" width="15" bestFit="1" customWidth="1"/>
    <col min="10" max="10" width="16.69921875" bestFit="1" customWidth="1"/>
    <col min="11" max="11" width="12" bestFit="1" customWidth="1"/>
    <col min="12" max="12" width="12" customWidth="1"/>
    <col min="13" max="13" width="18" bestFit="1" customWidth="1"/>
    <col min="14" max="14" width="12.69921875" bestFit="1" customWidth="1"/>
    <col min="15" max="15" width="23" style="69" bestFit="1" customWidth="1"/>
    <col min="16" max="16" width="23" style="69" customWidth="1"/>
    <col min="17" max="17" width="32.5" style="70" bestFit="1" customWidth="1"/>
  </cols>
  <sheetData>
    <row r="1" spans="1:19" s="2" customFormat="1" ht="13.5" customHeight="1" x14ac:dyDescent="0.3">
      <c r="A1" s="2" t="s">
        <v>81</v>
      </c>
      <c r="B1" s="2" t="s">
        <v>0</v>
      </c>
      <c r="C1" s="2" t="s">
        <v>1</v>
      </c>
      <c r="D1" s="13" t="s">
        <v>173</v>
      </c>
      <c r="E1" s="2" t="s">
        <v>2</v>
      </c>
      <c r="F1" s="68" t="s">
        <v>182</v>
      </c>
      <c r="G1" s="75" t="s">
        <v>3</v>
      </c>
      <c r="H1" s="13" t="s">
        <v>4</v>
      </c>
      <c r="I1" s="2" t="s">
        <v>5</v>
      </c>
      <c r="J1" s="2" t="s">
        <v>6</v>
      </c>
      <c r="K1" s="2" t="s">
        <v>7</v>
      </c>
      <c r="L1" s="2" t="s">
        <v>172</v>
      </c>
      <c r="M1" s="2" t="s">
        <v>8</v>
      </c>
      <c r="N1" s="2" t="s">
        <v>147</v>
      </c>
      <c r="O1" s="68" t="s">
        <v>176</v>
      </c>
      <c r="P1" s="68" t="s">
        <v>177</v>
      </c>
      <c r="Q1" s="70" t="s">
        <v>227</v>
      </c>
      <c r="R1" s="2" t="s">
        <v>178</v>
      </c>
      <c r="S1" s="2" t="s">
        <v>183</v>
      </c>
    </row>
    <row r="2" spans="1:19" x14ac:dyDescent="0.3">
      <c r="A2" t="s">
        <v>9</v>
      </c>
      <c r="B2" s="1">
        <v>43664</v>
      </c>
      <c r="C2" t="s">
        <v>10</v>
      </c>
      <c r="D2" s="3">
        <v>737423.28</v>
      </c>
      <c r="E2" t="s">
        <v>11</v>
      </c>
      <c r="F2" s="69">
        <f>D2+H2</f>
        <v>749769.20000000007</v>
      </c>
      <c r="G2" s="74">
        <v>5000000</v>
      </c>
      <c r="H2" s="3">
        <v>12345.92</v>
      </c>
      <c r="I2" t="s">
        <v>12</v>
      </c>
      <c r="J2" t="s">
        <v>13</v>
      </c>
      <c r="K2" t="s">
        <v>14</v>
      </c>
      <c r="L2">
        <f t="shared" ref="L2:L33" ca="1" si="0">IF(C2="Cargo Liability",RANDBETWEEN(10000,80000),IF(C2="Collision Liability",RANDBETWEEN(20000,100000),IF(C2="Environmental Pollution",RANDBETWEEN(50000,120000),IF(C2="Damage to Other Vessels",RANDBETWEEN(15000,90000),IF(C2="Injury to Third Parties",RANDBETWEEN(5000,60000))))))</f>
        <v>21597</v>
      </c>
      <c r="M2">
        <v>4</v>
      </c>
      <c r="N2">
        <f t="shared" ref="N2:N33" si="1">IF(YEAR(B2)=2023, 1.03,
   IF(YEAR(B2)=2022, 1.0506,
   IF(YEAR(B2)=2021, 1.071612,
   IF(YEAR(B2)=2020, 1.10376036,
   IF(YEAR(B2)=2019, 1.1479107744,
   IF(YEAR(B2)=2018, 1.20530631312, 1))))))</f>
        <v>1.1479107743999999</v>
      </c>
      <c r="O2" s="69">
        <f>F2*N2</f>
        <v>860668.14299326844</v>
      </c>
      <c r="P2" s="69">
        <f>O2-H2</f>
        <v>848322.2229932684</v>
      </c>
      <c r="Q2" s="71">
        <f>MIN(P2,G2)</f>
        <v>848322.2229932684</v>
      </c>
      <c r="R2">
        <f>IF(Q2&lt;1000000,1,0)</f>
        <v>1</v>
      </c>
      <c r="S2">
        <f t="shared" ref="S2:S33" si="2">YEAR(B2)</f>
        <v>2019</v>
      </c>
    </row>
    <row r="3" spans="1:19" x14ac:dyDescent="0.3">
      <c r="A3" t="s">
        <v>15</v>
      </c>
      <c r="B3" s="1">
        <v>43978</v>
      </c>
      <c r="C3" t="s">
        <v>16</v>
      </c>
      <c r="D3" s="3">
        <v>315189.74</v>
      </c>
      <c r="E3" t="s">
        <v>11</v>
      </c>
      <c r="F3" s="69">
        <f t="shared" ref="F3:F33" si="3">D3+H3</f>
        <v>348906.5</v>
      </c>
      <c r="G3" s="74">
        <v>5000000</v>
      </c>
      <c r="H3" s="3">
        <v>33716.76</v>
      </c>
      <c r="I3" t="s">
        <v>17</v>
      </c>
      <c r="J3" t="s">
        <v>18</v>
      </c>
      <c r="K3" t="s">
        <v>19</v>
      </c>
      <c r="L3">
        <f t="shared" ca="1" si="0"/>
        <v>35528</v>
      </c>
      <c r="M3">
        <v>6</v>
      </c>
      <c r="N3">
        <f t="shared" si="1"/>
        <v>1.1037603600000001</v>
      </c>
      <c r="O3" s="69">
        <f>F3*N3</f>
        <v>385109.16404634004</v>
      </c>
      <c r="P3" s="69">
        <f t="shared" ref="P3:P66" si="4">O3-H3</f>
        <v>351392.40404634003</v>
      </c>
      <c r="Q3" s="71">
        <f t="shared" ref="Q3:Q33" si="5">MIN(P3,G3)</f>
        <v>351392.40404634003</v>
      </c>
      <c r="R3">
        <f>IF(Q3&lt;1000000,1,0)</f>
        <v>1</v>
      </c>
      <c r="S3">
        <f t="shared" si="2"/>
        <v>2020</v>
      </c>
    </row>
    <row r="4" spans="1:19" x14ac:dyDescent="0.3">
      <c r="A4" t="s">
        <v>20</v>
      </c>
      <c r="B4" s="1">
        <v>43427</v>
      </c>
      <c r="C4" t="s">
        <v>21</v>
      </c>
      <c r="D4" s="3">
        <v>678364.99</v>
      </c>
      <c r="E4" t="s">
        <v>11</v>
      </c>
      <c r="F4" s="69">
        <f t="shared" si="3"/>
        <v>712761.9</v>
      </c>
      <c r="G4" s="74">
        <v>5000000</v>
      </c>
      <c r="H4" s="3">
        <v>34396.910000000003</v>
      </c>
      <c r="I4" t="s">
        <v>22</v>
      </c>
      <c r="J4" t="s">
        <v>23</v>
      </c>
      <c r="K4" t="s">
        <v>24</v>
      </c>
      <c r="L4">
        <f t="shared" ca="1" si="0"/>
        <v>71298</v>
      </c>
      <c r="M4">
        <v>3</v>
      </c>
      <c r="N4">
        <f t="shared" si="1"/>
        <v>1.2053063131199999</v>
      </c>
      <c r="O4" s="69">
        <f t="shared" ref="O4:O66" si="6">F4*N4</f>
        <v>859096.41782140615</v>
      </c>
      <c r="P4" s="69">
        <f t="shared" si="4"/>
        <v>824699.50782140612</v>
      </c>
      <c r="Q4" s="71">
        <f t="shared" si="5"/>
        <v>824699.50782140612</v>
      </c>
      <c r="R4">
        <f t="shared" ref="R4:R66" si="7">IF(Q4&lt;1000000,1,0)</f>
        <v>1</v>
      </c>
      <c r="S4">
        <f t="shared" si="2"/>
        <v>2018</v>
      </c>
    </row>
    <row r="5" spans="1:19" x14ac:dyDescent="0.3">
      <c r="A5" t="s">
        <v>25</v>
      </c>
      <c r="B5" s="1">
        <v>44201</v>
      </c>
      <c r="C5" t="s">
        <v>26</v>
      </c>
      <c r="D5" s="3">
        <v>203840.58</v>
      </c>
      <c r="E5" t="s">
        <v>27</v>
      </c>
      <c r="F5" s="69">
        <f t="shared" si="3"/>
        <v>215544.46</v>
      </c>
      <c r="G5" s="74">
        <v>5000000</v>
      </c>
      <c r="H5" s="3">
        <v>11703.88</v>
      </c>
      <c r="I5" t="s">
        <v>28</v>
      </c>
      <c r="J5" t="s">
        <v>29</v>
      </c>
      <c r="K5" t="s">
        <v>30</v>
      </c>
      <c r="L5">
        <f t="shared" ca="1" si="0"/>
        <v>67333</v>
      </c>
      <c r="M5">
        <v>7</v>
      </c>
      <c r="N5">
        <f t="shared" si="1"/>
        <v>1.071612</v>
      </c>
      <c r="O5" s="69">
        <f t="shared" si="6"/>
        <v>230980.02986951999</v>
      </c>
      <c r="P5" s="69">
        <f t="shared" si="4"/>
        <v>219276.14986951998</v>
      </c>
      <c r="Q5" s="71">
        <f t="shared" si="5"/>
        <v>219276.14986951998</v>
      </c>
      <c r="R5">
        <f t="shared" si="7"/>
        <v>1</v>
      </c>
      <c r="S5">
        <f t="shared" si="2"/>
        <v>2021</v>
      </c>
    </row>
    <row r="6" spans="1:19" x14ac:dyDescent="0.3">
      <c r="A6" t="s">
        <v>31</v>
      </c>
      <c r="B6" s="1">
        <v>45091</v>
      </c>
      <c r="C6" t="s">
        <v>32</v>
      </c>
      <c r="D6" s="3">
        <v>98692.46</v>
      </c>
      <c r="E6" t="s">
        <v>33</v>
      </c>
      <c r="F6" s="69">
        <f t="shared" si="3"/>
        <v>146820.18</v>
      </c>
      <c r="G6" s="74">
        <v>1000000</v>
      </c>
      <c r="H6" s="3">
        <v>48127.72</v>
      </c>
      <c r="I6" t="s">
        <v>12</v>
      </c>
      <c r="J6" t="s">
        <v>13</v>
      </c>
      <c r="K6" t="s">
        <v>34</v>
      </c>
      <c r="L6">
        <f t="shared" ca="1" si="0"/>
        <v>57193</v>
      </c>
      <c r="M6">
        <v>8</v>
      </c>
      <c r="N6">
        <f t="shared" si="1"/>
        <v>1.03</v>
      </c>
      <c r="O6" s="69">
        <f t="shared" si="6"/>
        <v>151224.78539999999</v>
      </c>
      <c r="P6" s="69">
        <f t="shared" si="4"/>
        <v>103097.06539999999</v>
      </c>
      <c r="Q6" s="71">
        <f t="shared" si="5"/>
        <v>103097.06539999999</v>
      </c>
      <c r="R6">
        <f t="shared" si="7"/>
        <v>1</v>
      </c>
      <c r="S6">
        <f t="shared" si="2"/>
        <v>2023</v>
      </c>
    </row>
    <row r="7" spans="1:19" x14ac:dyDescent="0.3">
      <c r="A7" t="s">
        <v>35</v>
      </c>
      <c r="B7" s="1">
        <v>43584</v>
      </c>
      <c r="C7" t="s">
        <v>10</v>
      </c>
      <c r="D7" s="3">
        <v>243918.65</v>
      </c>
      <c r="E7" t="s">
        <v>11</v>
      </c>
      <c r="F7" s="69">
        <f t="shared" si="3"/>
        <v>254504.19</v>
      </c>
      <c r="G7" s="74">
        <v>5000000</v>
      </c>
      <c r="H7" s="3">
        <v>10585.54</v>
      </c>
      <c r="I7" t="s">
        <v>17</v>
      </c>
      <c r="J7" t="s">
        <v>18</v>
      </c>
      <c r="K7" t="s">
        <v>36</v>
      </c>
      <c r="L7">
        <f t="shared" ca="1" si="0"/>
        <v>46573</v>
      </c>
      <c r="M7">
        <v>2</v>
      </c>
      <c r="N7">
        <f t="shared" si="1"/>
        <v>1.1479107743999999</v>
      </c>
      <c r="O7" s="69">
        <f t="shared" si="6"/>
        <v>292148.10183094471</v>
      </c>
      <c r="P7" s="69">
        <f t="shared" si="4"/>
        <v>281562.56183094473</v>
      </c>
      <c r="Q7" s="71">
        <f t="shared" si="5"/>
        <v>281562.56183094473</v>
      </c>
      <c r="R7">
        <f t="shared" si="7"/>
        <v>1</v>
      </c>
      <c r="S7">
        <f t="shared" si="2"/>
        <v>2019</v>
      </c>
    </row>
    <row r="8" spans="1:19" x14ac:dyDescent="0.3">
      <c r="A8" t="s">
        <v>37</v>
      </c>
      <c r="B8" s="1">
        <v>44398</v>
      </c>
      <c r="C8" t="s">
        <v>26</v>
      </c>
      <c r="D8" s="3">
        <v>765873.46</v>
      </c>
      <c r="E8" t="s">
        <v>11</v>
      </c>
      <c r="F8" s="69">
        <f t="shared" si="3"/>
        <v>783218.83</v>
      </c>
      <c r="G8" s="74">
        <v>5000000</v>
      </c>
      <c r="H8" s="3">
        <v>17345.37</v>
      </c>
      <c r="I8" t="s">
        <v>28</v>
      </c>
      <c r="J8" t="s">
        <v>38</v>
      </c>
      <c r="K8" t="s">
        <v>39</v>
      </c>
      <c r="L8">
        <f t="shared" ca="1" si="0"/>
        <v>100931</v>
      </c>
      <c r="M8">
        <v>1</v>
      </c>
      <c r="N8">
        <f t="shared" si="1"/>
        <v>1.071612</v>
      </c>
      <c r="O8" s="69">
        <f t="shared" si="6"/>
        <v>839306.69685395993</v>
      </c>
      <c r="P8" s="69">
        <f t="shared" si="4"/>
        <v>821961.32685395994</v>
      </c>
      <c r="Q8" s="71">
        <f t="shared" si="5"/>
        <v>821961.32685395994</v>
      </c>
      <c r="R8">
        <f t="shared" si="7"/>
        <v>1</v>
      </c>
      <c r="S8">
        <f t="shared" si="2"/>
        <v>2021</v>
      </c>
    </row>
    <row r="9" spans="1:19" x14ac:dyDescent="0.3">
      <c r="A9" t="s">
        <v>40</v>
      </c>
      <c r="B9" s="1">
        <v>44638</v>
      </c>
      <c r="C9" t="s">
        <v>21</v>
      </c>
      <c r="D9" s="3">
        <v>913843.77</v>
      </c>
      <c r="E9" t="s">
        <v>11</v>
      </c>
      <c r="F9" s="69">
        <f t="shared" si="3"/>
        <v>939444.11</v>
      </c>
      <c r="G9" s="74">
        <v>5000000</v>
      </c>
      <c r="H9" s="3">
        <v>25600.34</v>
      </c>
      <c r="I9" t="s">
        <v>22</v>
      </c>
      <c r="J9" t="s">
        <v>18</v>
      </c>
      <c r="K9" t="s">
        <v>41</v>
      </c>
      <c r="L9">
        <f t="shared" ca="1" si="0"/>
        <v>81775</v>
      </c>
      <c r="M9">
        <v>0</v>
      </c>
      <c r="N9">
        <f t="shared" si="1"/>
        <v>1.0506</v>
      </c>
      <c r="O9" s="69">
        <f t="shared" si="6"/>
        <v>986979.98196599993</v>
      </c>
      <c r="P9" s="69">
        <f t="shared" si="4"/>
        <v>961379.64196599997</v>
      </c>
      <c r="Q9" s="71">
        <f t="shared" si="5"/>
        <v>961379.64196599997</v>
      </c>
      <c r="R9">
        <f t="shared" si="7"/>
        <v>1</v>
      </c>
      <c r="S9">
        <f t="shared" si="2"/>
        <v>2022</v>
      </c>
    </row>
    <row r="10" spans="1:19" x14ac:dyDescent="0.3">
      <c r="A10" t="s">
        <v>42</v>
      </c>
      <c r="B10" s="1">
        <v>44150</v>
      </c>
      <c r="C10" t="s">
        <v>16</v>
      </c>
      <c r="D10" s="3">
        <v>754890.21</v>
      </c>
      <c r="E10" t="s">
        <v>11</v>
      </c>
      <c r="F10" s="69">
        <f t="shared" si="3"/>
        <v>793074.64999999991</v>
      </c>
      <c r="G10" s="74">
        <v>5000000</v>
      </c>
      <c r="H10" s="3">
        <v>38184.44</v>
      </c>
      <c r="I10" t="s">
        <v>17</v>
      </c>
      <c r="J10" t="s">
        <v>23</v>
      </c>
      <c r="K10" t="s">
        <v>43</v>
      </c>
      <c r="L10">
        <f t="shared" ca="1" si="0"/>
        <v>68155</v>
      </c>
      <c r="M10">
        <v>6</v>
      </c>
      <c r="N10">
        <f t="shared" si="1"/>
        <v>1.1037603600000001</v>
      </c>
      <c r="O10" s="69">
        <f t="shared" si="6"/>
        <v>875364.36119087401</v>
      </c>
      <c r="P10" s="69">
        <f t="shared" si="4"/>
        <v>837179.92119087395</v>
      </c>
      <c r="Q10" s="71">
        <f t="shared" si="5"/>
        <v>837179.92119087395</v>
      </c>
      <c r="R10">
        <f t="shared" si="7"/>
        <v>1</v>
      </c>
      <c r="S10">
        <f t="shared" si="2"/>
        <v>2020</v>
      </c>
    </row>
    <row r="11" spans="1:19" x14ac:dyDescent="0.3">
      <c r="A11" t="s">
        <v>44</v>
      </c>
      <c r="B11" s="1">
        <v>43258</v>
      </c>
      <c r="C11" t="s">
        <v>10</v>
      </c>
      <c r="D11" s="3">
        <v>600293.27</v>
      </c>
      <c r="E11" t="s">
        <v>27</v>
      </c>
      <c r="F11" s="69">
        <f t="shared" si="3"/>
        <v>601436.52</v>
      </c>
      <c r="G11" s="74">
        <v>5000000</v>
      </c>
      <c r="H11" s="3">
        <v>1143.25</v>
      </c>
      <c r="I11" t="s">
        <v>12</v>
      </c>
      <c r="J11" t="s">
        <v>18</v>
      </c>
      <c r="K11" t="s">
        <v>45</v>
      </c>
      <c r="L11">
        <f t="shared" ca="1" si="0"/>
        <v>60536</v>
      </c>
      <c r="M11">
        <v>5</v>
      </c>
      <c r="N11">
        <f t="shared" si="1"/>
        <v>1.2053063131199999</v>
      </c>
      <c r="O11" s="69">
        <f t="shared" si="6"/>
        <v>724915.23449692316</v>
      </c>
      <c r="P11" s="69">
        <f t="shared" si="4"/>
        <v>723771.98449692316</v>
      </c>
      <c r="Q11" s="71">
        <f t="shared" si="5"/>
        <v>723771.98449692316</v>
      </c>
      <c r="R11">
        <f t="shared" si="7"/>
        <v>1</v>
      </c>
      <c r="S11">
        <f t="shared" si="2"/>
        <v>2018</v>
      </c>
    </row>
    <row r="12" spans="1:19" x14ac:dyDescent="0.3">
      <c r="A12" t="s">
        <v>46</v>
      </c>
      <c r="B12" s="1">
        <v>44251</v>
      </c>
      <c r="C12" t="s">
        <v>26</v>
      </c>
      <c r="D12" s="3">
        <v>320726.12</v>
      </c>
      <c r="E12" t="s">
        <v>11</v>
      </c>
      <c r="F12" s="69">
        <f t="shared" si="3"/>
        <v>363045.08999999997</v>
      </c>
      <c r="G12" s="74">
        <v>5000000</v>
      </c>
      <c r="H12" s="3">
        <v>42318.97</v>
      </c>
      <c r="I12" t="s">
        <v>17</v>
      </c>
      <c r="J12" t="s">
        <v>38</v>
      </c>
      <c r="K12" t="s">
        <v>47</v>
      </c>
      <c r="L12">
        <f t="shared" ca="1" si="0"/>
        <v>99282</v>
      </c>
      <c r="M12">
        <v>7</v>
      </c>
      <c r="N12">
        <f t="shared" si="1"/>
        <v>1.071612</v>
      </c>
      <c r="O12" s="69">
        <f t="shared" si="6"/>
        <v>389043.47498507996</v>
      </c>
      <c r="P12" s="69">
        <f t="shared" si="4"/>
        <v>346724.50498507998</v>
      </c>
      <c r="Q12" s="71">
        <f t="shared" si="5"/>
        <v>346724.50498507998</v>
      </c>
      <c r="R12">
        <f t="shared" si="7"/>
        <v>1</v>
      </c>
      <c r="S12">
        <f t="shared" si="2"/>
        <v>2021</v>
      </c>
    </row>
    <row r="13" spans="1:19" x14ac:dyDescent="0.3">
      <c r="A13" t="s">
        <v>48</v>
      </c>
      <c r="B13" s="1">
        <v>44180</v>
      </c>
      <c r="C13" t="s">
        <v>16</v>
      </c>
      <c r="D13" s="3">
        <v>195238.55</v>
      </c>
      <c r="E13" t="s">
        <v>11</v>
      </c>
      <c r="F13" s="69">
        <f t="shared" si="3"/>
        <v>220873.24</v>
      </c>
      <c r="G13" s="74">
        <v>1000000</v>
      </c>
      <c r="H13" s="3">
        <v>25634.69</v>
      </c>
      <c r="I13" t="s">
        <v>22</v>
      </c>
      <c r="J13" t="s">
        <v>23</v>
      </c>
      <c r="K13" t="s">
        <v>49</v>
      </c>
      <c r="L13">
        <f t="shared" ca="1" si="0"/>
        <v>45990</v>
      </c>
      <c r="M13">
        <v>8</v>
      </c>
      <c r="N13">
        <f t="shared" si="1"/>
        <v>1.1037603600000001</v>
      </c>
      <c r="O13" s="69">
        <f t="shared" si="6"/>
        <v>243791.12689676642</v>
      </c>
      <c r="P13" s="69">
        <f t="shared" si="4"/>
        <v>218156.43689676642</v>
      </c>
      <c r="Q13" s="71">
        <f t="shared" si="5"/>
        <v>218156.43689676642</v>
      </c>
      <c r="R13">
        <f t="shared" si="7"/>
        <v>1</v>
      </c>
      <c r="S13">
        <f t="shared" si="2"/>
        <v>2020</v>
      </c>
    </row>
    <row r="14" spans="1:19" x14ac:dyDescent="0.3">
      <c r="A14" t="s">
        <v>50</v>
      </c>
      <c r="B14" s="1">
        <v>44794</v>
      </c>
      <c r="C14" t="s">
        <v>10</v>
      </c>
      <c r="D14" s="3">
        <v>158738.94</v>
      </c>
      <c r="E14" t="s">
        <v>33</v>
      </c>
      <c r="F14" s="69">
        <f t="shared" si="3"/>
        <v>188195.05</v>
      </c>
      <c r="G14" s="74">
        <v>1000000</v>
      </c>
      <c r="H14" s="3">
        <v>29456.11</v>
      </c>
      <c r="I14" t="s">
        <v>12</v>
      </c>
      <c r="J14" t="s">
        <v>13</v>
      </c>
      <c r="K14" t="s">
        <v>51</v>
      </c>
      <c r="L14">
        <f t="shared" ca="1" si="0"/>
        <v>97900</v>
      </c>
      <c r="M14">
        <v>3</v>
      </c>
      <c r="N14">
        <f t="shared" si="1"/>
        <v>1.0506</v>
      </c>
      <c r="O14" s="69">
        <f t="shared" si="6"/>
        <v>197717.71952999997</v>
      </c>
      <c r="P14" s="69">
        <f t="shared" si="4"/>
        <v>168261.60952999996</v>
      </c>
      <c r="Q14" s="71">
        <f t="shared" si="5"/>
        <v>168261.60952999996</v>
      </c>
      <c r="R14">
        <f t="shared" si="7"/>
        <v>1</v>
      </c>
      <c r="S14">
        <f t="shared" si="2"/>
        <v>2022</v>
      </c>
    </row>
    <row r="15" spans="1:19" x14ac:dyDescent="0.3">
      <c r="A15" t="s">
        <v>52</v>
      </c>
      <c r="B15" s="1">
        <v>44937</v>
      </c>
      <c r="C15" t="s">
        <v>21</v>
      </c>
      <c r="D15" s="3">
        <v>125309.18</v>
      </c>
      <c r="E15" t="s">
        <v>11</v>
      </c>
      <c r="F15" s="69">
        <f t="shared" si="3"/>
        <v>140287.41</v>
      </c>
      <c r="G15" s="74">
        <v>1000000</v>
      </c>
      <c r="H15" s="3">
        <v>14978.23</v>
      </c>
      <c r="I15" t="s">
        <v>22</v>
      </c>
      <c r="J15" t="s">
        <v>29</v>
      </c>
      <c r="K15" t="s">
        <v>53</v>
      </c>
      <c r="L15">
        <f t="shared" ca="1" si="0"/>
        <v>29369</v>
      </c>
      <c r="M15">
        <v>2</v>
      </c>
      <c r="N15">
        <f t="shared" si="1"/>
        <v>1.03</v>
      </c>
      <c r="O15" s="69">
        <f t="shared" si="6"/>
        <v>144496.03230000002</v>
      </c>
      <c r="P15" s="69">
        <f t="shared" si="4"/>
        <v>129517.80230000002</v>
      </c>
      <c r="Q15" s="71">
        <f t="shared" si="5"/>
        <v>129517.80230000002</v>
      </c>
      <c r="R15">
        <f t="shared" si="7"/>
        <v>1</v>
      </c>
      <c r="S15">
        <f t="shared" si="2"/>
        <v>2023</v>
      </c>
    </row>
    <row r="16" spans="1:19" x14ac:dyDescent="0.3">
      <c r="A16" t="s">
        <v>54</v>
      </c>
      <c r="B16" s="1">
        <v>43738</v>
      </c>
      <c r="C16" t="s">
        <v>26</v>
      </c>
      <c r="D16" s="3">
        <v>701924.64</v>
      </c>
      <c r="E16" t="s">
        <v>27</v>
      </c>
      <c r="F16" s="69">
        <f t="shared" si="3"/>
        <v>726627.31</v>
      </c>
      <c r="G16" s="74">
        <v>5000000</v>
      </c>
      <c r="H16" s="3">
        <v>24702.67</v>
      </c>
      <c r="I16" t="s">
        <v>17</v>
      </c>
      <c r="J16" t="s">
        <v>18</v>
      </c>
      <c r="K16" t="s">
        <v>55</v>
      </c>
      <c r="L16">
        <f t="shared" ca="1" si="0"/>
        <v>110465</v>
      </c>
      <c r="M16">
        <v>6</v>
      </c>
      <c r="N16">
        <f t="shared" si="1"/>
        <v>1.1479107743999999</v>
      </c>
      <c r="O16" s="69">
        <f t="shared" si="6"/>
        <v>834103.31812228879</v>
      </c>
      <c r="P16" s="69">
        <f t="shared" si="4"/>
        <v>809400.64812228875</v>
      </c>
      <c r="Q16" s="71">
        <f t="shared" si="5"/>
        <v>809400.64812228875</v>
      </c>
      <c r="R16">
        <f t="shared" si="7"/>
        <v>1</v>
      </c>
      <c r="S16">
        <f t="shared" si="2"/>
        <v>2019</v>
      </c>
    </row>
    <row r="17" spans="1:19" x14ac:dyDescent="0.3">
      <c r="A17" t="s">
        <v>56</v>
      </c>
      <c r="B17" s="1">
        <v>43294</v>
      </c>
      <c r="C17" t="s">
        <v>32</v>
      </c>
      <c r="D17" s="3">
        <v>590732.85</v>
      </c>
      <c r="E17" t="s">
        <v>11</v>
      </c>
      <c r="F17" s="69">
        <f t="shared" si="3"/>
        <v>600165.35</v>
      </c>
      <c r="G17" s="74">
        <v>5000000</v>
      </c>
      <c r="H17" s="3">
        <v>9432.5</v>
      </c>
      <c r="I17" t="s">
        <v>28</v>
      </c>
      <c r="J17" t="s">
        <v>23</v>
      </c>
      <c r="K17" t="s">
        <v>57</v>
      </c>
      <c r="L17">
        <f t="shared" ca="1" si="0"/>
        <v>12436</v>
      </c>
      <c r="M17">
        <v>4</v>
      </c>
      <c r="N17">
        <f t="shared" si="1"/>
        <v>1.2053063131199999</v>
      </c>
      <c r="O17" s="69">
        <f t="shared" si="6"/>
        <v>723383.08527087432</v>
      </c>
      <c r="P17" s="69">
        <f t="shared" si="4"/>
        <v>713950.58527087432</v>
      </c>
      <c r="Q17" s="71">
        <f t="shared" si="5"/>
        <v>713950.58527087432</v>
      </c>
      <c r="R17">
        <f t="shared" si="7"/>
        <v>1</v>
      </c>
      <c r="S17">
        <f t="shared" si="2"/>
        <v>2018</v>
      </c>
    </row>
    <row r="18" spans="1:19" x14ac:dyDescent="0.3">
      <c r="A18" t="s">
        <v>58</v>
      </c>
      <c r="B18" s="1">
        <v>44288</v>
      </c>
      <c r="C18" t="s">
        <v>10</v>
      </c>
      <c r="D18" s="3">
        <v>358145.93</v>
      </c>
      <c r="E18" t="s">
        <v>11</v>
      </c>
      <c r="F18" s="69">
        <f t="shared" si="3"/>
        <v>375066.3</v>
      </c>
      <c r="G18" s="74">
        <v>2000000</v>
      </c>
      <c r="H18" s="3">
        <v>16920.37</v>
      </c>
      <c r="I18" t="s">
        <v>12</v>
      </c>
      <c r="J18" t="s">
        <v>29</v>
      </c>
      <c r="K18" t="s">
        <v>59</v>
      </c>
      <c r="L18">
        <f t="shared" ca="1" si="0"/>
        <v>32030</v>
      </c>
      <c r="M18">
        <v>7</v>
      </c>
      <c r="N18">
        <f t="shared" si="1"/>
        <v>1.071612</v>
      </c>
      <c r="O18" s="69">
        <f t="shared" si="6"/>
        <v>401925.54787559999</v>
      </c>
      <c r="P18" s="69">
        <f t="shared" si="4"/>
        <v>385005.1778756</v>
      </c>
      <c r="Q18" s="71">
        <f t="shared" si="5"/>
        <v>385005.1778756</v>
      </c>
      <c r="R18">
        <f t="shared" si="7"/>
        <v>1</v>
      </c>
      <c r="S18">
        <f t="shared" si="2"/>
        <v>2021</v>
      </c>
    </row>
    <row r="19" spans="1:19" x14ac:dyDescent="0.3">
      <c r="A19" t="s">
        <v>60</v>
      </c>
      <c r="B19" s="1">
        <v>43641</v>
      </c>
      <c r="C19" t="s">
        <v>21</v>
      </c>
      <c r="D19" s="3">
        <v>453896.75</v>
      </c>
      <c r="E19" t="s">
        <v>11</v>
      </c>
      <c r="F19" s="69">
        <f t="shared" si="3"/>
        <v>492825.48</v>
      </c>
      <c r="G19" s="74">
        <v>500000</v>
      </c>
      <c r="H19" s="3">
        <v>38928.730000000003</v>
      </c>
      <c r="I19" t="s">
        <v>22</v>
      </c>
      <c r="J19" t="s">
        <v>38</v>
      </c>
      <c r="K19" t="s">
        <v>43</v>
      </c>
      <c r="L19">
        <f t="shared" ca="1" si="0"/>
        <v>18320</v>
      </c>
      <c r="M19">
        <v>5</v>
      </c>
      <c r="N19">
        <f t="shared" si="1"/>
        <v>1.1479107743999999</v>
      </c>
      <c r="O19" s="69">
        <f t="shared" si="6"/>
        <v>565719.67839085159</v>
      </c>
      <c r="P19" s="69">
        <f t="shared" si="4"/>
        <v>526790.94839085161</v>
      </c>
      <c r="Q19" s="71">
        <f t="shared" si="5"/>
        <v>500000</v>
      </c>
      <c r="R19">
        <f t="shared" si="7"/>
        <v>1</v>
      </c>
      <c r="S19">
        <f t="shared" si="2"/>
        <v>2019</v>
      </c>
    </row>
    <row r="20" spans="1:19" x14ac:dyDescent="0.3">
      <c r="A20" t="s">
        <v>61</v>
      </c>
      <c r="B20" s="1">
        <v>44754</v>
      </c>
      <c r="C20" t="s">
        <v>16</v>
      </c>
      <c r="D20" s="3">
        <v>195984.65</v>
      </c>
      <c r="E20" t="s">
        <v>33</v>
      </c>
      <c r="F20" s="69">
        <f t="shared" si="3"/>
        <v>215631.84</v>
      </c>
      <c r="G20" s="74">
        <v>500000</v>
      </c>
      <c r="H20" s="3">
        <v>19647.189999999999</v>
      </c>
      <c r="I20" t="s">
        <v>17</v>
      </c>
      <c r="J20" t="s">
        <v>13</v>
      </c>
      <c r="K20" t="s">
        <v>45</v>
      </c>
      <c r="L20">
        <f t="shared" ca="1" si="0"/>
        <v>22775</v>
      </c>
      <c r="M20">
        <v>3</v>
      </c>
      <c r="N20">
        <f t="shared" si="1"/>
        <v>1.0506</v>
      </c>
      <c r="O20" s="69">
        <f t="shared" si="6"/>
        <v>226542.81110399999</v>
      </c>
      <c r="P20" s="69">
        <f t="shared" si="4"/>
        <v>206895.62110399999</v>
      </c>
      <c r="Q20" s="71">
        <f t="shared" si="5"/>
        <v>206895.62110399999</v>
      </c>
      <c r="R20">
        <f t="shared" si="7"/>
        <v>1</v>
      </c>
      <c r="S20">
        <f t="shared" si="2"/>
        <v>2022</v>
      </c>
    </row>
    <row r="21" spans="1:19" x14ac:dyDescent="0.3">
      <c r="A21" t="s">
        <v>62</v>
      </c>
      <c r="B21" s="1">
        <v>43910</v>
      </c>
      <c r="C21" t="s">
        <v>26</v>
      </c>
      <c r="D21" s="3">
        <v>472804.33</v>
      </c>
      <c r="E21" t="s">
        <v>27</v>
      </c>
      <c r="F21" s="69">
        <f t="shared" si="3"/>
        <v>518485.62</v>
      </c>
      <c r="G21" s="74">
        <v>5000000</v>
      </c>
      <c r="H21" s="3">
        <v>45681.29</v>
      </c>
      <c r="I21" t="s">
        <v>28</v>
      </c>
      <c r="J21" t="s">
        <v>18</v>
      </c>
      <c r="K21" t="s">
        <v>39</v>
      </c>
      <c r="L21">
        <f t="shared" ca="1" si="0"/>
        <v>97565</v>
      </c>
      <c r="M21">
        <v>8</v>
      </c>
      <c r="N21">
        <f t="shared" si="1"/>
        <v>1.1037603600000001</v>
      </c>
      <c r="O21" s="69">
        <f t="shared" si="6"/>
        <v>572283.87458602327</v>
      </c>
      <c r="P21" s="69">
        <f t="shared" si="4"/>
        <v>526602.58458602324</v>
      </c>
      <c r="Q21" s="71">
        <f t="shared" si="5"/>
        <v>526602.58458602324</v>
      </c>
      <c r="R21">
        <f t="shared" si="7"/>
        <v>1</v>
      </c>
      <c r="S21">
        <f t="shared" si="2"/>
        <v>2020</v>
      </c>
    </row>
    <row r="22" spans="1:19" x14ac:dyDescent="0.3">
      <c r="A22" t="s">
        <v>63</v>
      </c>
      <c r="B22" s="1">
        <v>45076</v>
      </c>
      <c r="C22" t="s">
        <v>32</v>
      </c>
      <c r="D22" s="3">
        <v>87924.45</v>
      </c>
      <c r="E22" t="s">
        <v>11</v>
      </c>
      <c r="F22" s="69">
        <f t="shared" si="3"/>
        <v>111522.66</v>
      </c>
      <c r="G22" s="74">
        <v>500000</v>
      </c>
      <c r="H22" s="3">
        <v>23598.21</v>
      </c>
      <c r="I22" t="s">
        <v>17</v>
      </c>
      <c r="J22" t="s">
        <v>38</v>
      </c>
      <c r="K22" t="s">
        <v>51</v>
      </c>
      <c r="L22">
        <f t="shared" ca="1" si="0"/>
        <v>33446</v>
      </c>
      <c r="M22">
        <v>4</v>
      </c>
      <c r="N22">
        <f t="shared" si="1"/>
        <v>1.03</v>
      </c>
      <c r="O22" s="69">
        <f t="shared" si="6"/>
        <v>114868.3398</v>
      </c>
      <c r="P22" s="69">
        <f t="shared" si="4"/>
        <v>91270.129799999995</v>
      </c>
      <c r="Q22" s="71">
        <f t="shared" si="5"/>
        <v>91270.129799999995</v>
      </c>
      <c r="R22">
        <f t="shared" si="7"/>
        <v>1</v>
      </c>
      <c r="S22">
        <f t="shared" si="2"/>
        <v>2023</v>
      </c>
    </row>
    <row r="23" spans="1:19" x14ac:dyDescent="0.3">
      <c r="A23" t="s">
        <v>64</v>
      </c>
      <c r="B23" s="1">
        <v>44533</v>
      </c>
      <c r="C23" t="s">
        <v>10</v>
      </c>
      <c r="D23" s="3">
        <v>654327.44999999995</v>
      </c>
      <c r="E23" t="s">
        <v>11</v>
      </c>
      <c r="F23" s="69">
        <f t="shared" si="3"/>
        <v>673030.17999999993</v>
      </c>
      <c r="G23" s="74">
        <v>5000000</v>
      </c>
      <c r="H23" s="3">
        <v>18702.73</v>
      </c>
      <c r="I23" t="s">
        <v>12</v>
      </c>
      <c r="J23" t="s">
        <v>18</v>
      </c>
      <c r="K23" t="s">
        <v>65</v>
      </c>
      <c r="L23">
        <f t="shared" ca="1" si="0"/>
        <v>71683</v>
      </c>
      <c r="M23">
        <v>7</v>
      </c>
      <c r="N23">
        <f t="shared" si="1"/>
        <v>1.071612</v>
      </c>
      <c r="O23" s="69">
        <f t="shared" si="6"/>
        <v>721227.21725015994</v>
      </c>
      <c r="P23" s="69">
        <f t="shared" si="4"/>
        <v>702524.48725015996</v>
      </c>
      <c r="Q23" s="71">
        <f t="shared" si="5"/>
        <v>702524.48725015996</v>
      </c>
      <c r="R23">
        <f t="shared" si="7"/>
        <v>1</v>
      </c>
      <c r="S23">
        <f t="shared" si="2"/>
        <v>2021</v>
      </c>
    </row>
    <row r="24" spans="1:19" x14ac:dyDescent="0.3">
      <c r="A24" t="s">
        <v>66</v>
      </c>
      <c r="B24" s="1">
        <v>43993</v>
      </c>
      <c r="C24" t="s">
        <v>21</v>
      </c>
      <c r="D24" s="3">
        <v>231548.73</v>
      </c>
      <c r="E24" t="s">
        <v>27</v>
      </c>
      <c r="F24" s="69">
        <f t="shared" si="3"/>
        <v>268477.11</v>
      </c>
      <c r="G24" s="74">
        <v>500000</v>
      </c>
      <c r="H24" s="3">
        <v>36928.379999999997</v>
      </c>
      <c r="I24" t="s">
        <v>22</v>
      </c>
      <c r="J24" t="s">
        <v>29</v>
      </c>
      <c r="K24" t="s">
        <v>24</v>
      </c>
      <c r="L24">
        <f t="shared" ca="1" si="0"/>
        <v>69452</v>
      </c>
      <c r="M24">
        <v>5</v>
      </c>
      <c r="N24">
        <f t="shared" si="1"/>
        <v>1.1037603600000001</v>
      </c>
      <c r="O24" s="69">
        <f t="shared" si="6"/>
        <v>296334.39158535964</v>
      </c>
      <c r="P24" s="69">
        <f t="shared" si="4"/>
        <v>259406.01158535964</v>
      </c>
      <c r="Q24" s="71">
        <f t="shared" si="5"/>
        <v>259406.01158535964</v>
      </c>
      <c r="R24">
        <f t="shared" si="7"/>
        <v>1</v>
      </c>
      <c r="S24">
        <f t="shared" si="2"/>
        <v>2020</v>
      </c>
    </row>
    <row r="25" spans="1:19" x14ac:dyDescent="0.3">
      <c r="A25" t="s">
        <v>67</v>
      </c>
      <c r="B25" s="1">
        <v>43695</v>
      </c>
      <c r="C25" t="s">
        <v>26</v>
      </c>
      <c r="D25" s="3">
        <v>194738.52</v>
      </c>
      <c r="E25" t="s">
        <v>33</v>
      </c>
      <c r="F25" s="69">
        <f t="shared" si="3"/>
        <v>210177.78999999998</v>
      </c>
      <c r="G25" s="74">
        <v>500000</v>
      </c>
      <c r="H25" s="3">
        <v>15439.27</v>
      </c>
      <c r="I25" t="s">
        <v>28</v>
      </c>
      <c r="J25" t="s">
        <v>13</v>
      </c>
      <c r="K25" t="s">
        <v>30</v>
      </c>
      <c r="L25">
        <f t="shared" ca="1" si="0"/>
        <v>61129</v>
      </c>
      <c r="M25">
        <v>8</v>
      </c>
      <c r="N25">
        <f t="shared" si="1"/>
        <v>1.1479107743999999</v>
      </c>
      <c r="O25" s="69">
        <f t="shared" si="6"/>
        <v>241265.34968058052</v>
      </c>
      <c r="P25" s="69">
        <f t="shared" si="4"/>
        <v>225826.07968058053</v>
      </c>
      <c r="Q25" s="71">
        <f t="shared" si="5"/>
        <v>225826.07968058053</v>
      </c>
      <c r="R25">
        <f t="shared" si="7"/>
        <v>1</v>
      </c>
      <c r="S25">
        <f t="shared" si="2"/>
        <v>2019</v>
      </c>
    </row>
    <row r="26" spans="1:19" x14ac:dyDescent="0.3">
      <c r="A26" t="s">
        <v>68</v>
      </c>
      <c r="B26" s="1">
        <v>44818</v>
      </c>
      <c r="C26" t="s">
        <v>16</v>
      </c>
      <c r="D26" s="3">
        <v>872394.65</v>
      </c>
      <c r="E26" t="s">
        <v>11</v>
      </c>
      <c r="F26" s="69">
        <f t="shared" si="3"/>
        <v>896897.03</v>
      </c>
      <c r="G26" s="74">
        <v>10000000</v>
      </c>
      <c r="H26" s="3">
        <v>24502.38</v>
      </c>
      <c r="I26" t="s">
        <v>12</v>
      </c>
      <c r="J26" t="s">
        <v>23</v>
      </c>
      <c r="K26" t="s">
        <v>19</v>
      </c>
      <c r="L26">
        <f t="shared" ca="1" si="0"/>
        <v>43124</v>
      </c>
      <c r="M26">
        <v>2</v>
      </c>
      <c r="N26">
        <f t="shared" si="1"/>
        <v>1.0506</v>
      </c>
      <c r="O26" s="69">
        <f t="shared" si="6"/>
        <v>942280.01971799997</v>
      </c>
      <c r="P26" s="69">
        <f t="shared" si="4"/>
        <v>917777.63971799996</v>
      </c>
      <c r="Q26" s="71">
        <f t="shared" si="5"/>
        <v>917777.63971799996</v>
      </c>
      <c r="R26">
        <f t="shared" si="7"/>
        <v>1</v>
      </c>
      <c r="S26">
        <f t="shared" si="2"/>
        <v>2022</v>
      </c>
    </row>
    <row r="27" spans="1:19" x14ac:dyDescent="0.3">
      <c r="A27" t="s">
        <v>69</v>
      </c>
      <c r="B27" s="1">
        <v>43223</v>
      </c>
      <c r="C27" t="s">
        <v>10</v>
      </c>
      <c r="D27" s="3">
        <v>508739.15</v>
      </c>
      <c r="E27" t="s">
        <v>11</v>
      </c>
      <c r="F27" s="69">
        <f t="shared" si="3"/>
        <v>520721.69</v>
      </c>
      <c r="G27" s="74">
        <v>5000000</v>
      </c>
      <c r="H27" s="3">
        <v>11982.54</v>
      </c>
      <c r="I27" t="s">
        <v>17</v>
      </c>
      <c r="J27" t="s">
        <v>38</v>
      </c>
      <c r="K27" t="s">
        <v>14</v>
      </c>
      <c r="L27">
        <f t="shared" ca="1" si="0"/>
        <v>29229</v>
      </c>
      <c r="M27">
        <v>3</v>
      </c>
      <c r="N27">
        <f t="shared" si="1"/>
        <v>1.2053063131199999</v>
      </c>
      <c r="O27" s="69">
        <f t="shared" si="6"/>
        <v>627629.14033551549</v>
      </c>
      <c r="P27" s="69">
        <f t="shared" si="4"/>
        <v>615646.60033551545</v>
      </c>
      <c r="Q27" s="71">
        <f t="shared" si="5"/>
        <v>615646.60033551545</v>
      </c>
      <c r="R27">
        <f t="shared" si="7"/>
        <v>1</v>
      </c>
      <c r="S27">
        <f t="shared" si="2"/>
        <v>2018</v>
      </c>
    </row>
    <row r="28" spans="1:19" x14ac:dyDescent="0.3">
      <c r="A28" t="s">
        <v>70</v>
      </c>
      <c r="B28" s="1">
        <v>44497</v>
      </c>
      <c r="C28" t="s">
        <v>21</v>
      </c>
      <c r="D28" s="3">
        <v>376234.78</v>
      </c>
      <c r="E28" t="s">
        <v>11</v>
      </c>
      <c r="F28" s="69">
        <f t="shared" si="3"/>
        <v>405983.4</v>
      </c>
      <c r="G28" s="74">
        <v>2000000</v>
      </c>
      <c r="H28" s="3">
        <v>29748.62</v>
      </c>
      <c r="I28" t="s">
        <v>22</v>
      </c>
      <c r="J28" t="s">
        <v>13</v>
      </c>
      <c r="K28" t="s">
        <v>49</v>
      </c>
      <c r="L28">
        <f t="shared" ca="1" si="0"/>
        <v>85478</v>
      </c>
      <c r="M28">
        <v>7</v>
      </c>
      <c r="N28">
        <f t="shared" si="1"/>
        <v>1.071612</v>
      </c>
      <c r="O28" s="69">
        <f t="shared" si="6"/>
        <v>435056.68324080005</v>
      </c>
      <c r="P28" s="69">
        <f t="shared" si="4"/>
        <v>405308.06324080005</v>
      </c>
      <c r="Q28" s="71">
        <f t="shared" si="5"/>
        <v>405308.06324080005</v>
      </c>
      <c r="R28">
        <f t="shared" si="7"/>
        <v>1</v>
      </c>
      <c r="S28">
        <f t="shared" si="2"/>
        <v>2021</v>
      </c>
    </row>
    <row r="29" spans="1:19" x14ac:dyDescent="0.3">
      <c r="A29" t="s">
        <v>71</v>
      </c>
      <c r="B29" s="1">
        <v>43937</v>
      </c>
      <c r="C29" t="s">
        <v>26</v>
      </c>
      <c r="D29" s="3">
        <v>129803.75</v>
      </c>
      <c r="E29" t="s">
        <v>33</v>
      </c>
      <c r="F29" s="69">
        <f t="shared" si="3"/>
        <v>162723.88</v>
      </c>
      <c r="G29" s="74">
        <v>1000000</v>
      </c>
      <c r="H29" s="3">
        <v>32920.129999999997</v>
      </c>
      <c r="I29" t="s">
        <v>28</v>
      </c>
      <c r="J29" t="s">
        <v>29</v>
      </c>
      <c r="K29" t="s">
        <v>72</v>
      </c>
      <c r="L29">
        <f t="shared" ca="1" si="0"/>
        <v>99141</v>
      </c>
      <c r="M29">
        <v>4</v>
      </c>
      <c r="N29">
        <f t="shared" si="1"/>
        <v>1.1037603600000001</v>
      </c>
      <c r="O29" s="69">
        <f t="shared" si="6"/>
        <v>179608.16836939682</v>
      </c>
      <c r="P29" s="69">
        <f t="shared" si="4"/>
        <v>146688.03836939682</v>
      </c>
      <c r="Q29" s="71">
        <f t="shared" si="5"/>
        <v>146688.03836939682</v>
      </c>
      <c r="R29">
        <f t="shared" si="7"/>
        <v>1</v>
      </c>
      <c r="S29">
        <f t="shared" si="2"/>
        <v>2020</v>
      </c>
    </row>
    <row r="30" spans="1:19" x14ac:dyDescent="0.3">
      <c r="A30" t="s">
        <v>73</v>
      </c>
      <c r="B30" s="1">
        <v>45114</v>
      </c>
      <c r="C30" t="s">
        <v>16</v>
      </c>
      <c r="D30" s="3">
        <v>731235.83999999997</v>
      </c>
      <c r="E30" t="s">
        <v>11</v>
      </c>
      <c r="F30" s="69">
        <f t="shared" si="3"/>
        <v>750172.09</v>
      </c>
      <c r="G30" s="74">
        <v>5000000</v>
      </c>
      <c r="H30" s="3">
        <v>18936.25</v>
      </c>
      <c r="I30" t="s">
        <v>17</v>
      </c>
      <c r="J30" t="s">
        <v>18</v>
      </c>
      <c r="K30" t="s">
        <v>55</v>
      </c>
      <c r="L30">
        <f t="shared" ca="1" si="0"/>
        <v>72990</v>
      </c>
      <c r="M30">
        <v>2</v>
      </c>
      <c r="N30">
        <f t="shared" si="1"/>
        <v>1.03</v>
      </c>
      <c r="O30" s="69">
        <f t="shared" si="6"/>
        <v>772677.25269999995</v>
      </c>
      <c r="P30" s="69">
        <f t="shared" si="4"/>
        <v>753741.00269999995</v>
      </c>
      <c r="Q30" s="71">
        <f t="shared" si="5"/>
        <v>753741.00269999995</v>
      </c>
      <c r="R30">
        <f t="shared" si="7"/>
        <v>1</v>
      </c>
      <c r="S30">
        <f t="shared" si="2"/>
        <v>2023</v>
      </c>
    </row>
    <row r="31" spans="1:19" x14ac:dyDescent="0.3">
      <c r="A31" t="s">
        <v>74</v>
      </c>
      <c r="B31" s="1">
        <v>43487</v>
      </c>
      <c r="C31" t="s">
        <v>10</v>
      </c>
      <c r="D31" s="3">
        <v>158924.78</v>
      </c>
      <c r="E31" t="s">
        <v>11</v>
      </c>
      <c r="F31" s="69">
        <f t="shared" si="3"/>
        <v>174653.73</v>
      </c>
      <c r="G31" s="74">
        <v>1000000</v>
      </c>
      <c r="H31" s="3">
        <v>15728.95</v>
      </c>
      <c r="I31" t="s">
        <v>12</v>
      </c>
      <c r="J31" t="s">
        <v>38</v>
      </c>
      <c r="K31" t="s">
        <v>57</v>
      </c>
      <c r="L31">
        <f t="shared" ca="1" si="0"/>
        <v>32989</v>
      </c>
      <c r="M31">
        <v>6</v>
      </c>
      <c r="N31">
        <f t="shared" si="1"/>
        <v>1.1479107743999999</v>
      </c>
      <c r="O31" s="69">
        <f t="shared" si="6"/>
        <v>200486.89845614851</v>
      </c>
      <c r="P31" s="69">
        <f t="shared" si="4"/>
        <v>184757.9484561485</v>
      </c>
      <c r="Q31" s="71">
        <f t="shared" si="5"/>
        <v>184757.9484561485</v>
      </c>
      <c r="R31">
        <f t="shared" si="7"/>
        <v>1</v>
      </c>
      <c r="S31">
        <f t="shared" si="2"/>
        <v>2019</v>
      </c>
    </row>
    <row r="32" spans="1:19" x14ac:dyDescent="0.3">
      <c r="A32" t="s">
        <v>75</v>
      </c>
      <c r="B32" s="1">
        <v>44874</v>
      </c>
      <c r="C32" t="s">
        <v>21</v>
      </c>
      <c r="D32" s="3">
        <v>439832.24</v>
      </c>
      <c r="E32" t="s">
        <v>11</v>
      </c>
      <c r="F32" s="69">
        <f t="shared" si="3"/>
        <v>471636.18</v>
      </c>
      <c r="G32" s="74">
        <v>2000000</v>
      </c>
      <c r="H32" s="3">
        <v>31803.94</v>
      </c>
      <c r="I32" t="s">
        <v>22</v>
      </c>
      <c r="J32" t="s">
        <v>18</v>
      </c>
      <c r="K32" t="s">
        <v>76</v>
      </c>
      <c r="L32">
        <f t="shared" ca="1" si="0"/>
        <v>36084</v>
      </c>
      <c r="M32">
        <v>8</v>
      </c>
      <c r="N32">
        <f t="shared" si="1"/>
        <v>1.0506</v>
      </c>
      <c r="O32" s="69">
        <f t="shared" si="6"/>
        <v>495500.97070800001</v>
      </c>
      <c r="P32" s="69">
        <f t="shared" si="4"/>
        <v>463697.03070800001</v>
      </c>
      <c r="Q32" s="71">
        <f t="shared" si="5"/>
        <v>463697.03070800001</v>
      </c>
      <c r="R32">
        <f t="shared" si="7"/>
        <v>1</v>
      </c>
      <c r="S32">
        <f t="shared" si="2"/>
        <v>2022</v>
      </c>
    </row>
    <row r="33" spans="1:19" x14ac:dyDescent="0.3">
      <c r="A33" t="s">
        <v>77</v>
      </c>
      <c r="B33" s="1">
        <v>44056</v>
      </c>
      <c r="C33" t="s">
        <v>26</v>
      </c>
      <c r="D33" s="3">
        <v>690239.58</v>
      </c>
      <c r="E33" t="s">
        <v>33</v>
      </c>
      <c r="F33" s="69">
        <f t="shared" si="3"/>
        <v>717632.12</v>
      </c>
      <c r="G33" s="74">
        <v>5000000</v>
      </c>
      <c r="H33" s="3">
        <v>27392.54</v>
      </c>
      <c r="I33" t="s">
        <v>28</v>
      </c>
      <c r="J33" t="s">
        <v>23</v>
      </c>
      <c r="K33" t="s">
        <v>36</v>
      </c>
      <c r="L33">
        <f t="shared" ca="1" si="0"/>
        <v>60538</v>
      </c>
      <c r="M33">
        <v>7</v>
      </c>
      <c r="N33">
        <f t="shared" si="1"/>
        <v>1.1037603600000001</v>
      </c>
      <c r="O33" s="69">
        <f t="shared" si="6"/>
        <v>792093.88711876329</v>
      </c>
      <c r="P33" s="69">
        <f t="shared" si="4"/>
        <v>764701.34711876325</v>
      </c>
      <c r="Q33" s="71">
        <f t="shared" si="5"/>
        <v>764701.34711876325</v>
      </c>
      <c r="R33">
        <f t="shared" si="7"/>
        <v>1</v>
      </c>
      <c r="S33">
        <f t="shared" si="2"/>
        <v>2020</v>
      </c>
    </row>
    <row r="34" spans="1:19" x14ac:dyDescent="0.3">
      <c r="A34" t="s">
        <v>78</v>
      </c>
      <c r="B34" s="1">
        <v>44350</v>
      </c>
      <c r="C34" t="s">
        <v>32</v>
      </c>
      <c r="D34" s="3">
        <v>215983.48</v>
      </c>
      <c r="E34" t="s">
        <v>11</v>
      </c>
      <c r="F34" s="69">
        <f t="shared" ref="F34:F65" si="8">D34+H34</f>
        <v>236967.86000000002</v>
      </c>
      <c r="G34" s="74">
        <v>2000000</v>
      </c>
      <c r="H34" s="3">
        <v>20984.38</v>
      </c>
      <c r="I34" t="s">
        <v>17</v>
      </c>
      <c r="J34" t="s">
        <v>13</v>
      </c>
      <c r="K34" t="s">
        <v>53</v>
      </c>
      <c r="L34">
        <f t="shared" ref="L34:L65" ca="1" si="9">IF(C34="Cargo Liability",RANDBETWEEN(10000,80000),IF(C34="Collision Liability",RANDBETWEEN(20000,100000),IF(C34="Environmental Pollution",RANDBETWEEN(50000,120000),IF(C34="Damage to Other Vessels",RANDBETWEEN(15000,90000),IF(C34="Injury to Third Parties",RANDBETWEEN(5000,60000))))))</f>
        <v>49327</v>
      </c>
      <c r="M34">
        <v>4</v>
      </c>
      <c r="N34">
        <f t="shared" ref="N34:N65" si="10">IF(YEAR(B34)=2023, 1.03,
   IF(YEAR(B34)=2022, 1.0506,
   IF(YEAR(B34)=2021, 1.071612,
   IF(YEAR(B34)=2020, 1.10376036,
   IF(YEAR(B34)=2019, 1.1479107744,
   IF(YEAR(B34)=2018, 1.20530631312, 1))))))</f>
        <v>1.071612</v>
      </c>
      <c r="O34" s="69">
        <f t="shared" si="6"/>
        <v>253937.60239032001</v>
      </c>
      <c r="P34" s="69">
        <f t="shared" si="4"/>
        <v>232953.22239032001</v>
      </c>
      <c r="Q34" s="71">
        <f t="shared" ref="Q34:Q65" si="11">MIN(P34,G34)</f>
        <v>232953.22239032001</v>
      </c>
      <c r="R34">
        <f t="shared" si="7"/>
        <v>1</v>
      </c>
      <c r="S34">
        <f t="shared" ref="S34:S66" si="12">YEAR(B34)</f>
        <v>2021</v>
      </c>
    </row>
    <row r="35" spans="1:19" x14ac:dyDescent="0.3">
      <c r="A35" t="s">
        <v>79</v>
      </c>
      <c r="B35" s="1">
        <v>43785</v>
      </c>
      <c r="C35" t="s">
        <v>10</v>
      </c>
      <c r="D35" s="3">
        <v>507983.42</v>
      </c>
      <c r="E35" t="s">
        <v>27</v>
      </c>
      <c r="F35" s="69">
        <f t="shared" si="8"/>
        <v>543166.67999999993</v>
      </c>
      <c r="G35" s="74">
        <v>5000000</v>
      </c>
      <c r="H35" s="3">
        <v>35183.26</v>
      </c>
      <c r="I35" t="s">
        <v>12</v>
      </c>
      <c r="J35" t="s">
        <v>29</v>
      </c>
      <c r="K35" t="s">
        <v>43</v>
      </c>
      <c r="L35">
        <f t="shared" ca="1" si="9"/>
        <v>59817</v>
      </c>
      <c r="M35">
        <v>2</v>
      </c>
      <c r="N35">
        <f t="shared" si="10"/>
        <v>1.1479107743999999</v>
      </c>
      <c r="O35" s="69">
        <f t="shared" si="6"/>
        <v>623506.88426707685</v>
      </c>
      <c r="P35" s="69">
        <f t="shared" si="4"/>
        <v>588323.62426707684</v>
      </c>
      <c r="Q35" s="71">
        <f t="shared" si="11"/>
        <v>588323.62426707684</v>
      </c>
      <c r="R35">
        <f t="shared" si="7"/>
        <v>1</v>
      </c>
      <c r="S35">
        <f t="shared" si="12"/>
        <v>2019</v>
      </c>
    </row>
    <row r="36" spans="1:19" x14ac:dyDescent="0.3">
      <c r="A36" t="s">
        <v>80</v>
      </c>
      <c r="B36" s="1">
        <v>43463</v>
      </c>
      <c r="C36" t="s">
        <v>21</v>
      </c>
      <c r="D36" s="3">
        <v>451973.22</v>
      </c>
      <c r="E36" t="s">
        <v>11</v>
      </c>
      <c r="F36" s="69">
        <f t="shared" si="8"/>
        <v>480319.12999999995</v>
      </c>
      <c r="G36" s="74">
        <v>500000</v>
      </c>
      <c r="H36" s="3">
        <v>28345.91</v>
      </c>
      <c r="I36" t="s">
        <v>22</v>
      </c>
      <c r="J36" t="s">
        <v>23</v>
      </c>
      <c r="K36" t="s">
        <v>41</v>
      </c>
      <c r="L36">
        <f t="shared" ca="1" si="9"/>
        <v>86129</v>
      </c>
      <c r="M36">
        <v>4</v>
      </c>
      <c r="N36">
        <f t="shared" si="10"/>
        <v>1.2053063131199999</v>
      </c>
      <c r="O36" s="69">
        <f t="shared" si="6"/>
        <v>578931.67970130593</v>
      </c>
      <c r="P36" s="69">
        <f t="shared" si="4"/>
        <v>550585.76970130589</v>
      </c>
      <c r="Q36" s="71">
        <f t="shared" si="11"/>
        <v>500000</v>
      </c>
      <c r="R36">
        <f t="shared" si="7"/>
        <v>1</v>
      </c>
      <c r="S36">
        <f t="shared" si="12"/>
        <v>2018</v>
      </c>
    </row>
    <row r="37" spans="1:19" x14ac:dyDescent="0.3">
      <c r="A37" t="s">
        <v>82</v>
      </c>
      <c r="B37" s="1">
        <v>44423</v>
      </c>
      <c r="C37" t="s">
        <v>16</v>
      </c>
      <c r="D37" s="3">
        <v>289524.33</v>
      </c>
      <c r="E37" t="s">
        <v>11</v>
      </c>
      <c r="F37" s="69">
        <f t="shared" si="8"/>
        <v>314363.61</v>
      </c>
      <c r="G37" s="74">
        <v>2000000</v>
      </c>
      <c r="H37" s="3">
        <v>24839.279999999999</v>
      </c>
      <c r="I37" t="s">
        <v>17</v>
      </c>
      <c r="J37" t="s">
        <v>18</v>
      </c>
      <c r="K37" t="s">
        <v>47</v>
      </c>
      <c r="L37">
        <f t="shared" ca="1" si="9"/>
        <v>46453</v>
      </c>
      <c r="M37">
        <v>3</v>
      </c>
      <c r="N37">
        <f t="shared" si="10"/>
        <v>1.071612</v>
      </c>
      <c r="O37" s="69">
        <f t="shared" si="6"/>
        <v>336875.81683932</v>
      </c>
      <c r="P37" s="69">
        <f t="shared" si="4"/>
        <v>312036.53683931998</v>
      </c>
      <c r="Q37" s="71">
        <f t="shared" si="11"/>
        <v>312036.53683931998</v>
      </c>
      <c r="R37">
        <f t="shared" si="7"/>
        <v>1</v>
      </c>
      <c r="S37">
        <f t="shared" si="12"/>
        <v>2021</v>
      </c>
    </row>
    <row r="38" spans="1:19" x14ac:dyDescent="0.3">
      <c r="A38" t="s">
        <v>83</v>
      </c>
      <c r="B38" s="1">
        <v>43867</v>
      </c>
      <c r="C38" t="s">
        <v>26</v>
      </c>
      <c r="D38" s="3">
        <v>674832.75</v>
      </c>
      <c r="E38" t="s">
        <v>27</v>
      </c>
      <c r="F38" s="69">
        <f t="shared" si="8"/>
        <v>716116.29</v>
      </c>
      <c r="G38" s="74">
        <v>5000000</v>
      </c>
      <c r="H38" s="3">
        <v>41283.54</v>
      </c>
      <c r="I38" t="s">
        <v>28</v>
      </c>
      <c r="J38" t="s">
        <v>29</v>
      </c>
      <c r="K38" t="s">
        <v>34</v>
      </c>
      <c r="L38">
        <f t="shared" ca="1" si="9"/>
        <v>83009</v>
      </c>
      <c r="M38">
        <v>5</v>
      </c>
      <c r="N38">
        <f t="shared" si="10"/>
        <v>1.1037603600000001</v>
      </c>
      <c r="O38" s="69">
        <f t="shared" si="6"/>
        <v>790420.77405226452</v>
      </c>
      <c r="P38" s="69">
        <f t="shared" si="4"/>
        <v>749137.23405226448</v>
      </c>
      <c r="Q38" s="71">
        <f t="shared" si="11"/>
        <v>749137.23405226448</v>
      </c>
      <c r="R38">
        <f t="shared" si="7"/>
        <v>1</v>
      </c>
      <c r="S38">
        <f t="shared" si="12"/>
        <v>2020</v>
      </c>
    </row>
    <row r="39" spans="1:19" x14ac:dyDescent="0.3">
      <c r="A39" t="s">
        <v>84</v>
      </c>
      <c r="B39" s="1">
        <v>45027</v>
      </c>
      <c r="C39" t="s">
        <v>32</v>
      </c>
      <c r="D39" s="3">
        <v>289523.34000000003</v>
      </c>
      <c r="E39" t="s">
        <v>33</v>
      </c>
      <c r="F39" s="69">
        <f t="shared" si="8"/>
        <v>316918.08</v>
      </c>
      <c r="G39" s="74">
        <v>2000000</v>
      </c>
      <c r="H39" s="3">
        <v>27394.74</v>
      </c>
      <c r="I39" t="s">
        <v>12</v>
      </c>
      <c r="J39" t="s">
        <v>38</v>
      </c>
      <c r="K39" t="s">
        <v>65</v>
      </c>
      <c r="L39">
        <f t="shared" ca="1" si="9"/>
        <v>15356</v>
      </c>
      <c r="M39">
        <v>8</v>
      </c>
      <c r="N39">
        <f t="shared" si="10"/>
        <v>1.03</v>
      </c>
      <c r="O39" s="69">
        <f t="shared" si="6"/>
        <v>326425.62240000005</v>
      </c>
      <c r="P39" s="69">
        <f t="shared" si="4"/>
        <v>299030.88240000006</v>
      </c>
      <c r="Q39" s="71">
        <f t="shared" si="11"/>
        <v>299030.88240000006</v>
      </c>
      <c r="R39">
        <f t="shared" si="7"/>
        <v>1</v>
      </c>
      <c r="S39">
        <f t="shared" si="12"/>
        <v>2023</v>
      </c>
    </row>
    <row r="40" spans="1:19" x14ac:dyDescent="0.3">
      <c r="A40" t="s">
        <v>85</v>
      </c>
      <c r="B40" s="1">
        <v>44571</v>
      </c>
      <c r="C40" t="s">
        <v>10</v>
      </c>
      <c r="D40" s="3">
        <v>492783.45</v>
      </c>
      <c r="E40" t="s">
        <v>11</v>
      </c>
      <c r="F40" s="69">
        <f t="shared" si="8"/>
        <v>512067.73</v>
      </c>
      <c r="G40" s="74">
        <v>2000000</v>
      </c>
      <c r="H40" s="3">
        <v>19284.28</v>
      </c>
      <c r="I40" t="s">
        <v>17</v>
      </c>
      <c r="J40" t="s">
        <v>13</v>
      </c>
      <c r="K40" t="s">
        <v>39</v>
      </c>
      <c r="L40">
        <f t="shared" ca="1" si="9"/>
        <v>59693</v>
      </c>
      <c r="M40">
        <v>6</v>
      </c>
      <c r="N40">
        <f t="shared" si="10"/>
        <v>1.0506</v>
      </c>
      <c r="O40" s="69">
        <f t="shared" si="6"/>
        <v>537978.35713799996</v>
      </c>
      <c r="P40" s="69">
        <f t="shared" si="4"/>
        <v>518694.07713799994</v>
      </c>
      <c r="Q40" s="71">
        <f t="shared" si="11"/>
        <v>518694.07713799994</v>
      </c>
      <c r="R40">
        <f t="shared" si="7"/>
        <v>1</v>
      </c>
      <c r="S40">
        <f t="shared" si="12"/>
        <v>2022</v>
      </c>
    </row>
    <row r="41" spans="1:19" x14ac:dyDescent="0.3">
      <c r="A41" t="s">
        <v>86</v>
      </c>
      <c r="B41" s="1">
        <v>43711</v>
      </c>
      <c r="C41" t="s">
        <v>21</v>
      </c>
      <c r="D41" s="3">
        <v>812739.57</v>
      </c>
      <c r="E41" t="s">
        <v>11</v>
      </c>
      <c r="F41" s="69">
        <f t="shared" si="8"/>
        <v>851033.0199999999</v>
      </c>
      <c r="G41" s="74">
        <v>5000000</v>
      </c>
      <c r="H41" s="3">
        <v>38293.449999999997</v>
      </c>
      <c r="I41" t="s">
        <v>22</v>
      </c>
      <c r="J41" t="s">
        <v>38</v>
      </c>
      <c r="K41" t="s">
        <v>72</v>
      </c>
      <c r="L41">
        <f t="shared" ca="1" si="9"/>
        <v>24926</v>
      </c>
      <c r="M41">
        <v>7</v>
      </c>
      <c r="N41">
        <f t="shared" si="10"/>
        <v>1.1479107743999999</v>
      </c>
      <c r="O41" s="69">
        <f t="shared" si="6"/>
        <v>976909.97302817053</v>
      </c>
      <c r="P41" s="69">
        <f t="shared" si="4"/>
        <v>938616.52302817057</v>
      </c>
      <c r="Q41" s="71">
        <f t="shared" si="11"/>
        <v>938616.52302817057</v>
      </c>
      <c r="R41">
        <f t="shared" si="7"/>
        <v>1</v>
      </c>
      <c r="S41">
        <f t="shared" si="12"/>
        <v>2019</v>
      </c>
    </row>
    <row r="42" spans="1:19" x14ac:dyDescent="0.3">
      <c r="A42" t="s">
        <v>87</v>
      </c>
      <c r="B42" s="1">
        <v>44514</v>
      </c>
      <c r="C42" t="s">
        <v>26</v>
      </c>
      <c r="D42" s="3">
        <v>523987.21</v>
      </c>
      <c r="E42" t="s">
        <v>27</v>
      </c>
      <c r="F42" s="69">
        <f t="shared" si="8"/>
        <v>549880.48</v>
      </c>
      <c r="G42" s="74">
        <v>5000000</v>
      </c>
      <c r="H42" s="3">
        <v>25893.27</v>
      </c>
      <c r="I42" t="s">
        <v>28</v>
      </c>
      <c r="J42" t="s">
        <v>18</v>
      </c>
      <c r="K42" t="s">
        <v>45</v>
      </c>
      <c r="L42">
        <f t="shared" ca="1" si="9"/>
        <v>102817</v>
      </c>
      <c r="M42">
        <v>2</v>
      </c>
      <c r="N42">
        <f t="shared" si="10"/>
        <v>1.071612</v>
      </c>
      <c r="O42" s="69">
        <f t="shared" si="6"/>
        <v>589258.52093375998</v>
      </c>
      <c r="P42" s="69">
        <f t="shared" si="4"/>
        <v>563365.25093375996</v>
      </c>
      <c r="Q42" s="71">
        <f t="shared" si="11"/>
        <v>563365.25093375996</v>
      </c>
      <c r="R42">
        <f t="shared" si="7"/>
        <v>1</v>
      </c>
      <c r="S42">
        <f t="shared" si="12"/>
        <v>2021</v>
      </c>
    </row>
    <row r="43" spans="1:19" x14ac:dyDescent="0.3">
      <c r="A43" t="s">
        <v>88</v>
      </c>
      <c r="B43" s="1">
        <v>44985</v>
      </c>
      <c r="C43" t="s">
        <v>16</v>
      </c>
      <c r="D43" s="3">
        <v>392873.65</v>
      </c>
      <c r="E43" t="s">
        <v>11</v>
      </c>
      <c r="F43" s="69">
        <f t="shared" si="8"/>
        <v>424721.10000000003</v>
      </c>
      <c r="G43" s="74">
        <v>2000000</v>
      </c>
      <c r="H43" s="3">
        <v>31847.45</v>
      </c>
      <c r="I43" t="s">
        <v>17</v>
      </c>
      <c r="J43" t="s">
        <v>23</v>
      </c>
      <c r="K43" t="s">
        <v>19</v>
      </c>
      <c r="L43">
        <f t="shared" ca="1" si="9"/>
        <v>30139</v>
      </c>
      <c r="M43">
        <v>5</v>
      </c>
      <c r="N43">
        <f t="shared" si="10"/>
        <v>1.03</v>
      </c>
      <c r="O43" s="69">
        <f t="shared" si="6"/>
        <v>437462.73300000007</v>
      </c>
      <c r="P43" s="69">
        <f t="shared" si="4"/>
        <v>405615.28300000005</v>
      </c>
      <c r="Q43" s="71">
        <f t="shared" si="11"/>
        <v>405615.28300000005</v>
      </c>
      <c r="R43">
        <f t="shared" si="7"/>
        <v>1</v>
      </c>
      <c r="S43">
        <f t="shared" si="12"/>
        <v>2023</v>
      </c>
    </row>
    <row r="44" spans="1:19" x14ac:dyDescent="0.3">
      <c r="A44" t="s">
        <v>89</v>
      </c>
      <c r="B44" s="1">
        <v>44033</v>
      </c>
      <c r="C44" t="s">
        <v>32</v>
      </c>
      <c r="D44" s="3">
        <v>539278.54</v>
      </c>
      <c r="E44" t="s">
        <v>11</v>
      </c>
      <c r="F44" s="69">
        <f t="shared" si="8"/>
        <v>557573.29</v>
      </c>
      <c r="G44" s="74">
        <v>5000000</v>
      </c>
      <c r="H44" s="3">
        <v>18294.75</v>
      </c>
      <c r="I44" t="s">
        <v>12</v>
      </c>
      <c r="J44" t="s">
        <v>29</v>
      </c>
      <c r="K44" t="s">
        <v>59</v>
      </c>
      <c r="L44">
        <f t="shared" ca="1" si="9"/>
        <v>26709</v>
      </c>
      <c r="M44">
        <v>3</v>
      </c>
      <c r="N44">
        <f t="shared" si="10"/>
        <v>1.1037603600000001</v>
      </c>
      <c r="O44" s="69">
        <f t="shared" si="6"/>
        <v>615427.29529678449</v>
      </c>
      <c r="P44" s="69">
        <f t="shared" si="4"/>
        <v>597132.54529678449</v>
      </c>
      <c r="Q44" s="71">
        <f t="shared" si="11"/>
        <v>597132.54529678449</v>
      </c>
      <c r="R44">
        <f t="shared" si="7"/>
        <v>1</v>
      </c>
      <c r="S44">
        <f t="shared" si="12"/>
        <v>2020</v>
      </c>
    </row>
    <row r="45" spans="1:19" x14ac:dyDescent="0.3">
      <c r="A45" t="s">
        <v>90</v>
      </c>
      <c r="B45" s="1">
        <v>43178</v>
      </c>
      <c r="C45" t="s">
        <v>10</v>
      </c>
      <c r="D45" s="3">
        <v>283973.44</v>
      </c>
      <c r="E45" t="s">
        <v>27</v>
      </c>
      <c r="F45" s="69">
        <f t="shared" si="8"/>
        <v>300456.98</v>
      </c>
      <c r="G45" s="74">
        <v>2000000</v>
      </c>
      <c r="H45" s="3">
        <v>16483.54</v>
      </c>
      <c r="I45" t="s">
        <v>12</v>
      </c>
      <c r="J45" t="s">
        <v>13</v>
      </c>
      <c r="K45" t="s">
        <v>14</v>
      </c>
      <c r="L45">
        <f t="shared" ca="1" si="9"/>
        <v>60135</v>
      </c>
      <c r="M45">
        <v>4</v>
      </c>
      <c r="N45">
        <f t="shared" si="10"/>
        <v>1.2053063131199999</v>
      </c>
      <c r="O45" s="69">
        <f t="shared" si="6"/>
        <v>362142.69481496955</v>
      </c>
      <c r="P45" s="69">
        <f t="shared" si="4"/>
        <v>345659.15481496957</v>
      </c>
      <c r="Q45" s="71">
        <f t="shared" si="11"/>
        <v>345659.15481496957</v>
      </c>
      <c r="R45">
        <f t="shared" si="7"/>
        <v>1</v>
      </c>
      <c r="S45">
        <f t="shared" si="12"/>
        <v>2018</v>
      </c>
    </row>
    <row r="46" spans="1:19" x14ac:dyDescent="0.3">
      <c r="A46" t="s">
        <v>91</v>
      </c>
      <c r="B46" s="1">
        <v>44738</v>
      </c>
      <c r="C46" t="s">
        <v>21</v>
      </c>
      <c r="D46" s="3">
        <v>482839.65</v>
      </c>
      <c r="E46" t="s">
        <v>11</v>
      </c>
      <c r="F46" s="69">
        <f t="shared" si="8"/>
        <v>518138.29000000004</v>
      </c>
      <c r="G46" s="74">
        <v>5000000</v>
      </c>
      <c r="H46" s="3">
        <v>35298.639999999999</v>
      </c>
      <c r="I46" t="s">
        <v>22</v>
      </c>
      <c r="J46" t="s">
        <v>38</v>
      </c>
      <c r="K46" t="s">
        <v>47</v>
      </c>
      <c r="L46">
        <f t="shared" ca="1" si="9"/>
        <v>36874</v>
      </c>
      <c r="M46">
        <v>1</v>
      </c>
      <c r="N46">
        <f t="shared" si="10"/>
        <v>1.0506</v>
      </c>
      <c r="O46" s="69">
        <f t="shared" si="6"/>
        <v>544356.08747400006</v>
      </c>
      <c r="P46" s="69">
        <f t="shared" si="4"/>
        <v>509057.44747400004</v>
      </c>
      <c r="Q46" s="71">
        <f t="shared" si="11"/>
        <v>509057.44747400004</v>
      </c>
      <c r="R46">
        <f t="shared" si="7"/>
        <v>1</v>
      </c>
      <c r="S46">
        <f t="shared" si="12"/>
        <v>2022</v>
      </c>
    </row>
    <row r="47" spans="1:19" x14ac:dyDescent="0.3">
      <c r="A47" t="s">
        <v>92</v>
      </c>
      <c r="B47" s="1">
        <v>44472</v>
      </c>
      <c r="C47" t="s">
        <v>26</v>
      </c>
      <c r="D47" s="3">
        <v>683482.94</v>
      </c>
      <c r="E47" t="s">
        <v>33</v>
      </c>
      <c r="F47" s="69">
        <f t="shared" si="8"/>
        <v>716430.78999999992</v>
      </c>
      <c r="G47" s="74">
        <v>5000000</v>
      </c>
      <c r="H47" s="3">
        <v>32947.85</v>
      </c>
      <c r="I47" t="s">
        <v>28</v>
      </c>
      <c r="J47" t="s">
        <v>18</v>
      </c>
      <c r="K47" t="s">
        <v>36</v>
      </c>
      <c r="L47">
        <f t="shared" ca="1" si="9"/>
        <v>119064</v>
      </c>
      <c r="M47">
        <v>6</v>
      </c>
      <c r="N47">
        <f t="shared" si="10"/>
        <v>1.071612</v>
      </c>
      <c r="O47" s="69">
        <f t="shared" si="6"/>
        <v>767735.83173347998</v>
      </c>
      <c r="P47" s="69">
        <f t="shared" si="4"/>
        <v>734787.98173348</v>
      </c>
      <c r="Q47" s="71">
        <f t="shared" si="11"/>
        <v>734787.98173348</v>
      </c>
      <c r="R47">
        <f t="shared" si="7"/>
        <v>1</v>
      </c>
      <c r="S47">
        <f t="shared" si="12"/>
        <v>2021</v>
      </c>
    </row>
    <row r="48" spans="1:19" x14ac:dyDescent="0.3">
      <c r="A48" t="s">
        <v>93</v>
      </c>
      <c r="B48" s="1">
        <v>43847</v>
      </c>
      <c r="C48" t="s">
        <v>16</v>
      </c>
      <c r="D48" s="3">
        <v>783948.23</v>
      </c>
      <c r="E48" t="s">
        <v>11</v>
      </c>
      <c r="F48" s="69">
        <f t="shared" si="8"/>
        <v>813530.62</v>
      </c>
      <c r="G48" s="74">
        <v>5000000</v>
      </c>
      <c r="H48" s="3">
        <v>29582.39</v>
      </c>
      <c r="I48" t="s">
        <v>17</v>
      </c>
      <c r="J48" t="s">
        <v>23</v>
      </c>
      <c r="K48" t="s">
        <v>55</v>
      </c>
      <c r="L48">
        <f t="shared" ca="1" si="9"/>
        <v>59721</v>
      </c>
      <c r="M48">
        <v>2</v>
      </c>
      <c r="N48">
        <f t="shared" si="10"/>
        <v>1.1037603600000001</v>
      </c>
      <c r="O48" s="69">
        <f t="shared" si="6"/>
        <v>897942.85000222328</v>
      </c>
      <c r="P48" s="69">
        <f t="shared" si="4"/>
        <v>868360.46000222326</v>
      </c>
      <c r="Q48" s="71">
        <f t="shared" si="11"/>
        <v>868360.46000222326</v>
      </c>
      <c r="R48">
        <f t="shared" si="7"/>
        <v>1</v>
      </c>
      <c r="S48">
        <f t="shared" si="12"/>
        <v>2020</v>
      </c>
    </row>
    <row r="49" spans="1:19" x14ac:dyDescent="0.3">
      <c r="A49" t="s">
        <v>94</v>
      </c>
      <c r="B49" s="1">
        <v>43560</v>
      </c>
      <c r="C49" t="s">
        <v>32</v>
      </c>
      <c r="D49" s="3">
        <v>239582.74</v>
      </c>
      <c r="E49" t="s">
        <v>11</v>
      </c>
      <c r="F49" s="69">
        <f t="shared" si="8"/>
        <v>260976.97</v>
      </c>
      <c r="G49" s="74">
        <v>1000000</v>
      </c>
      <c r="H49" s="3">
        <v>21394.23</v>
      </c>
      <c r="I49" t="s">
        <v>12</v>
      </c>
      <c r="J49" t="s">
        <v>13</v>
      </c>
      <c r="K49" t="s">
        <v>24</v>
      </c>
      <c r="L49">
        <f t="shared" ca="1" si="9"/>
        <v>41941</v>
      </c>
      <c r="M49">
        <v>7</v>
      </c>
      <c r="N49">
        <f t="shared" si="10"/>
        <v>1.1479107743999999</v>
      </c>
      <c r="O49" s="69">
        <f t="shared" si="6"/>
        <v>299578.27573326556</v>
      </c>
      <c r="P49" s="69">
        <f t="shared" si="4"/>
        <v>278184.04573326558</v>
      </c>
      <c r="Q49" s="71">
        <f t="shared" si="11"/>
        <v>278184.04573326558</v>
      </c>
      <c r="R49">
        <f t="shared" si="7"/>
        <v>1</v>
      </c>
      <c r="S49">
        <f t="shared" si="12"/>
        <v>2019</v>
      </c>
    </row>
    <row r="50" spans="1:19" x14ac:dyDescent="0.3">
      <c r="A50" t="s">
        <v>95</v>
      </c>
      <c r="B50" s="1">
        <v>44916</v>
      </c>
      <c r="C50" t="s">
        <v>10</v>
      </c>
      <c r="D50" s="3">
        <v>294738.48</v>
      </c>
      <c r="E50" t="s">
        <v>11</v>
      </c>
      <c r="F50" s="69">
        <f t="shared" si="8"/>
        <v>313686.01</v>
      </c>
      <c r="G50" s="74">
        <v>2000000</v>
      </c>
      <c r="H50" s="3">
        <v>18947.53</v>
      </c>
      <c r="I50" t="s">
        <v>17</v>
      </c>
      <c r="J50" t="s">
        <v>38</v>
      </c>
      <c r="K50" t="s">
        <v>43</v>
      </c>
      <c r="L50">
        <f t="shared" ca="1" si="9"/>
        <v>51422</v>
      </c>
      <c r="M50">
        <v>4</v>
      </c>
      <c r="N50">
        <f t="shared" si="10"/>
        <v>1.0506</v>
      </c>
      <c r="O50" s="69">
        <f t="shared" si="6"/>
        <v>329558.52210599999</v>
      </c>
      <c r="P50" s="69">
        <f t="shared" si="4"/>
        <v>310610.99210599996</v>
      </c>
      <c r="Q50" s="71">
        <f t="shared" si="11"/>
        <v>310610.99210599996</v>
      </c>
      <c r="R50">
        <f t="shared" si="7"/>
        <v>1</v>
      </c>
      <c r="S50">
        <f t="shared" si="12"/>
        <v>2022</v>
      </c>
    </row>
    <row r="51" spans="1:19" x14ac:dyDescent="0.3">
      <c r="A51" t="s">
        <v>96</v>
      </c>
      <c r="B51" s="1">
        <v>44230</v>
      </c>
      <c r="C51" t="s">
        <v>21</v>
      </c>
      <c r="D51" s="3">
        <v>583948.29</v>
      </c>
      <c r="E51" t="s">
        <v>11</v>
      </c>
      <c r="F51" s="69">
        <f t="shared" si="8"/>
        <v>613232.67000000004</v>
      </c>
      <c r="G51" s="74">
        <v>5000000</v>
      </c>
      <c r="H51" s="3">
        <v>29284.38</v>
      </c>
      <c r="I51" t="s">
        <v>22</v>
      </c>
      <c r="J51" t="s">
        <v>29</v>
      </c>
      <c r="K51" t="s">
        <v>51</v>
      </c>
      <c r="L51">
        <f t="shared" ca="1" si="9"/>
        <v>76324</v>
      </c>
      <c r="M51">
        <v>9</v>
      </c>
      <c r="N51">
        <f t="shared" si="10"/>
        <v>1.071612</v>
      </c>
      <c r="O51" s="69">
        <f t="shared" si="6"/>
        <v>657147.48796404002</v>
      </c>
      <c r="P51" s="69">
        <f t="shared" si="4"/>
        <v>627863.10796404001</v>
      </c>
      <c r="Q51" s="71">
        <f t="shared" si="11"/>
        <v>627863.10796404001</v>
      </c>
      <c r="R51">
        <f t="shared" si="7"/>
        <v>1</v>
      </c>
      <c r="S51">
        <f t="shared" si="12"/>
        <v>2021</v>
      </c>
    </row>
    <row r="52" spans="1:19" x14ac:dyDescent="0.3">
      <c r="A52" t="s">
        <v>97</v>
      </c>
      <c r="B52" s="1">
        <v>43902</v>
      </c>
      <c r="C52" t="s">
        <v>26</v>
      </c>
      <c r="D52" s="3">
        <v>784839.21</v>
      </c>
      <c r="E52" t="s">
        <v>27</v>
      </c>
      <c r="F52" s="69">
        <f t="shared" si="8"/>
        <v>823786.49</v>
      </c>
      <c r="G52" s="74">
        <v>5000000</v>
      </c>
      <c r="H52" s="3">
        <v>38947.279999999999</v>
      </c>
      <c r="I52" t="s">
        <v>28</v>
      </c>
      <c r="J52" t="s">
        <v>18</v>
      </c>
      <c r="K52" t="s">
        <v>41</v>
      </c>
      <c r="L52">
        <f t="shared" ca="1" si="9"/>
        <v>65754</v>
      </c>
      <c r="M52">
        <v>3</v>
      </c>
      <c r="N52">
        <f t="shared" si="10"/>
        <v>1.1037603600000001</v>
      </c>
      <c r="O52" s="69">
        <f t="shared" si="6"/>
        <v>909262.87276553642</v>
      </c>
      <c r="P52" s="69">
        <f t="shared" si="4"/>
        <v>870315.59276553639</v>
      </c>
      <c r="Q52" s="71">
        <f t="shared" si="11"/>
        <v>870315.59276553639</v>
      </c>
      <c r="R52">
        <f t="shared" si="7"/>
        <v>1</v>
      </c>
      <c r="S52">
        <f t="shared" si="12"/>
        <v>2020</v>
      </c>
    </row>
    <row r="53" spans="1:19" x14ac:dyDescent="0.3">
      <c r="A53" t="s">
        <v>98</v>
      </c>
      <c r="B53" s="1">
        <v>45115</v>
      </c>
      <c r="C53" t="s">
        <v>16</v>
      </c>
      <c r="D53" s="3">
        <v>398483.65</v>
      </c>
      <c r="E53" t="s">
        <v>11</v>
      </c>
      <c r="F53" s="69">
        <f t="shared" si="8"/>
        <v>427431.03</v>
      </c>
      <c r="G53" s="74">
        <v>2000000</v>
      </c>
      <c r="H53" s="3">
        <v>28947.38</v>
      </c>
      <c r="I53" t="s">
        <v>17</v>
      </c>
      <c r="J53" t="s">
        <v>23</v>
      </c>
      <c r="K53" t="s">
        <v>39</v>
      </c>
      <c r="L53">
        <f t="shared" ca="1" si="9"/>
        <v>32816</v>
      </c>
      <c r="M53">
        <v>6</v>
      </c>
      <c r="N53">
        <f t="shared" si="10"/>
        <v>1.03</v>
      </c>
      <c r="O53" s="69">
        <f t="shared" si="6"/>
        <v>440253.96090000006</v>
      </c>
      <c r="P53" s="69">
        <f t="shared" si="4"/>
        <v>411306.58090000006</v>
      </c>
      <c r="Q53" s="71">
        <f t="shared" si="11"/>
        <v>411306.58090000006</v>
      </c>
      <c r="R53">
        <f t="shared" si="7"/>
        <v>1</v>
      </c>
      <c r="S53">
        <f t="shared" si="12"/>
        <v>2023</v>
      </c>
    </row>
    <row r="54" spans="1:19" x14ac:dyDescent="0.3">
      <c r="A54" t="s">
        <v>99</v>
      </c>
      <c r="B54" s="1">
        <v>43366</v>
      </c>
      <c r="C54" t="s">
        <v>32</v>
      </c>
      <c r="D54" s="3">
        <v>485739.23</v>
      </c>
      <c r="E54" t="s">
        <v>11</v>
      </c>
      <c r="F54" s="69">
        <f t="shared" si="8"/>
        <v>503135.07</v>
      </c>
      <c r="G54" s="74">
        <v>5000000</v>
      </c>
      <c r="H54" s="3">
        <v>17395.84</v>
      </c>
      <c r="I54" t="s">
        <v>12</v>
      </c>
      <c r="J54" t="s">
        <v>38</v>
      </c>
      <c r="K54" t="s">
        <v>30</v>
      </c>
      <c r="L54">
        <f t="shared" ca="1" si="9"/>
        <v>39444</v>
      </c>
      <c r="M54">
        <v>8</v>
      </c>
      <c r="N54">
        <f t="shared" si="10"/>
        <v>1.2053063131199999</v>
      </c>
      <c r="O54" s="69">
        <f t="shared" si="6"/>
        <v>606431.87622307311</v>
      </c>
      <c r="P54" s="69">
        <f t="shared" si="4"/>
        <v>589036.03622307314</v>
      </c>
      <c r="Q54" s="71">
        <f t="shared" si="11"/>
        <v>589036.03622307314</v>
      </c>
      <c r="R54">
        <f t="shared" si="7"/>
        <v>1</v>
      </c>
      <c r="S54">
        <f t="shared" si="12"/>
        <v>2018</v>
      </c>
    </row>
    <row r="55" spans="1:19" x14ac:dyDescent="0.3">
      <c r="A55" t="s">
        <v>100</v>
      </c>
      <c r="B55" s="1">
        <v>43784</v>
      </c>
      <c r="C55" t="s">
        <v>10</v>
      </c>
      <c r="D55" s="3">
        <v>593849.48</v>
      </c>
      <c r="E55" t="s">
        <v>27</v>
      </c>
      <c r="F55" s="69">
        <f t="shared" si="8"/>
        <v>632797.05999999994</v>
      </c>
      <c r="G55" s="74">
        <v>5000000</v>
      </c>
      <c r="H55" s="3">
        <v>38947.58</v>
      </c>
      <c r="I55" t="s">
        <v>17</v>
      </c>
      <c r="J55" t="s">
        <v>13</v>
      </c>
      <c r="K55" t="s">
        <v>19</v>
      </c>
      <c r="L55">
        <f t="shared" ca="1" si="9"/>
        <v>47295</v>
      </c>
      <c r="M55">
        <v>2</v>
      </c>
      <c r="N55">
        <f t="shared" si="10"/>
        <v>1.1479107743999999</v>
      </c>
      <c r="O55" s="69">
        <f t="shared" si="6"/>
        <v>726394.56318264315</v>
      </c>
      <c r="P55" s="69">
        <f t="shared" si="4"/>
        <v>687446.98318264319</v>
      </c>
      <c r="Q55" s="71">
        <f t="shared" si="11"/>
        <v>687446.98318264319</v>
      </c>
      <c r="R55">
        <f t="shared" si="7"/>
        <v>1</v>
      </c>
      <c r="S55">
        <f t="shared" si="12"/>
        <v>2019</v>
      </c>
    </row>
    <row r="56" spans="1:19" x14ac:dyDescent="0.3">
      <c r="A56" t="s">
        <v>101</v>
      </c>
      <c r="B56" s="1">
        <v>44785</v>
      </c>
      <c r="C56" t="s">
        <v>21</v>
      </c>
      <c r="D56" s="3">
        <v>683849.75</v>
      </c>
      <c r="E56" t="s">
        <v>11</v>
      </c>
      <c r="F56" s="69">
        <f t="shared" si="8"/>
        <v>716797.2</v>
      </c>
      <c r="G56" s="74">
        <v>5000000</v>
      </c>
      <c r="H56" s="3">
        <v>32947.449999999997</v>
      </c>
      <c r="I56" t="s">
        <v>22</v>
      </c>
      <c r="J56" t="s">
        <v>29</v>
      </c>
      <c r="K56" t="s">
        <v>47</v>
      </c>
      <c r="L56">
        <f t="shared" ca="1" si="9"/>
        <v>55689</v>
      </c>
      <c r="M56">
        <v>3</v>
      </c>
      <c r="N56">
        <f t="shared" si="10"/>
        <v>1.0506</v>
      </c>
      <c r="O56" s="69">
        <f t="shared" si="6"/>
        <v>753067.13831999991</v>
      </c>
      <c r="P56" s="69">
        <f t="shared" si="4"/>
        <v>720119.68831999996</v>
      </c>
      <c r="Q56" s="71">
        <f t="shared" si="11"/>
        <v>720119.68831999996</v>
      </c>
      <c r="R56">
        <f t="shared" si="7"/>
        <v>1</v>
      </c>
      <c r="S56">
        <f t="shared" si="12"/>
        <v>2022</v>
      </c>
    </row>
    <row r="57" spans="1:19" x14ac:dyDescent="0.3">
      <c r="A57" t="s">
        <v>102</v>
      </c>
      <c r="B57" s="1">
        <v>44339</v>
      </c>
      <c r="C57" t="s">
        <v>26</v>
      </c>
      <c r="D57" s="3">
        <v>792483.56</v>
      </c>
      <c r="E57" t="s">
        <v>27</v>
      </c>
      <c r="F57" s="69">
        <f t="shared" si="8"/>
        <v>827431.81</v>
      </c>
      <c r="G57" s="74">
        <v>5000000</v>
      </c>
      <c r="H57" s="3">
        <v>34948.25</v>
      </c>
      <c r="I57" t="s">
        <v>28</v>
      </c>
      <c r="J57" t="s">
        <v>18</v>
      </c>
      <c r="K57" t="s">
        <v>43</v>
      </c>
      <c r="L57">
        <f t="shared" ca="1" si="9"/>
        <v>86653</v>
      </c>
      <c r="M57">
        <v>7</v>
      </c>
      <c r="N57">
        <f t="shared" si="10"/>
        <v>1.071612</v>
      </c>
      <c r="O57" s="69">
        <f t="shared" si="6"/>
        <v>886685.85677772004</v>
      </c>
      <c r="P57" s="69">
        <f t="shared" si="4"/>
        <v>851737.60677772004</v>
      </c>
      <c r="Q57" s="71">
        <f t="shared" si="11"/>
        <v>851737.60677772004</v>
      </c>
      <c r="R57">
        <f t="shared" si="7"/>
        <v>1</v>
      </c>
      <c r="S57">
        <f t="shared" si="12"/>
        <v>2021</v>
      </c>
    </row>
    <row r="58" spans="1:19" x14ac:dyDescent="0.3">
      <c r="A58" t="s">
        <v>103</v>
      </c>
      <c r="B58" s="1">
        <v>44121</v>
      </c>
      <c r="C58" t="s">
        <v>16</v>
      </c>
      <c r="D58" s="3">
        <v>594837.93999999994</v>
      </c>
      <c r="E58" t="s">
        <v>11</v>
      </c>
      <c r="F58" s="69">
        <f t="shared" si="8"/>
        <v>623785.5</v>
      </c>
      <c r="G58" s="74">
        <v>5000000</v>
      </c>
      <c r="H58" s="3">
        <v>28947.56</v>
      </c>
      <c r="I58" t="s">
        <v>17</v>
      </c>
      <c r="J58" t="s">
        <v>23</v>
      </c>
      <c r="K58" t="s">
        <v>45</v>
      </c>
      <c r="L58">
        <f t="shared" ca="1" si="9"/>
        <v>18175</v>
      </c>
      <c r="M58">
        <v>4</v>
      </c>
      <c r="N58">
        <f t="shared" si="10"/>
        <v>1.1037603600000001</v>
      </c>
      <c r="O58" s="69">
        <f t="shared" si="6"/>
        <v>688509.70804278005</v>
      </c>
      <c r="P58" s="69">
        <f t="shared" si="4"/>
        <v>659562.14804278</v>
      </c>
      <c r="Q58" s="71">
        <f t="shared" si="11"/>
        <v>659562.14804278</v>
      </c>
      <c r="R58">
        <f t="shared" si="7"/>
        <v>1</v>
      </c>
      <c r="S58">
        <f t="shared" si="12"/>
        <v>2020</v>
      </c>
    </row>
    <row r="59" spans="1:19" x14ac:dyDescent="0.3">
      <c r="A59" t="s">
        <v>104</v>
      </c>
      <c r="B59" s="1">
        <v>44998</v>
      </c>
      <c r="C59" t="s">
        <v>32</v>
      </c>
      <c r="D59" s="3">
        <v>472839.28</v>
      </c>
      <c r="E59" t="s">
        <v>11</v>
      </c>
      <c r="F59" s="69">
        <f t="shared" si="8"/>
        <v>494777.76</v>
      </c>
      <c r="G59" s="74">
        <v>5000000</v>
      </c>
      <c r="H59" s="3">
        <v>21938.48</v>
      </c>
      <c r="I59" t="s">
        <v>12</v>
      </c>
      <c r="J59" t="s">
        <v>38</v>
      </c>
      <c r="K59" t="s">
        <v>36</v>
      </c>
      <c r="L59">
        <f t="shared" ca="1" si="9"/>
        <v>9814</v>
      </c>
      <c r="M59">
        <v>6</v>
      </c>
      <c r="N59">
        <f t="shared" si="10"/>
        <v>1.03</v>
      </c>
      <c r="O59" s="69">
        <f t="shared" si="6"/>
        <v>509621.09280000004</v>
      </c>
      <c r="P59" s="69">
        <f t="shared" si="4"/>
        <v>487682.61280000006</v>
      </c>
      <c r="Q59" s="71">
        <f t="shared" si="11"/>
        <v>487682.61280000006</v>
      </c>
      <c r="R59">
        <f t="shared" si="7"/>
        <v>1</v>
      </c>
      <c r="S59">
        <f t="shared" si="12"/>
        <v>2023</v>
      </c>
    </row>
    <row r="60" spans="1:19" x14ac:dyDescent="0.3">
      <c r="A60" t="s">
        <v>105</v>
      </c>
      <c r="B60" s="1">
        <v>43439</v>
      </c>
      <c r="C60" t="s">
        <v>10</v>
      </c>
      <c r="D60" s="3">
        <v>592483.44999999995</v>
      </c>
      <c r="E60" t="s">
        <v>27</v>
      </c>
      <c r="F60" s="69">
        <f t="shared" si="8"/>
        <v>625430.82999999996</v>
      </c>
      <c r="G60" s="74">
        <v>2000000</v>
      </c>
      <c r="H60" s="3">
        <v>32947.379999999997</v>
      </c>
      <c r="I60" t="s">
        <v>17</v>
      </c>
      <c r="J60" t="s">
        <v>18</v>
      </c>
      <c r="K60" t="s">
        <v>14</v>
      </c>
      <c r="L60">
        <f t="shared" ca="1" si="9"/>
        <v>64603</v>
      </c>
      <c r="M60">
        <v>5</v>
      </c>
      <c r="N60">
        <f t="shared" si="10"/>
        <v>1.2053063131199999</v>
      </c>
      <c r="O60" s="69">
        <f t="shared" si="6"/>
        <v>753835.72781888139</v>
      </c>
      <c r="P60" s="69">
        <f t="shared" si="4"/>
        <v>720888.34781888139</v>
      </c>
      <c r="Q60" s="71">
        <f t="shared" si="11"/>
        <v>720888.34781888139</v>
      </c>
      <c r="R60">
        <f t="shared" si="7"/>
        <v>1</v>
      </c>
      <c r="S60">
        <f t="shared" si="12"/>
        <v>2018</v>
      </c>
    </row>
    <row r="61" spans="1:19" x14ac:dyDescent="0.3">
      <c r="A61" t="s">
        <v>106</v>
      </c>
      <c r="B61" s="1">
        <v>43645</v>
      </c>
      <c r="C61" t="s">
        <v>21</v>
      </c>
      <c r="D61" s="3">
        <v>839483.29</v>
      </c>
      <c r="E61" t="s">
        <v>11</v>
      </c>
      <c r="F61" s="69">
        <f t="shared" si="8"/>
        <v>877431.67</v>
      </c>
      <c r="G61" s="74">
        <v>5000000</v>
      </c>
      <c r="H61" s="3">
        <v>37948.379999999997</v>
      </c>
      <c r="I61" t="s">
        <v>22</v>
      </c>
      <c r="J61" t="s">
        <v>29</v>
      </c>
      <c r="K61" t="s">
        <v>49</v>
      </c>
      <c r="L61">
        <f t="shared" ca="1" si="9"/>
        <v>87615</v>
      </c>
      <c r="M61">
        <v>3</v>
      </c>
      <c r="N61">
        <f t="shared" si="10"/>
        <v>1.1479107743999999</v>
      </c>
      <c r="O61" s="69">
        <f t="shared" si="6"/>
        <v>1007213.2677927852</v>
      </c>
      <c r="P61" s="69">
        <f t="shared" si="4"/>
        <v>969264.88779278519</v>
      </c>
      <c r="Q61" s="71">
        <f t="shared" si="11"/>
        <v>969264.88779278519</v>
      </c>
      <c r="R61">
        <f t="shared" si="7"/>
        <v>1</v>
      </c>
      <c r="S61">
        <f t="shared" si="12"/>
        <v>2019</v>
      </c>
    </row>
    <row r="62" spans="1:19" x14ac:dyDescent="0.3">
      <c r="A62" t="s">
        <v>107</v>
      </c>
      <c r="B62" s="1">
        <v>44821</v>
      </c>
      <c r="C62" t="s">
        <v>26</v>
      </c>
      <c r="D62" s="3">
        <v>839483.58</v>
      </c>
      <c r="E62" t="s">
        <v>27</v>
      </c>
      <c r="F62" s="69">
        <f t="shared" si="8"/>
        <v>878431.02999999991</v>
      </c>
      <c r="G62" s="74">
        <v>5000000</v>
      </c>
      <c r="H62" s="3">
        <v>38947.449999999997</v>
      </c>
      <c r="I62" t="s">
        <v>28</v>
      </c>
      <c r="J62" t="s">
        <v>38</v>
      </c>
      <c r="K62" t="s">
        <v>39</v>
      </c>
      <c r="L62">
        <f t="shared" ca="1" si="9"/>
        <v>67142</v>
      </c>
      <c r="M62">
        <v>4</v>
      </c>
      <c r="N62">
        <f t="shared" si="10"/>
        <v>1.0506</v>
      </c>
      <c r="O62" s="69">
        <f t="shared" si="6"/>
        <v>922879.64011799986</v>
      </c>
      <c r="P62" s="69">
        <f t="shared" si="4"/>
        <v>883932.19011799991</v>
      </c>
      <c r="Q62" s="71">
        <f t="shared" si="11"/>
        <v>883932.19011799991</v>
      </c>
      <c r="R62">
        <f t="shared" si="7"/>
        <v>1</v>
      </c>
      <c r="S62">
        <f t="shared" si="12"/>
        <v>2022</v>
      </c>
    </row>
    <row r="63" spans="1:19" x14ac:dyDescent="0.3">
      <c r="A63" t="s">
        <v>108</v>
      </c>
      <c r="B63" s="1">
        <v>44207</v>
      </c>
      <c r="C63" t="s">
        <v>16</v>
      </c>
      <c r="D63" s="3">
        <v>793849.23</v>
      </c>
      <c r="E63" t="s">
        <v>11</v>
      </c>
      <c r="F63" s="69">
        <f t="shared" si="8"/>
        <v>823331.71</v>
      </c>
      <c r="G63" s="74">
        <v>5000000</v>
      </c>
      <c r="H63" s="3">
        <v>29482.48</v>
      </c>
      <c r="I63" t="s">
        <v>17</v>
      </c>
      <c r="J63" t="s">
        <v>23</v>
      </c>
      <c r="K63" t="s">
        <v>51</v>
      </c>
      <c r="L63">
        <f t="shared" ca="1" si="9"/>
        <v>18144</v>
      </c>
      <c r="M63">
        <v>7</v>
      </c>
      <c r="N63">
        <f t="shared" si="10"/>
        <v>1.071612</v>
      </c>
      <c r="O63" s="69">
        <f t="shared" si="6"/>
        <v>882292.14041651995</v>
      </c>
      <c r="P63" s="69">
        <f t="shared" si="4"/>
        <v>852809.66041651997</v>
      </c>
      <c r="Q63" s="71">
        <f t="shared" si="11"/>
        <v>852809.66041651997</v>
      </c>
      <c r="R63">
        <f t="shared" si="7"/>
        <v>1</v>
      </c>
      <c r="S63">
        <f t="shared" si="12"/>
        <v>2021</v>
      </c>
    </row>
    <row r="64" spans="1:19" x14ac:dyDescent="0.3">
      <c r="A64" t="s">
        <v>109</v>
      </c>
      <c r="B64" s="1">
        <v>43946</v>
      </c>
      <c r="C64" t="s">
        <v>32</v>
      </c>
      <c r="D64" s="3">
        <v>473839.25</v>
      </c>
      <c r="E64" t="s">
        <v>11</v>
      </c>
      <c r="F64" s="69">
        <f t="shared" si="8"/>
        <v>501321.63</v>
      </c>
      <c r="G64" s="74">
        <v>5000000</v>
      </c>
      <c r="H64" s="3">
        <v>27482.38</v>
      </c>
      <c r="I64" t="s">
        <v>12</v>
      </c>
      <c r="J64" t="s">
        <v>29</v>
      </c>
      <c r="K64" t="s">
        <v>59</v>
      </c>
      <c r="L64">
        <f t="shared" ca="1" si="9"/>
        <v>16641</v>
      </c>
      <c r="M64">
        <v>6</v>
      </c>
      <c r="N64">
        <f t="shared" si="10"/>
        <v>1.1037603600000001</v>
      </c>
      <c r="O64" s="69">
        <f t="shared" si="6"/>
        <v>553338.94280458684</v>
      </c>
      <c r="P64" s="69">
        <f t="shared" si="4"/>
        <v>525856.56280458684</v>
      </c>
      <c r="Q64" s="71">
        <f t="shared" si="11"/>
        <v>525856.56280458684</v>
      </c>
      <c r="R64">
        <f t="shared" si="7"/>
        <v>1</v>
      </c>
      <c r="S64">
        <f t="shared" si="12"/>
        <v>2020</v>
      </c>
    </row>
    <row r="65" spans="1:19" x14ac:dyDescent="0.3">
      <c r="A65" t="s">
        <v>110</v>
      </c>
      <c r="B65" s="1">
        <v>43543</v>
      </c>
      <c r="C65" t="s">
        <v>10</v>
      </c>
      <c r="D65" s="3">
        <v>573849.48</v>
      </c>
      <c r="E65" t="s">
        <v>27</v>
      </c>
      <c r="F65" s="69">
        <f t="shared" si="8"/>
        <v>606697.05999999994</v>
      </c>
      <c r="G65" s="74">
        <v>5000000</v>
      </c>
      <c r="H65" s="3">
        <v>32847.58</v>
      </c>
      <c r="I65" t="s">
        <v>17</v>
      </c>
      <c r="J65" t="s">
        <v>13</v>
      </c>
      <c r="K65" t="s">
        <v>43</v>
      </c>
      <c r="L65">
        <f t="shared" ca="1" si="9"/>
        <v>72578</v>
      </c>
      <c r="M65">
        <v>3</v>
      </c>
      <c r="N65">
        <f t="shared" si="10"/>
        <v>1.1479107743999999</v>
      </c>
      <c r="O65" s="69">
        <f t="shared" si="6"/>
        <v>696434.0919708031</v>
      </c>
      <c r="P65" s="69">
        <f t="shared" si="4"/>
        <v>663586.51197080314</v>
      </c>
      <c r="Q65" s="71">
        <f t="shared" si="11"/>
        <v>663586.51197080314</v>
      </c>
      <c r="R65">
        <f t="shared" si="7"/>
        <v>1</v>
      </c>
      <c r="S65">
        <f t="shared" si="12"/>
        <v>2019</v>
      </c>
    </row>
    <row r="66" spans="1:19" x14ac:dyDescent="0.3">
      <c r="A66" t="s">
        <v>111</v>
      </c>
      <c r="B66" s="1">
        <v>44959</v>
      </c>
      <c r="C66" t="s">
        <v>21</v>
      </c>
      <c r="D66" s="3">
        <v>683849.75</v>
      </c>
      <c r="E66" t="s">
        <v>11</v>
      </c>
      <c r="F66" s="69">
        <f t="shared" ref="F66:F101" si="13">D66+H66</f>
        <v>716797.2</v>
      </c>
      <c r="G66" s="74">
        <v>5000000</v>
      </c>
      <c r="H66" s="3">
        <v>32947.449999999997</v>
      </c>
      <c r="I66" t="s">
        <v>22</v>
      </c>
      <c r="J66" t="s">
        <v>18</v>
      </c>
      <c r="K66" t="s">
        <v>57</v>
      </c>
      <c r="L66">
        <f t="shared" ref="L66:L101" ca="1" si="14">IF(C66="Cargo Liability",RANDBETWEEN(10000,80000),IF(C66="Collision Liability",RANDBETWEEN(20000,100000),IF(C66="Environmental Pollution",RANDBETWEEN(50000,120000),IF(C66="Damage to Other Vessels",RANDBETWEEN(15000,90000),IF(C66="Injury to Third Parties",RANDBETWEEN(5000,60000))))))</f>
        <v>79890</v>
      </c>
      <c r="M66">
        <v>2</v>
      </c>
      <c r="N66">
        <f t="shared" ref="N66:N101" si="15">IF(YEAR(B66)=2023, 1.03,
   IF(YEAR(B66)=2022, 1.0506,
   IF(YEAR(B66)=2021, 1.071612,
   IF(YEAR(B66)=2020, 1.10376036,
   IF(YEAR(B66)=2019, 1.1479107744,
   IF(YEAR(B66)=2018, 1.20530631312, 1))))))</f>
        <v>1.03</v>
      </c>
      <c r="O66" s="69">
        <f t="shared" si="6"/>
        <v>738301.11599999992</v>
      </c>
      <c r="P66" s="69">
        <f t="shared" si="4"/>
        <v>705353.66599999997</v>
      </c>
      <c r="Q66" s="71">
        <f t="shared" ref="Q66:Q97" si="16">MIN(P66,G66)</f>
        <v>705353.66599999997</v>
      </c>
      <c r="R66">
        <f t="shared" si="7"/>
        <v>1</v>
      </c>
      <c r="S66">
        <f t="shared" si="12"/>
        <v>2023</v>
      </c>
    </row>
    <row r="67" spans="1:19" x14ac:dyDescent="0.3">
      <c r="A67" t="s">
        <v>112</v>
      </c>
      <c r="B67" s="1">
        <v>44753</v>
      </c>
      <c r="C67" t="s">
        <v>26</v>
      </c>
      <c r="D67" s="3">
        <v>683849.45</v>
      </c>
      <c r="E67" t="s">
        <v>27</v>
      </c>
      <c r="F67" s="69">
        <f t="shared" si="13"/>
        <v>713331.89999999991</v>
      </c>
      <c r="G67" s="74">
        <v>5000000</v>
      </c>
      <c r="H67" s="3">
        <v>29482.45</v>
      </c>
      <c r="I67" t="s">
        <v>28</v>
      </c>
      <c r="J67" t="s">
        <v>23</v>
      </c>
      <c r="K67" t="s">
        <v>47</v>
      </c>
      <c r="L67">
        <f t="shared" ca="1" si="14"/>
        <v>62605</v>
      </c>
      <c r="M67">
        <v>4</v>
      </c>
      <c r="N67">
        <f t="shared" si="15"/>
        <v>1.0506</v>
      </c>
      <c r="O67" s="69">
        <f t="shared" ref="O67:O101" si="17">F67*N67</f>
        <v>749426.49413999985</v>
      </c>
      <c r="P67" s="69">
        <f t="shared" ref="P67:P101" si="18">O67-H67</f>
        <v>719944.0441399999</v>
      </c>
      <c r="Q67" s="71">
        <f t="shared" si="16"/>
        <v>719944.0441399999</v>
      </c>
      <c r="R67">
        <f t="shared" ref="R67:R101" si="19">IF(Q67&lt;1000000,1,0)</f>
        <v>1</v>
      </c>
      <c r="S67">
        <f t="shared" ref="S67:S101" si="20">YEAR(B67)</f>
        <v>2022</v>
      </c>
    </row>
    <row r="68" spans="1:19" x14ac:dyDescent="0.3">
      <c r="A68" t="s">
        <v>113</v>
      </c>
      <c r="B68" s="1">
        <v>44369</v>
      </c>
      <c r="C68" t="s">
        <v>16</v>
      </c>
      <c r="D68" s="3">
        <v>573839.54</v>
      </c>
      <c r="E68" t="s">
        <v>11</v>
      </c>
      <c r="F68" s="69">
        <f t="shared" si="13"/>
        <v>601678.92000000004</v>
      </c>
      <c r="G68" s="74">
        <v>5000000</v>
      </c>
      <c r="H68" s="3">
        <v>27839.38</v>
      </c>
      <c r="I68" t="s">
        <v>17</v>
      </c>
      <c r="J68" t="s">
        <v>38</v>
      </c>
      <c r="K68" t="s">
        <v>55</v>
      </c>
      <c r="L68">
        <f t="shared" ca="1" si="14"/>
        <v>42332</v>
      </c>
      <c r="M68">
        <v>5</v>
      </c>
      <c r="N68">
        <f t="shared" si="15"/>
        <v>1.071612</v>
      </c>
      <c r="O68" s="69">
        <f t="shared" si="17"/>
        <v>644766.35081904009</v>
      </c>
      <c r="P68" s="69">
        <f t="shared" si="18"/>
        <v>616926.97081904009</v>
      </c>
      <c r="Q68" s="71">
        <f t="shared" si="16"/>
        <v>616926.97081904009</v>
      </c>
      <c r="R68">
        <f t="shared" si="19"/>
        <v>1</v>
      </c>
      <c r="S68">
        <f t="shared" si="20"/>
        <v>2021</v>
      </c>
    </row>
    <row r="69" spans="1:19" x14ac:dyDescent="0.3">
      <c r="A69" t="s">
        <v>114</v>
      </c>
      <c r="B69" s="1">
        <v>43857</v>
      </c>
      <c r="C69" t="s">
        <v>32</v>
      </c>
      <c r="D69" s="3">
        <v>572839.44999999995</v>
      </c>
      <c r="E69" t="s">
        <v>11</v>
      </c>
      <c r="F69" s="69">
        <f t="shared" si="13"/>
        <v>605786.89999999991</v>
      </c>
      <c r="G69" s="74">
        <v>5000000</v>
      </c>
      <c r="H69" s="3">
        <v>32947.449999999997</v>
      </c>
      <c r="I69" t="s">
        <v>12</v>
      </c>
      <c r="J69" t="s">
        <v>29</v>
      </c>
      <c r="K69" t="s">
        <v>49</v>
      </c>
      <c r="L69">
        <f t="shared" ca="1" si="14"/>
        <v>25144</v>
      </c>
      <c r="M69">
        <v>3</v>
      </c>
      <c r="N69">
        <f t="shared" si="15"/>
        <v>1.1037603600000001</v>
      </c>
      <c r="O69" s="69">
        <f t="shared" si="17"/>
        <v>668643.56682728394</v>
      </c>
      <c r="P69" s="69">
        <f t="shared" si="18"/>
        <v>635696.11682728399</v>
      </c>
      <c r="Q69" s="71">
        <f t="shared" si="16"/>
        <v>635696.11682728399</v>
      </c>
      <c r="R69">
        <f t="shared" si="19"/>
        <v>1</v>
      </c>
      <c r="S69">
        <f t="shared" si="20"/>
        <v>2020</v>
      </c>
    </row>
    <row r="70" spans="1:19" x14ac:dyDescent="0.3">
      <c r="A70" t="s">
        <v>115</v>
      </c>
      <c r="B70" s="1">
        <v>43593</v>
      </c>
      <c r="C70" t="s">
        <v>32</v>
      </c>
      <c r="D70" s="3">
        <v>472839.38</v>
      </c>
      <c r="E70" t="s">
        <v>27</v>
      </c>
      <c r="F70" s="69">
        <f t="shared" si="13"/>
        <v>502313.22000000003</v>
      </c>
      <c r="G70" s="74">
        <v>2000000</v>
      </c>
      <c r="H70" s="3">
        <v>29473.84</v>
      </c>
      <c r="I70" t="s">
        <v>17</v>
      </c>
      <c r="J70" t="s">
        <v>23</v>
      </c>
      <c r="K70" t="s">
        <v>65</v>
      </c>
      <c r="L70">
        <f t="shared" ca="1" si="14"/>
        <v>15349</v>
      </c>
      <c r="M70">
        <v>4</v>
      </c>
      <c r="N70">
        <f t="shared" si="15"/>
        <v>1.1479107743999999</v>
      </c>
      <c r="O70" s="69">
        <f t="shared" si="17"/>
        <v>576610.75736155757</v>
      </c>
      <c r="P70" s="69">
        <f t="shared" si="18"/>
        <v>547136.9173615576</v>
      </c>
      <c r="Q70" s="71">
        <f t="shared" si="16"/>
        <v>547136.9173615576</v>
      </c>
      <c r="R70">
        <f t="shared" si="19"/>
        <v>1</v>
      </c>
      <c r="S70">
        <f t="shared" si="20"/>
        <v>2019</v>
      </c>
    </row>
    <row r="71" spans="1:19" x14ac:dyDescent="0.3">
      <c r="A71" t="s">
        <v>116</v>
      </c>
      <c r="B71" s="1">
        <v>45035</v>
      </c>
      <c r="C71" t="s">
        <v>10</v>
      </c>
      <c r="D71" s="3">
        <v>573849.48</v>
      </c>
      <c r="E71" t="s">
        <v>11</v>
      </c>
      <c r="F71" s="69">
        <f t="shared" si="13"/>
        <v>606697.05999999994</v>
      </c>
      <c r="G71" s="74">
        <v>5000000</v>
      </c>
      <c r="H71" s="3">
        <v>32847.58</v>
      </c>
      <c r="I71" t="s">
        <v>17</v>
      </c>
      <c r="J71" t="s">
        <v>38</v>
      </c>
      <c r="K71" t="s">
        <v>47</v>
      </c>
      <c r="L71">
        <f t="shared" ca="1" si="14"/>
        <v>31597</v>
      </c>
      <c r="M71">
        <v>3</v>
      </c>
      <c r="N71">
        <f t="shared" si="15"/>
        <v>1.03</v>
      </c>
      <c r="O71" s="69">
        <f t="shared" si="17"/>
        <v>624897.97179999994</v>
      </c>
      <c r="P71" s="69">
        <f t="shared" si="18"/>
        <v>592050.39179999998</v>
      </c>
      <c r="Q71" s="71">
        <f t="shared" si="16"/>
        <v>592050.39179999998</v>
      </c>
      <c r="R71">
        <f t="shared" si="19"/>
        <v>1</v>
      </c>
      <c r="S71">
        <f t="shared" si="20"/>
        <v>2023</v>
      </c>
    </row>
    <row r="72" spans="1:19" x14ac:dyDescent="0.3">
      <c r="A72" t="s">
        <v>117</v>
      </c>
      <c r="B72" s="1">
        <v>44481</v>
      </c>
      <c r="C72" t="s">
        <v>21</v>
      </c>
      <c r="D72" s="3">
        <v>683849.75</v>
      </c>
      <c r="E72" t="s">
        <v>11</v>
      </c>
      <c r="F72" s="69">
        <f t="shared" si="13"/>
        <v>721798.13</v>
      </c>
      <c r="G72" s="74">
        <v>5000000</v>
      </c>
      <c r="H72" s="3">
        <v>37948.379999999997</v>
      </c>
      <c r="I72" t="s">
        <v>22</v>
      </c>
      <c r="J72" t="s">
        <v>29</v>
      </c>
      <c r="K72" t="s">
        <v>53</v>
      </c>
      <c r="L72">
        <f t="shared" ca="1" si="14"/>
        <v>81183</v>
      </c>
      <c r="M72">
        <v>5</v>
      </c>
      <c r="N72">
        <f t="shared" si="15"/>
        <v>1.071612</v>
      </c>
      <c r="O72" s="69">
        <f t="shared" si="17"/>
        <v>773487.53768556006</v>
      </c>
      <c r="P72" s="69">
        <f t="shared" si="18"/>
        <v>735539.15768556006</v>
      </c>
      <c r="Q72" s="71">
        <f t="shared" si="16"/>
        <v>735539.15768556006</v>
      </c>
      <c r="R72">
        <f t="shared" si="19"/>
        <v>1</v>
      </c>
      <c r="S72">
        <f t="shared" si="20"/>
        <v>2021</v>
      </c>
    </row>
    <row r="73" spans="1:19" x14ac:dyDescent="0.3">
      <c r="A73" t="s">
        <v>118</v>
      </c>
      <c r="B73" s="1">
        <v>44648</v>
      </c>
      <c r="C73" t="s">
        <v>26</v>
      </c>
      <c r="D73" s="3">
        <v>739849.45</v>
      </c>
      <c r="E73" t="s">
        <v>27</v>
      </c>
      <c r="F73" s="69">
        <f t="shared" si="13"/>
        <v>778796.89999999991</v>
      </c>
      <c r="G73" s="74">
        <v>5000000</v>
      </c>
      <c r="H73" s="3">
        <v>38947.449999999997</v>
      </c>
      <c r="I73" t="s">
        <v>28</v>
      </c>
      <c r="J73" t="s">
        <v>13</v>
      </c>
      <c r="K73" t="s">
        <v>41</v>
      </c>
      <c r="L73">
        <f t="shared" ca="1" si="14"/>
        <v>88558</v>
      </c>
      <c r="M73">
        <v>3</v>
      </c>
      <c r="N73">
        <f t="shared" si="15"/>
        <v>1.0506</v>
      </c>
      <c r="O73" s="69">
        <f t="shared" si="17"/>
        <v>818204.02313999983</v>
      </c>
      <c r="P73" s="69">
        <f t="shared" si="18"/>
        <v>779256.57313999988</v>
      </c>
      <c r="Q73" s="71">
        <f t="shared" si="16"/>
        <v>779256.57313999988</v>
      </c>
      <c r="R73">
        <f t="shared" si="19"/>
        <v>1</v>
      </c>
      <c r="S73">
        <f t="shared" si="20"/>
        <v>2022</v>
      </c>
    </row>
    <row r="74" spans="1:19" x14ac:dyDescent="0.3">
      <c r="A74" t="s">
        <v>119</v>
      </c>
      <c r="B74" s="1">
        <v>44047</v>
      </c>
      <c r="C74" t="s">
        <v>16</v>
      </c>
      <c r="D74" s="3">
        <v>573839.54</v>
      </c>
      <c r="E74" t="s">
        <v>11</v>
      </c>
      <c r="F74" s="69">
        <f t="shared" si="13"/>
        <v>601678.92000000004</v>
      </c>
      <c r="G74" s="74">
        <v>5000000</v>
      </c>
      <c r="H74" s="3">
        <v>27839.38</v>
      </c>
      <c r="I74" t="s">
        <v>17</v>
      </c>
      <c r="J74" t="s">
        <v>18</v>
      </c>
      <c r="K74" t="s">
        <v>76</v>
      </c>
      <c r="L74">
        <f t="shared" ca="1" si="14"/>
        <v>79377</v>
      </c>
      <c r="M74">
        <v>6</v>
      </c>
      <c r="N74">
        <f t="shared" si="15"/>
        <v>1.1037603600000001</v>
      </c>
      <c r="O74" s="69">
        <f t="shared" si="17"/>
        <v>664109.34134361136</v>
      </c>
      <c r="P74" s="69">
        <f t="shared" si="18"/>
        <v>636269.96134361136</v>
      </c>
      <c r="Q74" s="71">
        <f t="shared" si="16"/>
        <v>636269.96134361136</v>
      </c>
      <c r="R74">
        <f t="shared" si="19"/>
        <v>1</v>
      </c>
      <c r="S74">
        <f t="shared" si="20"/>
        <v>2020</v>
      </c>
    </row>
    <row r="75" spans="1:19" x14ac:dyDescent="0.3">
      <c r="A75" t="s">
        <v>120</v>
      </c>
      <c r="B75" s="1">
        <v>43268</v>
      </c>
      <c r="C75" t="s">
        <v>32</v>
      </c>
      <c r="D75" s="3">
        <v>572839.44999999995</v>
      </c>
      <c r="E75" t="s">
        <v>11</v>
      </c>
      <c r="F75" s="69">
        <f t="shared" si="13"/>
        <v>605786.89999999991</v>
      </c>
      <c r="G75" s="74">
        <v>5000000</v>
      </c>
      <c r="H75" s="3">
        <v>32947.449999999997</v>
      </c>
      <c r="I75" t="s">
        <v>12</v>
      </c>
      <c r="J75" t="s">
        <v>38</v>
      </c>
      <c r="K75" t="s">
        <v>14</v>
      </c>
      <c r="L75">
        <f t="shared" ca="1" si="14"/>
        <v>45013</v>
      </c>
      <c r="M75">
        <v>3</v>
      </c>
      <c r="N75">
        <f t="shared" si="15"/>
        <v>1.2053063131199999</v>
      </c>
      <c r="O75" s="69">
        <f t="shared" si="17"/>
        <v>730158.77497539402</v>
      </c>
      <c r="P75" s="69">
        <f t="shared" si="18"/>
        <v>697211.32497539406</v>
      </c>
      <c r="Q75" s="71">
        <f t="shared" si="16"/>
        <v>697211.32497539406</v>
      </c>
      <c r="R75">
        <f t="shared" si="19"/>
        <v>1</v>
      </c>
      <c r="S75">
        <f t="shared" si="20"/>
        <v>2018</v>
      </c>
    </row>
    <row r="76" spans="1:19" x14ac:dyDescent="0.3">
      <c r="A76" t="s">
        <v>121</v>
      </c>
      <c r="B76" s="1">
        <v>45068</v>
      </c>
      <c r="C76" t="s">
        <v>10</v>
      </c>
      <c r="D76" s="3">
        <v>793849.23</v>
      </c>
      <c r="E76" t="s">
        <v>27</v>
      </c>
      <c r="F76" s="69">
        <f t="shared" si="13"/>
        <v>823331.71</v>
      </c>
      <c r="G76" s="74">
        <v>5000000</v>
      </c>
      <c r="H76" s="3">
        <v>29482.48</v>
      </c>
      <c r="I76" t="s">
        <v>17</v>
      </c>
      <c r="J76" t="s">
        <v>29</v>
      </c>
      <c r="K76" t="s">
        <v>34</v>
      </c>
      <c r="L76">
        <f t="shared" ca="1" si="14"/>
        <v>39064</v>
      </c>
      <c r="M76">
        <v>4</v>
      </c>
      <c r="N76">
        <f t="shared" si="15"/>
        <v>1.03</v>
      </c>
      <c r="O76" s="69">
        <f t="shared" si="17"/>
        <v>848031.66130000004</v>
      </c>
      <c r="P76" s="69">
        <f t="shared" si="18"/>
        <v>818549.18130000005</v>
      </c>
      <c r="Q76" s="71">
        <f t="shared" si="16"/>
        <v>818549.18130000005</v>
      </c>
      <c r="R76">
        <f t="shared" si="19"/>
        <v>1</v>
      </c>
      <c r="S76">
        <f t="shared" si="20"/>
        <v>2023</v>
      </c>
    </row>
    <row r="77" spans="1:19" x14ac:dyDescent="0.3">
      <c r="A77" t="s">
        <v>122</v>
      </c>
      <c r="B77" s="1">
        <v>44383</v>
      </c>
      <c r="C77" t="s">
        <v>21</v>
      </c>
      <c r="D77" s="3">
        <v>573849.48</v>
      </c>
      <c r="E77" t="s">
        <v>11</v>
      </c>
      <c r="F77" s="69">
        <f t="shared" si="13"/>
        <v>606697.05999999994</v>
      </c>
      <c r="G77" s="74">
        <v>5000000</v>
      </c>
      <c r="H77" s="3">
        <v>32847.58</v>
      </c>
      <c r="I77" t="s">
        <v>22</v>
      </c>
      <c r="J77" t="s">
        <v>13</v>
      </c>
      <c r="K77" t="s">
        <v>55</v>
      </c>
      <c r="L77">
        <f t="shared" ca="1" si="14"/>
        <v>69697</v>
      </c>
      <c r="M77">
        <v>3</v>
      </c>
      <c r="N77">
        <f t="shared" si="15"/>
        <v>1.071612</v>
      </c>
      <c r="O77" s="69">
        <f t="shared" si="17"/>
        <v>650143.84986071999</v>
      </c>
      <c r="P77" s="69">
        <f t="shared" si="18"/>
        <v>617296.26986072003</v>
      </c>
      <c r="Q77" s="71">
        <f t="shared" si="16"/>
        <v>617296.26986072003</v>
      </c>
      <c r="R77">
        <f t="shared" si="19"/>
        <v>1</v>
      </c>
      <c r="S77">
        <f t="shared" si="20"/>
        <v>2021</v>
      </c>
    </row>
    <row r="78" spans="1:19" x14ac:dyDescent="0.3">
      <c r="A78" t="s">
        <v>123</v>
      </c>
      <c r="B78" s="1">
        <v>43879</v>
      </c>
      <c r="C78" t="s">
        <v>26</v>
      </c>
      <c r="D78" s="3">
        <v>572839.44999999995</v>
      </c>
      <c r="E78" t="s">
        <v>11</v>
      </c>
      <c r="F78" s="69">
        <f t="shared" si="13"/>
        <v>605786.89999999991</v>
      </c>
      <c r="G78" s="74">
        <v>5000000</v>
      </c>
      <c r="H78" s="3">
        <v>32947.449999999997</v>
      </c>
      <c r="I78" t="s">
        <v>28</v>
      </c>
      <c r="J78" t="s">
        <v>23</v>
      </c>
      <c r="K78" t="s">
        <v>43</v>
      </c>
      <c r="L78">
        <f t="shared" ca="1" si="14"/>
        <v>70142</v>
      </c>
      <c r="M78">
        <v>6</v>
      </c>
      <c r="N78">
        <f t="shared" si="15"/>
        <v>1.1037603600000001</v>
      </c>
      <c r="O78" s="69">
        <f t="shared" si="17"/>
        <v>668643.56682728394</v>
      </c>
      <c r="P78" s="69">
        <f t="shared" si="18"/>
        <v>635696.11682728399</v>
      </c>
      <c r="Q78" s="71">
        <f t="shared" si="16"/>
        <v>635696.11682728399</v>
      </c>
      <c r="R78">
        <f t="shared" si="19"/>
        <v>1</v>
      </c>
      <c r="S78">
        <f t="shared" si="20"/>
        <v>2020</v>
      </c>
    </row>
    <row r="79" spans="1:19" x14ac:dyDescent="0.3">
      <c r="A79" t="s">
        <v>124</v>
      </c>
      <c r="B79" s="1">
        <v>44818</v>
      </c>
      <c r="C79" t="s">
        <v>16</v>
      </c>
      <c r="D79" s="3">
        <v>573839.54</v>
      </c>
      <c r="E79" t="s">
        <v>27</v>
      </c>
      <c r="F79" s="69">
        <f t="shared" si="13"/>
        <v>601678.92000000004</v>
      </c>
      <c r="G79" s="74">
        <v>5000000</v>
      </c>
      <c r="H79" s="3">
        <v>27839.38</v>
      </c>
      <c r="I79" t="s">
        <v>17</v>
      </c>
      <c r="J79" t="s">
        <v>18</v>
      </c>
      <c r="K79" t="s">
        <v>39</v>
      </c>
      <c r="L79">
        <f t="shared" ca="1" si="14"/>
        <v>20197</v>
      </c>
      <c r="M79">
        <v>3</v>
      </c>
      <c r="N79">
        <f t="shared" si="15"/>
        <v>1.0506</v>
      </c>
      <c r="O79" s="69">
        <f t="shared" si="17"/>
        <v>632123.87335200002</v>
      </c>
      <c r="P79" s="69">
        <f t="shared" si="18"/>
        <v>604284.49335200002</v>
      </c>
      <c r="Q79" s="71">
        <f t="shared" si="16"/>
        <v>604284.49335200002</v>
      </c>
      <c r="R79">
        <f t="shared" si="19"/>
        <v>1</v>
      </c>
      <c r="S79">
        <f t="shared" si="20"/>
        <v>2022</v>
      </c>
    </row>
    <row r="80" spans="1:19" x14ac:dyDescent="0.3">
      <c r="A80" t="s">
        <v>125</v>
      </c>
      <c r="B80" s="1">
        <v>44992</v>
      </c>
      <c r="C80" t="s">
        <v>32</v>
      </c>
      <c r="D80" s="3">
        <v>473839.25</v>
      </c>
      <c r="E80" t="s">
        <v>11</v>
      </c>
      <c r="F80" s="69">
        <f t="shared" si="13"/>
        <v>501321.63</v>
      </c>
      <c r="G80" s="74">
        <v>2000000</v>
      </c>
      <c r="H80" s="3">
        <v>27482.38</v>
      </c>
      <c r="I80" t="s">
        <v>12</v>
      </c>
      <c r="J80" t="s">
        <v>38</v>
      </c>
      <c r="K80" t="s">
        <v>24</v>
      </c>
      <c r="L80">
        <f t="shared" ca="1" si="14"/>
        <v>57826</v>
      </c>
      <c r="M80">
        <v>5</v>
      </c>
      <c r="N80">
        <f t="shared" si="15"/>
        <v>1.03</v>
      </c>
      <c r="O80" s="69">
        <f t="shared" si="17"/>
        <v>516361.27890000003</v>
      </c>
      <c r="P80" s="69">
        <f t="shared" si="18"/>
        <v>488878.89890000003</v>
      </c>
      <c r="Q80" s="71">
        <f t="shared" si="16"/>
        <v>488878.89890000003</v>
      </c>
      <c r="R80">
        <f t="shared" si="19"/>
        <v>1</v>
      </c>
      <c r="S80">
        <f t="shared" si="20"/>
        <v>2023</v>
      </c>
    </row>
    <row r="81" spans="1:19" x14ac:dyDescent="0.3">
      <c r="A81" t="s">
        <v>126</v>
      </c>
      <c r="B81" s="1">
        <v>44531</v>
      </c>
      <c r="C81" t="s">
        <v>10</v>
      </c>
      <c r="D81" s="3">
        <v>573849.48</v>
      </c>
      <c r="E81" t="s">
        <v>11</v>
      </c>
      <c r="F81" s="69">
        <f t="shared" si="13"/>
        <v>606697.05999999994</v>
      </c>
      <c r="G81" s="74">
        <v>5000000</v>
      </c>
      <c r="H81" s="3">
        <v>32847.58</v>
      </c>
      <c r="I81" t="s">
        <v>17</v>
      </c>
      <c r="J81" t="s">
        <v>29</v>
      </c>
      <c r="K81" t="s">
        <v>30</v>
      </c>
      <c r="L81">
        <f t="shared" ca="1" si="14"/>
        <v>91261</v>
      </c>
      <c r="M81">
        <v>7</v>
      </c>
      <c r="N81">
        <f t="shared" si="15"/>
        <v>1.071612</v>
      </c>
      <c r="O81" s="69">
        <f t="shared" si="17"/>
        <v>650143.84986071999</v>
      </c>
      <c r="P81" s="69">
        <f t="shared" si="18"/>
        <v>617296.26986072003</v>
      </c>
      <c r="Q81" s="71">
        <f t="shared" si="16"/>
        <v>617296.26986072003</v>
      </c>
      <c r="R81">
        <f t="shared" si="19"/>
        <v>1</v>
      </c>
      <c r="S81">
        <f t="shared" si="20"/>
        <v>2021</v>
      </c>
    </row>
    <row r="82" spans="1:19" x14ac:dyDescent="0.3">
      <c r="A82" t="s">
        <v>127</v>
      </c>
      <c r="B82" s="1">
        <v>43987</v>
      </c>
      <c r="C82" t="s">
        <v>21</v>
      </c>
      <c r="D82" s="3">
        <v>683849.75</v>
      </c>
      <c r="E82" t="s">
        <v>11</v>
      </c>
      <c r="F82" s="69">
        <f t="shared" si="13"/>
        <v>721798.13</v>
      </c>
      <c r="G82" s="74">
        <v>5000000</v>
      </c>
      <c r="H82" s="3">
        <v>37948.379999999997</v>
      </c>
      <c r="I82" t="s">
        <v>22</v>
      </c>
      <c r="J82" t="s">
        <v>13</v>
      </c>
      <c r="K82" t="s">
        <v>57</v>
      </c>
      <c r="L82">
        <f t="shared" ca="1" si="14"/>
        <v>59320</v>
      </c>
      <c r="M82">
        <v>3</v>
      </c>
      <c r="N82">
        <f t="shared" si="15"/>
        <v>1.1037603600000001</v>
      </c>
      <c r="O82" s="69">
        <f t="shared" si="17"/>
        <v>796692.16381612688</v>
      </c>
      <c r="P82" s="69">
        <f t="shared" si="18"/>
        <v>758743.78381612687</v>
      </c>
      <c r="Q82" s="71">
        <f t="shared" si="16"/>
        <v>758743.78381612687</v>
      </c>
      <c r="R82">
        <f t="shared" si="19"/>
        <v>1</v>
      </c>
      <c r="S82">
        <f t="shared" si="20"/>
        <v>2020</v>
      </c>
    </row>
    <row r="83" spans="1:19" x14ac:dyDescent="0.3">
      <c r="A83" t="s">
        <v>128</v>
      </c>
      <c r="B83" s="1">
        <v>43707</v>
      </c>
      <c r="C83" t="s">
        <v>26</v>
      </c>
      <c r="D83" s="3">
        <v>739849.45</v>
      </c>
      <c r="E83" t="s">
        <v>27</v>
      </c>
      <c r="F83" s="69">
        <f t="shared" si="13"/>
        <v>778796.89999999991</v>
      </c>
      <c r="G83" s="74">
        <v>5000000</v>
      </c>
      <c r="H83" s="3">
        <v>38947.449999999997</v>
      </c>
      <c r="I83" t="s">
        <v>28</v>
      </c>
      <c r="J83" t="s">
        <v>23</v>
      </c>
      <c r="K83" t="s">
        <v>51</v>
      </c>
      <c r="L83">
        <f t="shared" ca="1" si="14"/>
        <v>119577</v>
      </c>
      <c r="M83">
        <v>4</v>
      </c>
      <c r="N83">
        <f t="shared" si="15"/>
        <v>1.1479107743999999</v>
      </c>
      <c r="O83" s="69">
        <f t="shared" si="17"/>
        <v>893989.35257931915</v>
      </c>
      <c r="P83" s="69">
        <f t="shared" si="18"/>
        <v>855041.9025793192</v>
      </c>
      <c r="Q83" s="71">
        <f t="shared" si="16"/>
        <v>855041.9025793192</v>
      </c>
      <c r="R83">
        <f t="shared" si="19"/>
        <v>1</v>
      </c>
      <c r="S83">
        <f t="shared" si="20"/>
        <v>2019</v>
      </c>
    </row>
    <row r="84" spans="1:19" x14ac:dyDescent="0.3">
      <c r="A84" t="s">
        <v>129</v>
      </c>
      <c r="B84" s="1">
        <v>43426</v>
      </c>
      <c r="C84" t="s">
        <v>16</v>
      </c>
      <c r="D84" s="3">
        <v>573839.54</v>
      </c>
      <c r="E84" t="s">
        <v>11</v>
      </c>
      <c r="F84" s="69">
        <f t="shared" si="13"/>
        <v>601678.92000000004</v>
      </c>
      <c r="G84" s="74">
        <v>5000000</v>
      </c>
      <c r="H84" s="3">
        <v>27839.38</v>
      </c>
      <c r="I84" t="s">
        <v>17</v>
      </c>
      <c r="J84" t="s">
        <v>18</v>
      </c>
      <c r="K84" t="s">
        <v>72</v>
      </c>
      <c r="L84">
        <f t="shared" ca="1" si="14"/>
        <v>68250</v>
      </c>
      <c r="M84">
        <v>5</v>
      </c>
      <c r="N84">
        <f t="shared" si="15"/>
        <v>1.2053063131199999</v>
      </c>
      <c r="O84" s="69">
        <f t="shared" si="17"/>
        <v>725207.40074722341</v>
      </c>
      <c r="P84" s="69">
        <f t="shared" si="18"/>
        <v>697368.0207472234</v>
      </c>
      <c r="Q84" s="71">
        <f t="shared" si="16"/>
        <v>697368.0207472234</v>
      </c>
      <c r="R84">
        <f t="shared" si="19"/>
        <v>1</v>
      </c>
      <c r="S84">
        <f t="shared" si="20"/>
        <v>2018</v>
      </c>
    </row>
    <row r="85" spans="1:19" x14ac:dyDescent="0.3">
      <c r="A85" t="s">
        <v>130</v>
      </c>
      <c r="B85" s="1">
        <v>44955</v>
      </c>
      <c r="C85" t="s">
        <v>32</v>
      </c>
      <c r="D85" s="3">
        <v>572839.44999999995</v>
      </c>
      <c r="E85" t="s">
        <v>11</v>
      </c>
      <c r="F85" s="69">
        <f t="shared" si="13"/>
        <v>605786.89999999991</v>
      </c>
      <c r="G85" s="74">
        <v>5000000</v>
      </c>
      <c r="H85" s="3">
        <v>32947.449999999997</v>
      </c>
      <c r="I85" t="s">
        <v>12</v>
      </c>
      <c r="J85" t="s">
        <v>38</v>
      </c>
      <c r="K85" t="s">
        <v>65</v>
      </c>
      <c r="L85">
        <f t="shared" ca="1" si="14"/>
        <v>28838</v>
      </c>
      <c r="M85">
        <v>6</v>
      </c>
      <c r="N85">
        <f t="shared" si="15"/>
        <v>1.03</v>
      </c>
      <c r="O85" s="69">
        <f t="shared" si="17"/>
        <v>623960.50699999987</v>
      </c>
      <c r="P85" s="69">
        <f t="shared" si="18"/>
        <v>591013.05699999991</v>
      </c>
      <c r="Q85" s="71">
        <f t="shared" si="16"/>
        <v>591013.05699999991</v>
      </c>
      <c r="R85">
        <f t="shared" si="19"/>
        <v>1</v>
      </c>
      <c r="S85">
        <f t="shared" si="20"/>
        <v>2023</v>
      </c>
    </row>
    <row r="86" spans="1:19" x14ac:dyDescent="0.3">
      <c r="A86" t="s">
        <v>131</v>
      </c>
      <c r="B86" s="1">
        <v>44296</v>
      </c>
      <c r="C86" t="s">
        <v>10</v>
      </c>
      <c r="D86" s="3">
        <v>793849.23</v>
      </c>
      <c r="E86" t="s">
        <v>27</v>
      </c>
      <c r="F86" s="69">
        <f t="shared" si="13"/>
        <v>823331.71</v>
      </c>
      <c r="G86" s="74">
        <v>5000000</v>
      </c>
      <c r="H86" s="3">
        <v>29482.48</v>
      </c>
      <c r="I86" t="s">
        <v>17</v>
      </c>
      <c r="J86" t="s">
        <v>29</v>
      </c>
      <c r="K86" t="s">
        <v>47</v>
      </c>
      <c r="L86">
        <f t="shared" ca="1" si="14"/>
        <v>91964</v>
      </c>
      <c r="M86">
        <v>4</v>
      </c>
      <c r="N86">
        <f t="shared" si="15"/>
        <v>1.071612</v>
      </c>
      <c r="O86" s="69">
        <f t="shared" si="17"/>
        <v>882292.14041651995</v>
      </c>
      <c r="P86" s="69">
        <f t="shared" si="18"/>
        <v>852809.66041651997</v>
      </c>
      <c r="Q86" s="71">
        <f t="shared" si="16"/>
        <v>852809.66041651997</v>
      </c>
      <c r="R86">
        <f t="shared" si="19"/>
        <v>1</v>
      </c>
      <c r="S86">
        <f t="shared" si="20"/>
        <v>2021</v>
      </c>
    </row>
    <row r="87" spans="1:19" x14ac:dyDescent="0.3">
      <c r="A87" t="s">
        <v>132</v>
      </c>
      <c r="B87" s="1">
        <v>44032</v>
      </c>
      <c r="C87" t="s">
        <v>21</v>
      </c>
      <c r="D87" s="3">
        <v>573849.48</v>
      </c>
      <c r="E87" t="s">
        <v>11</v>
      </c>
      <c r="F87" s="69">
        <f t="shared" si="13"/>
        <v>606697.05999999994</v>
      </c>
      <c r="G87" s="74">
        <v>5000000</v>
      </c>
      <c r="H87" s="3">
        <v>32847.58</v>
      </c>
      <c r="I87" t="s">
        <v>22</v>
      </c>
      <c r="J87" t="s">
        <v>13</v>
      </c>
      <c r="K87" t="s">
        <v>19</v>
      </c>
      <c r="L87">
        <f t="shared" ca="1" si="14"/>
        <v>42853</v>
      </c>
      <c r="M87">
        <v>3</v>
      </c>
      <c r="N87">
        <f t="shared" si="15"/>
        <v>1.1037603600000001</v>
      </c>
      <c r="O87" s="69">
        <f t="shared" si="17"/>
        <v>669648.16535654163</v>
      </c>
      <c r="P87" s="69">
        <f t="shared" si="18"/>
        <v>636800.58535654168</v>
      </c>
      <c r="Q87" s="71">
        <f t="shared" si="16"/>
        <v>636800.58535654168</v>
      </c>
      <c r="R87">
        <f t="shared" si="19"/>
        <v>1</v>
      </c>
      <c r="S87">
        <f t="shared" si="20"/>
        <v>2020</v>
      </c>
    </row>
    <row r="88" spans="1:19" x14ac:dyDescent="0.3">
      <c r="A88" t="s">
        <v>133</v>
      </c>
      <c r="B88" s="1">
        <v>43520</v>
      </c>
      <c r="C88" t="s">
        <v>26</v>
      </c>
      <c r="D88" s="3">
        <v>572839.44999999995</v>
      </c>
      <c r="E88" t="s">
        <v>11</v>
      </c>
      <c r="F88" s="69">
        <f t="shared" si="13"/>
        <v>605786.89999999991</v>
      </c>
      <c r="G88" s="74">
        <v>5000000</v>
      </c>
      <c r="H88" s="3">
        <v>32947.449999999997</v>
      </c>
      <c r="I88" t="s">
        <v>28</v>
      </c>
      <c r="J88" t="s">
        <v>18</v>
      </c>
      <c r="K88" t="s">
        <v>49</v>
      </c>
      <c r="L88">
        <f t="shared" ca="1" si="14"/>
        <v>97028</v>
      </c>
      <c r="M88">
        <v>5</v>
      </c>
      <c r="N88">
        <f t="shared" si="15"/>
        <v>1.1479107743999999</v>
      </c>
      <c r="O88" s="69">
        <f t="shared" si="17"/>
        <v>695389.30950037518</v>
      </c>
      <c r="P88" s="69">
        <f t="shared" si="18"/>
        <v>662441.85950037523</v>
      </c>
      <c r="Q88" s="71">
        <f t="shared" si="16"/>
        <v>662441.85950037523</v>
      </c>
      <c r="R88">
        <f t="shared" si="19"/>
        <v>1</v>
      </c>
      <c r="S88">
        <f t="shared" si="20"/>
        <v>2019</v>
      </c>
    </row>
    <row r="89" spans="1:19" x14ac:dyDescent="0.3">
      <c r="A89" t="s">
        <v>134</v>
      </c>
      <c r="B89" s="1">
        <v>44884</v>
      </c>
      <c r="C89" t="s">
        <v>16</v>
      </c>
      <c r="D89" s="3">
        <v>573839.54</v>
      </c>
      <c r="E89" t="s">
        <v>27</v>
      </c>
      <c r="F89" s="69">
        <f t="shared" si="13"/>
        <v>601678.92000000004</v>
      </c>
      <c r="G89" s="74">
        <v>5000000</v>
      </c>
      <c r="H89" s="3">
        <v>27839.38</v>
      </c>
      <c r="I89" t="s">
        <v>17</v>
      </c>
      <c r="J89" t="s">
        <v>23</v>
      </c>
      <c r="K89" t="s">
        <v>41</v>
      </c>
      <c r="L89">
        <f t="shared" ca="1" si="14"/>
        <v>25516</v>
      </c>
      <c r="M89">
        <v>3</v>
      </c>
      <c r="N89">
        <f t="shared" si="15"/>
        <v>1.0506</v>
      </c>
      <c r="O89" s="69">
        <f t="shared" si="17"/>
        <v>632123.87335200002</v>
      </c>
      <c r="P89" s="69">
        <f t="shared" si="18"/>
        <v>604284.49335200002</v>
      </c>
      <c r="Q89" s="71">
        <f t="shared" si="16"/>
        <v>604284.49335200002</v>
      </c>
      <c r="R89">
        <f t="shared" si="19"/>
        <v>1</v>
      </c>
      <c r="S89">
        <f t="shared" si="20"/>
        <v>2022</v>
      </c>
    </row>
    <row r="90" spans="1:19" x14ac:dyDescent="0.3">
      <c r="A90" t="s">
        <v>135</v>
      </c>
      <c r="B90" s="1">
        <v>45091</v>
      </c>
      <c r="C90" t="s">
        <v>32</v>
      </c>
      <c r="D90" s="3">
        <v>473839.25</v>
      </c>
      <c r="E90" t="s">
        <v>11</v>
      </c>
      <c r="F90" s="69">
        <f t="shared" si="13"/>
        <v>501321.63</v>
      </c>
      <c r="G90" s="74">
        <v>2000000</v>
      </c>
      <c r="H90" s="3">
        <v>27482.38</v>
      </c>
      <c r="I90" t="s">
        <v>12</v>
      </c>
      <c r="J90" t="s">
        <v>38</v>
      </c>
      <c r="K90" t="s">
        <v>14</v>
      </c>
      <c r="L90">
        <f t="shared" ca="1" si="14"/>
        <v>24248</v>
      </c>
      <c r="M90">
        <v>7</v>
      </c>
      <c r="N90">
        <f t="shared" si="15"/>
        <v>1.03</v>
      </c>
      <c r="O90" s="69">
        <f t="shared" si="17"/>
        <v>516361.27890000003</v>
      </c>
      <c r="P90" s="69">
        <f t="shared" si="18"/>
        <v>488878.89890000003</v>
      </c>
      <c r="Q90" s="71">
        <f t="shared" si="16"/>
        <v>488878.89890000003</v>
      </c>
      <c r="R90">
        <f t="shared" si="19"/>
        <v>1</v>
      </c>
      <c r="S90">
        <f t="shared" si="20"/>
        <v>2023</v>
      </c>
    </row>
    <row r="91" spans="1:19" x14ac:dyDescent="0.3">
      <c r="A91" t="s">
        <v>136</v>
      </c>
      <c r="B91" s="1">
        <v>44419</v>
      </c>
      <c r="C91" t="s">
        <v>10</v>
      </c>
      <c r="D91" s="3">
        <v>573849.48</v>
      </c>
      <c r="E91" t="s">
        <v>11</v>
      </c>
      <c r="F91" s="69">
        <f t="shared" si="13"/>
        <v>606697.05999999994</v>
      </c>
      <c r="G91" s="74">
        <v>5000000</v>
      </c>
      <c r="H91" s="3">
        <v>32847.58</v>
      </c>
      <c r="I91" t="s">
        <v>17</v>
      </c>
      <c r="J91" t="s">
        <v>29</v>
      </c>
      <c r="K91" t="s">
        <v>39</v>
      </c>
      <c r="L91">
        <f t="shared" ca="1" si="14"/>
        <v>37687</v>
      </c>
      <c r="M91">
        <v>4</v>
      </c>
      <c r="N91">
        <f t="shared" si="15"/>
        <v>1.071612</v>
      </c>
      <c r="O91" s="69">
        <f t="shared" si="17"/>
        <v>650143.84986071999</v>
      </c>
      <c r="P91" s="69">
        <f t="shared" si="18"/>
        <v>617296.26986072003</v>
      </c>
      <c r="Q91" s="71">
        <f t="shared" si="16"/>
        <v>617296.26986072003</v>
      </c>
      <c r="R91">
        <f t="shared" si="19"/>
        <v>1</v>
      </c>
      <c r="S91">
        <f t="shared" si="20"/>
        <v>2021</v>
      </c>
    </row>
    <row r="92" spans="1:19" x14ac:dyDescent="0.3">
      <c r="A92" t="s">
        <v>137</v>
      </c>
      <c r="B92" s="1">
        <v>44186</v>
      </c>
      <c r="C92" t="s">
        <v>21</v>
      </c>
      <c r="D92" s="3">
        <v>683849.75</v>
      </c>
      <c r="E92" t="s">
        <v>11</v>
      </c>
      <c r="F92" s="69">
        <f t="shared" si="13"/>
        <v>721798.13</v>
      </c>
      <c r="G92" s="74">
        <v>5000000</v>
      </c>
      <c r="H92" s="3">
        <v>37948.379999999997</v>
      </c>
      <c r="I92" t="s">
        <v>22</v>
      </c>
      <c r="J92" t="s">
        <v>13</v>
      </c>
      <c r="K92" t="s">
        <v>36</v>
      </c>
      <c r="L92">
        <f t="shared" ca="1" si="14"/>
        <v>73837</v>
      </c>
      <c r="M92">
        <v>5</v>
      </c>
      <c r="N92">
        <f t="shared" si="15"/>
        <v>1.1037603600000001</v>
      </c>
      <c r="O92" s="69">
        <f t="shared" si="17"/>
        <v>796692.16381612688</v>
      </c>
      <c r="P92" s="69">
        <f t="shared" si="18"/>
        <v>758743.78381612687</v>
      </c>
      <c r="Q92" s="71">
        <f t="shared" si="16"/>
        <v>758743.78381612687</v>
      </c>
      <c r="R92">
        <f t="shared" si="19"/>
        <v>1</v>
      </c>
      <c r="S92">
        <f t="shared" si="20"/>
        <v>2020</v>
      </c>
    </row>
    <row r="93" spans="1:19" x14ac:dyDescent="0.3">
      <c r="A93" t="s">
        <v>138</v>
      </c>
      <c r="B93" s="1">
        <v>44704</v>
      </c>
      <c r="C93" t="s">
        <v>26</v>
      </c>
      <c r="D93" s="3">
        <v>739849.45</v>
      </c>
      <c r="E93" t="s">
        <v>27</v>
      </c>
      <c r="F93" s="69">
        <f t="shared" si="13"/>
        <v>778796.89999999991</v>
      </c>
      <c r="G93" s="74">
        <v>5000000</v>
      </c>
      <c r="H93" s="3">
        <v>38947.449999999997</v>
      </c>
      <c r="I93" t="s">
        <v>28</v>
      </c>
      <c r="J93" t="s">
        <v>23</v>
      </c>
      <c r="K93" t="s">
        <v>30</v>
      </c>
      <c r="L93">
        <f t="shared" ca="1" si="14"/>
        <v>73127</v>
      </c>
      <c r="M93">
        <v>6</v>
      </c>
      <c r="N93">
        <f t="shared" si="15"/>
        <v>1.0506</v>
      </c>
      <c r="O93" s="69">
        <f t="shared" si="17"/>
        <v>818204.02313999983</v>
      </c>
      <c r="P93" s="69">
        <f t="shared" si="18"/>
        <v>779256.57313999988</v>
      </c>
      <c r="Q93" s="71">
        <f t="shared" si="16"/>
        <v>779256.57313999988</v>
      </c>
      <c r="R93">
        <f t="shared" si="19"/>
        <v>1</v>
      </c>
      <c r="S93">
        <f t="shared" si="20"/>
        <v>2022</v>
      </c>
    </row>
    <row r="94" spans="1:19" x14ac:dyDescent="0.3">
      <c r="A94" t="s">
        <v>139</v>
      </c>
      <c r="B94" s="1">
        <v>43726</v>
      </c>
      <c r="C94" t="s">
        <v>16</v>
      </c>
      <c r="D94" s="3">
        <v>573839.54</v>
      </c>
      <c r="E94" t="s">
        <v>11</v>
      </c>
      <c r="F94" s="69">
        <f t="shared" si="13"/>
        <v>601678.92000000004</v>
      </c>
      <c r="G94" s="74">
        <v>5000000</v>
      </c>
      <c r="H94" s="3">
        <v>27839.38</v>
      </c>
      <c r="I94" t="s">
        <v>17</v>
      </c>
      <c r="J94" t="s">
        <v>18</v>
      </c>
      <c r="K94" t="s">
        <v>55</v>
      </c>
      <c r="L94">
        <f t="shared" ca="1" si="14"/>
        <v>56719</v>
      </c>
      <c r="M94">
        <v>3</v>
      </c>
      <c r="N94">
        <f t="shared" si="15"/>
        <v>1.1479107743999999</v>
      </c>
      <c r="O94" s="69">
        <f t="shared" si="17"/>
        <v>690673.71499735559</v>
      </c>
      <c r="P94" s="69">
        <f t="shared" si="18"/>
        <v>662834.33499735559</v>
      </c>
      <c r="Q94" s="71">
        <f t="shared" si="16"/>
        <v>662834.33499735559</v>
      </c>
      <c r="R94">
        <f t="shared" si="19"/>
        <v>1</v>
      </c>
      <c r="S94">
        <f t="shared" si="20"/>
        <v>2019</v>
      </c>
    </row>
    <row r="95" spans="1:19" x14ac:dyDescent="0.3">
      <c r="A95" t="s">
        <v>140</v>
      </c>
      <c r="B95" s="1">
        <v>45109</v>
      </c>
      <c r="C95" t="s">
        <v>32</v>
      </c>
      <c r="D95" s="3">
        <v>572839.44999999995</v>
      </c>
      <c r="E95" t="s">
        <v>11</v>
      </c>
      <c r="F95" s="69">
        <f t="shared" si="13"/>
        <v>605786.89999999991</v>
      </c>
      <c r="G95" s="74">
        <v>5000000</v>
      </c>
      <c r="H95" s="3">
        <v>32947.449999999997</v>
      </c>
      <c r="I95" t="s">
        <v>12</v>
      </c>
      <c r="J95" t="s">
        <v>38</v>
      </c>
      <c r="K95" t="s">
        <v>59</v>
      </c>
      <c r="L95">
        <f t="shared" ca="1" si="14"/>
        <v>5754</v>
      </c>
      <c r="M95">
        <v>4</v>
      </c>
      <c r="N95">
        <f t="shared" si="15"/>
        <v>1.03</v>
      </c>
      <c r="O95" s="69">
        <f t="shared" si="17"/>
        <v>623960.50699999987</v>
      </c>
      <c r="P95" s="69">
        <f t="shared" si="18"/>
        <v>591013.05699999991</v>
      </c>
      <c r="Q95" s="71">
        <f t="shared" si="16"/>
        <v>591013.05699999991</v>
      </c>
      <c r="R95">
        <f t="shared" si="19"/>
        <v>1</v>
      </c>
      <c r="S95">
        <f t="shared" si="20"/>
        <v>2023</v>
      </c>
    </row>
    <row r="96" spans="1:19" x14ac:dyDescent="0.3">
      <c r="A96" t="s">
        <v>141</v>
      </c>
      <c r="B96" s="1">
        <v>44281</v>
      </c>
      <c r="C96" t="s">
        <v>10</v>
      </c>
      <c r="D96" s="3">
        <v>793849.23</v>
      </c>
      <c r="E96" t="s">
        <v>27</v>
      </c>
      <c r="F96" s="69">
        <f t="shared" si="13"/>
        <v>823331.71</v>
      </c>
      <c r="G96" s="74">
        <v>5000000</v>
      </c>
      <c r="H96" s="3">
        <v>29482.48</v>
      </c>
      <c r="I96" t="s">
        <v>17</v>
      </c>
      <c r="J96" t="s">
        <v>29</v>
      </c>
      <c r="K96" t="s">
        <v>65</v>
      </c>
      <c r="L96">
        <f t="shared" ca="1" si="14"/>
        <v>78242</v>
      </c>
      <c r="M96">
        <v>3</v>
      </c>
      <c r="N96">
        <f t="shared" si="15"/>
        <v>1.071612</v>
      </c>
      <c r="O96" s="69">
        <f t="shared" si="17"/>
        <v>882292.14041651995</v>
      </c>
      <c r="P96" s="69">
        <f t="shared" si="18"/>
        <v>852809.66041651997</v>
      </c>
      <c r="Q96" s="71">
        <f t="shared" si="16"/>
        <v>852809.66041651997</v>
      </c>
      <c r="R96">
        <f t="shared" si="19"/>
        <v>1</v>
      </c>
      <c r="S96">
        <f t="shared" si="20"/>
        <v>2021</v>
      </c>
    </row>
    <row r="97" spans="1:19" x14ac:dyDescent="0.3">
      <c r="A97" t="s">
        <v>142</v>
      </c>
      <c r="B97" s="1">
        <v>43890</v>
      </c>
      <c r="C97" t="s">
        <v>21</v>
      </c>
      <c r="D97" s="3">
        <v>573849.48</v>
      </c>
      <c r="E97" t="s">
        <v>11</v>
      </c>
      <c r="F97" s="69">
        <f t="shared" si="13"/>
        <v>606697.05999999994</v>
      </c>
      <c r="G97" s="74">
        <v>5000000</v>
      </c>
      <c r="H97" s="3">
        <v>32847.58</v>
      </c>
      <c r="I97" t="s">
        <v>22</v>
      </c>
      <c r="J97" t="s">
        <v>13</v>
      </c>
      <c r="K97" t="s">
        <v>47</v>
      </c>
      <c r="L97">
        <f t="shared" ca="1" si="14"/>
        <v>63846</v>
      </c>
      <c r="M97">
        <v>6</v>
      </c>
      <c r="N97">
        <f t="shared" si="15"/>
        <v>1.1037603600000001</v>
      </c>
      <c r="O97" s="69">
        <f t="shared" si="17"/>
        <v>669648.16535654163</v>
      </c>
      <c r="P97" s="69">
        <f t="shared" si="18"/>
        <v>636800.58535654168</v>
      </c>
      <c r="Q97" s="71">
        <f t="shared" si="16"/>
        <v>636800.58535654168</v>
      </c>
      <c r="R97">
        <f t="shared" si="19"/>
        <v>1</v>
      </c>
      <c r="S97">
        <f t="shared" si="20"/>
        <v>2020</v>
      </c>
    </row>
    <row r="98" spans="1:19" x14ac:dyDescent="0.3">
      <c r="A98" t="s">
        <v>143</v>
      </c>
      <c r="B98" s="1">
        <v>43481</v>
      </c>
      <c r="C98" t="s">
        <v>26</v>
      </c>
      <c r="D98" s="3">
        <v>572839.44999999995</v>
      </c>
      <c r="E98" t="s">
        <v>11</v>
      </c>
      <c r="F98" s="69">
        <f t="shared" si="13"/>
        <v>605786.89999999991</v>
      </c>
      <c r="G98" s="74">
        <v>5000000</v>
      </c>
      <c r="H98" s="3">
        <v>32947.449999999997</v>
      </c>
      <c r="I98" t="s">
        <v>28</v>
      </c>
      <c r="J98" t="s">
        <v>18</v>
      </c>
      <c r="K98" t="s">
        <v>34</v>
      </c>
      <c r="L98">
        <f t="shared" ca="1" si="14"/>
        <v>102191</v>
      </c>
      <c r="M98">
        <v>5</v>
      </c>
      <c r="N98">
        <f t="shared" si="15"/>
        <v>1.1479107743999999</v>
      </c>
      <c r="O98" s="69">
        <f t="shared" si="17"/>
        <v>695389.30950037518</v>
      </c>
      <c r="P98" s="69">
        <f t="shared" si="18"/>
        <v>662441.85950037523</v>
      </c>
      <c r="Q98" s="71">
        <f>MIN(P98,G98)</f>
        <v>662441.85950037523</v>
      </c>
      <c r="R98">
        <f t="shared" si="19"/>
        <v>1</v>
      </c>
      <c r="S98">
        <f t="shared" si="20"/>
        <v>2019</v>
      </c>
    </row>
    <row r="99" spans="1:19" x14ac:dyDescent="0.3">
      <c r="A99" t="s">
        <v>144</v>
      </c>
      <c r="B99" s="1">
        <v>44665</v>
      </c>
      <c r="C99" t="s">
        <v>16</v>
      </c>
      <c r="D99" s="3">
        <v>573839.54</v>
      </c>
      <c r="E99" t="s">
        <v>27</v>
      </c>
      <c r="F99" s="69">
        <f t="shared" si="13"/>
        <v>601678.92000000004</v>
      </c>
      <c r="G99" s="74">
        <v>5000000</v>
      </c>
      <c r="H99" s="3">
        <v>27839.38</v>
      </c>
      <c r="I99" t="s">
        <v>17</v>
      </c>
      <c r="J99" t="s">
        <v>23</v>
      </c>
      <c r="K99" t="s">
        <v>43</v>
      </c>
      <c r="L99">
        <f t="shared" ca="1" si="14"/>
        <v>26537</v>
      </c>
      <c r="M99">
        <v>3</v>
      </c>
      <c r="N99">
        <f t="shared" si="15"/>
        <v>1.0506</v>
      </c>
      <c r="O99" s="69">
        <f t="shared" si="17"/>
        <v>632123.87335200002</v>
      </c>
      <c r="P99" s="69">
        <f t="shared" si="18"/>
        <v>604284.49335200002</v>
      </c>
      <c r="Q99" s="71">
        <f>MIN(P99,G99)</f>
        <v>604284.49335200002</v>
      </c>
      <c r="R99">
        <f t="shared" si="19"/>
        <v>1</v>
      </c>
      <c r="S99">
        <f t="shared" si="20"/>
        <v>2022</v>
      </c>
    </row>
    <row r="100" spans="1:19" x14ac:dyDescent="0.3">
      <c r="A100" t="s">
        <v>145</v>
      </c>
      <c r="B100" s="1">
        <v>45139</v>
      </c>
      <c r="C100" t="s">
        <v>32</v>
      </c>
      <c r="D100" s="3">
        <v>473839.25</v>
      </c>
      <c r="E100" t="s">
        <v>11</v>
      </c>
      <c r="F100" s="69">
        <f t="shared" si="13"/>
        <v>501321.63</v>
      </c>
      <c r="G100" s="74">
        <v>2000000</v>
      </c>
      <c r="H100" s="3">
        <v>27482.38</v>
      </c>
      <c r="I100" t="s">
        <v>12</v>
      </c>
      <c r="J100" t="s">
        <v>29</v>
      </c>
      <c r="K100" t="s">
        <v>53</v>
      </c>
      <c r="L100">
        <f t="shared" ca="1" si="14"/>
        <v>50470</v>
      </c>
      <c r="M100">
        <v>4</v>
      </c>
      <c r="N100">
        <f t="shared" si="15"/>
        <v>1.03</v>
      </c>
      <c r="O100" s="69">
        <f t="shared" si="17"/>
        <v>516361.27890000003</v>
      </c>
      <c r="P100" s="69">
        <f t="shared" si="18"/>
        <v>488878.89890000003</v>
      </c>
      <c r="Q100" s="71">
        <f>MIN(P100,G100)</f>
        <v>488878.89890000003</v>
      </c>
      <c r="R100">
        <f t="shared" si="19"/>
        <v>1</v>
      </c>
      <c r="S100">
        <f t="shared" si="20"/>
        <v>2023</v>
      </c>
    </row>
    <row r="101" spans="1:19" x14ac:dyDescent="0.3">
      <c r="A101" t="s">
        <v>146</v>
      </c>
      <c r="B101" s="1">
        <v>44922</v>
      </c>
      <c r="C101" t="s">
        <v>26</v>
      </c>
      <c r="D101" s="3">
        <v>5000000</v>
      </c>
      <c r="E101" t="s">
        <v>33</v>
      </c>
      <c r="F101" s="69">
        <f t="shared" si="13"/>
        <v>5018723.79</v>
      </c>
      <c r="G101" s="74">
        <v>10000000</v>
      </c>
      <c r="H101" s="3">
        <v>18723.79</v>
      </c>
      <c r="I101" t="s">
        <v>28</v>
      </c>
      <c r="J101" t="s">
        <v>18</v>
      </c>
      <c r="K101" t="s">
        <v>59</v>
      </c>
      <c r="L101">
        <f t="shared" ca="1" si="14"/>
        <v>117483</v>
      </c>
      <c r="M101">
        <v>9</v>
      </c>
      <c r="N101">
        <f t="shared" si="15"/>
        <v>1.0506</v>
      </c>
      <c r="O101" s="69">
        <f t="shared" si="17"/>
        <v>5272671.2137740003</v>
      </c>
      <c r="P101" s="69">
        <f t="shared" si="18"/>
        <v>5253947.4237740003</v>
      </c>
      <c r="Q101" s="71">
        <f>MIN(P101,G101)</f>
        <v>5253947.4237740003</v>
      </c>
      <c r="R101">
        <f t="shared" si="19"/>
        <v>0</v>
      </c>
      <c r="S101">
        <f t="shared" si="20"/>
        <v>2022</v>
      </c>
    </row>
  </sheetData>
  <autoFilter ref="A1:S101" xr:uid="{7354DF57-728B-AA4E-9CFF-ED2615DD969F}"/>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CCF93-2201-400A-93A7-D322722D746B}">
  <dimension ref="B4:R85"/>
  <sheetViews>
    <sheetView zoomScale="60" zoomScaleNormal="60" workbookViewId="0">
      <selection activeCell="L33" sqref="L33"/>
    </sheetView>
  </sheetViews>
  <sheetFormatPr defaultColWidth="10.69921875" defaultRowHeight="15.6" x14ac:dyDescent="0.3"/>
  <cols>
    <col min="3" max="3" width="41.19921875" bestFit="1" customWidth="1"/>
    <col min="4" max="9" width="25.5" customWidth="1"/>
    <col min="10" max="10" width="20.296875" bestFit="1" customWidth="1"/>
    <col min="11" max="11" width="23.5" bestFit="1" customWidth="1"/>
    <col min="12" max="12" width="41.19921875" bestFit="1" customWidth="1"/>
    <col min="13" max="18" width="20.5" customWidth="1"/>
    <col min="19" max="19" width="13.19921875" bestFit="1" customWidth="1"/>
    <col min="20" max="20" width="12" bestFit="1" customWidth="1"/>
    <col min="21" max="21" width="16.796875" bestFit="1" customWidth="1"/>
    <col min="22" max="22" width="9.19921875" bestFit="1" customWidth="1"/>
    <col min="23" max="23" width="12.19921875" bestFit="1" customWidth="1"/>
    <col min="24" max="24" width="16.296875" bestFit="1" customWidth="1"/>
    <col min="25" max="25" width="16" bestFit="1" customWidth="1"/>
    <col min="26" max="26" width="12" bestFit="1" customWidth="1"/>
    <col min="27" max="27" width="16.796875" bestFit="1" customWidth="1"/>
    <col min="28" max="28" width="9.19921875" bestFit="1" customWidth="1"/>
    <col min="29" max="29" width="12.19921875" bestFit="1" customWidth="1"/>
    <col min="30" max="30" width="19.296875" bestFit="1" customWidth="1"/>
    <col min="31" max="31" width="16.69921875" bestFit="1" customWidth="1"/>
    <col min="32" max="32" width="12" bestFit="1" customWidth="1"/>
    <col min="33" max="33" width="16.796875" bestFit="1" customWidth="1"/>
    <col min="34" max="34" width="9.19921875" bestFit="1" customWidth="1"/>
    <col min="35" max="35" width="12.19921875" bestFit="1" customWidth="1"/>
    <col min="36" max="36" width="20" bestFit="1" customWidth="1"/>
    <col min="37" max="37" width="10.69921875" bestFit="1" customWidth="1"/>
    <col min="38" max="38" width="12.296875" bestFit="1" customWidth="1"/>
    <col min="39" max="39" width="15" bestFit="1" customWidth="1"/>
    <col min="40" max="40" width="12.296875" bestFit="1" customWidth="1"/>
    <col min="41" max="41" width="15" bestFit="1" customWidth="1"/>
    <col min="42" max="42" width="12.296875" bestFit="1" customWidth="1"/>
    <col min="43" max="43" width="15" bestFit="1" customWidth="1"/>
    <col min="44" max="44" width="12.296875" bestFit="1" customWidth="1"/>
    <col min="45" max="45" width="15" bestFit="1" customWidth="1"/>
    <col min="46" max="46" width="12.296875" bestFit="1" customWidth="1"/>
    <col min="47" max="47" width="15" bestFit="1" customWidth="1"/>
    <col min="48" max="48" width="12.296875" bestFit="1" customWidth="1"/>
    <col min="49" max="49" width="15" bestFit="1" customWidth="1"/>
    <col min="50" max="50" width="12.296875" bestFit="1" customWidth="1"/>
    <col min="51" max="51" width="15" bestFit="1" customWidth="1"/>
    <col min="52" max="52" width="12.296875" bestFit="1" customWidth="1"/>
    <col min="53" max="53" width="15" bestFit="1" customWidth="1"/>
    <col min="54" max="54" width="12.296875" bestFit="1" customWidth="1"/>
    <col min="55" max="55" width="15" bestFit="1" customWidth="1"/>
    <col min="56" max="56" width="12.296875" bestFit="1" customWidth="1"/>
    <col min="57" max="57" width="15" bestFit="1" customWidth="1"/>
    <col min="58" max="58" width="12.296875" bestFit="1" customWidth="1"/>
    <col min="59" max="59" width="15" bestFit="1" customWidth="1"/>
    <col min="60" max="60" width="12.296875" bestFit="1" customWidth="1"/>
    <col min="61" max="61" width="15" bestFit="1" customWidth="1"/>
    <col min="62" max="62" width="12.296875" bestFit="1" customWidth="1"/>
    <col min="63" max="63" width="15" bestFit="1" customWidth="1"/>
    <col min="64" max="64" width="12.296875" bestFit="1" customWidth="1"/>
    <col min="65" max="65" width="15" bestFit="1" customWidth="1"/>
    <col min="66" max="66" width="12.296875" bestFit="1" customWidth="1"/>
    <col min="67" max="67" width="15" bestFit="1" customWidth="1"/>
    <col min="68" max="68" width="12.296875" bestFit="1" customWidth="1"/>
    <col min="69" max="69" width="15" bestFit="1" customWidth="1"/>
    <col min="70" max="70" width="12.296875" bestFit="1" customWidth="1"/>
    <col min="71" max="71" width="15" bestFit="1" customWidth="1"/>
    <col min="72" max="72" width="12.296875" bestFit="1" customWidth="1"/>
    <col min="73" max="73" width="15" bestFit="1" customWidth="1"/>
    <col min="74" max="74" width="12.296875" bestFit="1" customWidth="1"/>
    <col min="75" max="75" width="15" bestFit="1" customWidth="1"/>
    <col min="76" max="76" width="12.296875" bestFit="1" customWidth="1"/>
    <col min="77" max="77" width="15" bestFit="1" customWidth="1"/>
    <col min="78" max="78" width="12.296875" bestFit="1" customWidth="1"/>
    <col min="79" max="79" width="15" bestFit="1" customWidth="1"/>
    <col min="80" max="80" width="12.296875" bestFit="1" customWidth="1"/>
    <col min="81" max="81" width="15" bestFit="1" customWidth="1"/>
    <col min="82" max="82" width="12.296875" bestFit="1" customWidth="1"/>
    <col min="83" max="83" width="15" bestFit="1" customWidth="1"/>
    <col min="84" max="84" width="12.296875" bestFit="1" customWidth="1"/>
    <col min="85" max="85" width="15" bestFit="1" customWidth="1"/>
    <col min="86" max="86" width="12.296875" bestFit="1" customWidth="1"/>
    <col min="87" max="87" width="15" bestFit="1" customWidth="1"/>
    <col min="88" max="88" width="12.296875" bestFit="1" customWidth="1"/>
    <col min="89" max="89" width="15" bestFit="1" customWidth="1"/>
    <col min="90" max="90" width="12.296875" bestFit="1" customWidth="1"/>
    <col min="91" max="91" width="15" bestFit="1" customWidth="1"/>
    <col min="92" max="92" width="12.296875" bestFit="1" customWidth="1"/>
    <col min="93" max="93" width="15" bestFit="1" customWidth="1"/>
    <col min="94" max="94" width="12.296875" bestFit="1" customWidth="1"/>
    <col min="95" max="95" width="15" bestFit="1" customWidth="1"/>
    <col min="96" max="96" width="12.296875" bestFit="1" customWidth="1"/>
    <col min="97" max="97" width="15" bestFit="1" customWidth="1"/>
    <col min="98" max="98" width="12.296875" bestFit="1" customWidth="1"/>
    <col min="99" max="99" width="15" bestFit="1" customWidth="1"/>
    <col min="100" max="100" width="12.296875" bestFit="1" customWidth="1"/>
    <col min="101" max="101" width="15" bestFit="1" customWidth="1"/>
    <col min="102" max="102" width="12.296875" bestFit="1" customWidth="1"/>
    <col min="103" max="103" width="15" bestFit="1" customWidth="1"/>
    <col min="104" max="104" width="12.296875" bestFit="1" customWidth="1"/>
    <col min="105" max="105" width="15" bestFit="1" customWidth="1"/>
    <col min="106" max="106" width="12.296875" bestFit="1" customWidth="1"/>
    <col min="107" max="107" width="15" bestFit="1" customWidth="1"/>
    <col min="108" max="108" width="12.296875" bestFit="1" customWidth="1"/>
    <col min="109" max="109" width="15" bestFit="1" customWidth="1"/>
    <col min="110" max="110" width="12.296875" bestFit="1" customWidth="1"/>
    <col min="111" max="111" width="15" bestFit="1" customWidth="1"/>
    <col min="112" max="112" width="12.296875" bestFit="1" customWidth="1"/>
    <col min="113" max="113" width="15" bestFit="1" customWidth="1"/>
    <col min="114" max="114" width="12.296875" bestFit="1" customWidth="1"/>
    <col min="115" max="115" width="15" bestFit="1" customWidth="1"/>
    <col min="116" max="116" width="12.296875" bestFit="1" customWidth="1"/>
    <col min="117" max="117" width="15" bestFit="1" customWidth="1"/>
    <col min="118" max="118" width="12.296875" bestFit="1" customWidth="1"/>
    <col min="119" max="119" width="15" bestFit="1" customWidth="1"/>
    <col min="120" max="120" width="12.296875" bestFit="1" customWidth="1"/>
    <col min="121" max="121" width="15" bestFit="1" customWidth="1"/>
    <col min="122" max="122" width="12.296875" bestFit="1" customWidth="1"/>
    <col min="123" max="123" width="15" bestFit="1" customWidth="1"/>
    <col min="124" max="124" width="12.296875" bestFit="1" customWidth="1"/>
    <col min="125" max="125" width="15" bestFit="1" customWidth="1"/>
    <col min="126" max="126" width="12.296875" bestFit="1" customWidth="1"/>
    <col min="127" max="127" width="15" bestFit="1" customWidth="1"/>
    <col min="128" max="128" width="12.296875" bestFit="1" customWidth="1"/>
    <col min="129" max="129" width="15" bestFit="1" customWidth="1"/>
    <col min="130" max="130" width="12.296875" bestFit="1" customWidth="1"/>
    <col min="131" max="131" width="15" bestFit="1" customWidth="1"/>
    <col min="132" max="132" width="12.296875" bestFit="1" customWidth="1"/>
    <col min="133" max="133" width="15" bestFit="1" customWidth="1"/>
    <col min="134" max="134" width="12.296875" bestFit="1" customWidth="1"/>
    <col min="135" max="135" width="15" bestFit="1" customWidth="1"/>
    <col min="136" max="136" width="12.296875" bestFit="1" customWidth="1"/>
    <col min="137" max="137" width="15" bestFit="1" customWidth="1"/>
    <col min="138" max="138" width="12.296875" bestFit="1" customWidth="1"/>
    <col min="139" max="139" width="15" bestFit="1" customWidth="1"/>
    <col min="140" max="140" width="12.296875" bestFit="1" customWidth="1"/>
    <col min="141" max="141" width="15" bestFit="1" customWidth="1"/>
    <col min="142" max="142" width="12.296875" bestFit="1" customWidth="1"/>
    <col min="143" max="143" width="15" bestFit="1" customWidth="1"/>
    <col min="144" max="144" width="12.296875" bestFit="1" customWidth="1"/>
    <col min="145" max="145" width="15" bestFit="1" customWidth="1"/>
    <col min="146" max="146" width="12.296875" bestFit="1" customWidth="1"/>
    <col min="147" max="147" width="15" bestFit="1" customWidth="1"/>
    <col min="148" max="148" width="12.296875" bestFit="1" customWidth="1"/>
    <col min="149" max="149" width="15" bestFit="1" customWidth="1"/>
    <col min="150" max="150" width="12.296875" bestFit="1" customWidth="1"/>
    <col min="151" max="151" width="15" bestFit="1" customWidth="1"/>
    <col min="152" max="152" width="12.296875" bestFit="1" customWidth="1"/>
    <col min="153" max="153" width="15" bestFit="1" customWidth="1"/>
    <col min="154" max="154" width="12.296875" bestFit="1" customWidth="1"/>
    <col min="155" max="155" width="15" bestFit="1" customWidth="1"/>
    <col min="156" max="156" width="12.296875" bestFit="1" customWidth="1"/>
    <col min="157" max="157" width="15" bestFit="1" customWidth="1"/>
    <col min="158" max="158" width="12.296875" bestFit="1" customWidth="1"/>
    <col min="159" max="159" width="15" bestFit="1" customWidth="1"/>
    <col min="160" max="160" width="12.296875" bestFit="1" customWidth="1"/>
    <col min="161" max="161" width="15" bestFit="1" customWidth="1"/>
    <col min="162" max="162" width="12.296875" bestFit="1" customWidth="1"/>
    <col min="163" max="163" width="15" bestFit="1" customWidth="1"/>
    <col min="164" max="164" width="12.296875" bestFit="1" customWidth="1"/>
    <col min="165" max="165" width="15" bestFit="1" customWidth="1"/>
    <col min="166" max="166" width="12.296875" bestFit="1" customWidth="1"/>
    <col min="167" max="167" width="15" bestFit="1" customWidth="1"/>
    <col min="168" max="168" width="12.296875" bestFit="1" customWidth="1"/>
    <col min="169" max="169" width="15" bestFit="1" customWidth="1"/>
    <col min="170" max="170" width="12.296875" bestFit="1" customWidth="1"/>
    <col min="171" max="171" width="15" bestFit="1" customWidth="1"/>
    <col min="172" max="172" width="12.296875" bestFit="1" customWidth="1"/>
    <col min="173" max="173" width="15" bestFit="1" customWidth="1"/>
    <col min="174" max="174" width="12.296875" bestFit="1" customWidth="1"/>
    <col min="175" max="175" width="15" bestFit="1" customWidth="1"/>
    <col min="176" max="176" width="12.296875" bestFit="1" customWidth="1"/>
    <col min="177" max="177" width="15" bestFit="1" customWidth="1"/>
    <col min="178" max="178" width="8.69921875" bestFit="1" customWidth="1"/>
    <col min="179" max="179" width="11.296875" bestFit="1" customWidth="1"/>
    <col min="180" max="180" width="10.5" bestFit="1" customWidth="1"/>
  </cols>
  <sheetData>
    <row r="4" spans="2:18" x14ac:dyDescent="0.3">
      <c r="B4" s="28"/>
      <c r="C4" s="29" t="s">
        <v>193</v>
      </c>
      <c r="D4" s="28"/>
      <c r="F4" s="26" t="s">
        <v>164</v>
      </c>
      <c r="L4" s="24" t="s">
        <v>205</v>
      </c>
    </row>
    <row r="5" spans="2:18" x14ac:dyDescent="0.3">
      <c r="B5" s="28">
        <v>1</v>
      </c>
      <c r="C5" s="28" t="s">
        <v>194</v>
      </c>
      <c r="D5" s="28"/>
      <c r="F5" s="26"/>
      <c r="L5" s="7" t="s">
        <v>179</v>
      </c>
      <c r="M5" s="7" t="s">
        <v>162</v>
      </c>
    </row>
    <row r="6" spans="2:18" x14ac:dyDescent="0.3">
      <c r="B6" s="28">
        <v>2</v>
      </c>
      <c r="C6" s="28" t="s">
        <v>195</v>
      </c>
      <c r="D6" s="28"/>
      <c r="F6" s="7" t="s">
        <v>154</v>
      </c>
      <c r="G6" t="s">
        <v>197</v>
      </c>
      <c r="H6" t="s">
        <v>165</v>
      </c>
      <c r="I6" s="27" t="s">
        <v>166</v>
      </c>
      <c r="L6" s="7" t="s">
        <v>154</v>
      </c>
      <c r="M6" t="s">
        <v>18</v>
      </c>
      <c r="N6" t="s">
        <v>13</v>
      </c>
      <c r="O6" t="s">
        <v>23</v>
      </c>
      <c r="P6" t="s">
        <v>38</v>
      </c>
      <c r="Q6" t="s">
        <v>29</v>
      </c>
      <c r="R6" t="s">
        <v>155</v>
      </c>
    </row>
    <row r="7" spans="2:18" x14ac:dyDescent="0.3">
      <c r="B7" s="28">
        <v>3</v>
      </c>
      <c r="C7" s="28" t="s">
        <v>196</v>
      </c>
      <c r="D7" s="28"/>
      <c r="F7" s="8" t="s">
        <v>156</v>
      </c>
      <c r="G7" s="32">
        <v>6691732.0322055668</v>
      </c>
      <c r="H7">
        <v>10</v>
      </c>
      <c r="I7" s="33">
        <f>GETPIVOTDATA("Sum of Gross inflation adjusted claim",$F$6,"Years (Date of Claim)",2018)/GETPIVOTDATA("Count of Date of Claim",$F$6,"Years (Date of Claim)",2018)</f>
        <v>669173.20322055672</v>
      </c>
      <c r="L7" s="8">
        <v>2018</v>
      </c>
      <c r="M7" s="31">
        <v>2142028.3530630278</v>
      </c>
      <c r="N7" s="31">
        <v>345659.15481496957</v>
      </c>
      <c r="O7" s="31">
        <v>2038650.0930922804</v>
      </c>
      <c r="P7" s="31">
        <v>1901893.9615339828</v>
      </c>
      <c r="Q7" s="31"/>
      <c r="R7" s="31">
        <v>6428231.5625042599</v>
      </c>
    </row>
    <row r="8" spans="2:18" x14ac:dyDescent="0.3">
      <c r="F8" s="8" t="s">
        <v>157</v>
      </c>
      <c r="G8" s="32">
        <v>10876480.98938781</v>
      </c>
      <c r="H8">
        <v>17</v>
      </c>
      <c r="I8" s="33">
        <f>GETPIVOTDATA("Sum of Gross inflation adjusted claim",$F$6,"Years (Date of Claim)",2019)/GETPIVOTDATA("Count of Date of Claim",$F$6,"Years (Date of Claim)",2019)</f>
        <v>639792.99937575357</v>
      </c>
      <c r="L8" s="8">
        <v>2019</v>
      </c>
      <c r="M8" s="31">
        <v>3078681.2639513393</v>
      </c>
      <c r="N8" s="31">
        <v>2703365.8435605606</v>
      </c>
      <c r="O8" s="31">
        <v>1402178.8199408767</v>
      </c>
      <c r="P8" s="31">
        <v>1623374.4714843191</v>
      </c>
      <c r="Q8" s="31">
        <v>1557588.512059862</v>
      </c>
      <c r="R8" s="31">
        <v>10365188.910996957</v>
      </c>
    </row>
    <row r="9" spans="2:18" x14ac:dyDescent="0.3">
      <c r="C9" s="2" t="s">
        <v>203</v>
      </c>
      <c r="F9" s="8" t="s">
        <v>158</v>
      </c>
      <c r="G9" s="32">
        <v>12733564.550101213</v>
      </c>
      <c r="H9">
        <v>20</v>
      </c>
      <c r="I9" s="33">
        <f>GETPIVOTDATA("Sum of Gross inflation adjusted claim",$F$6,"Years (Date of Claim)",2020)/GETPIVOTDATA("Count of Date of Claim",$F$6,"Years (Date of Claim)",2020)</f>
        <v>636678.22750506061</v>
      </c>
      <c r="L9" s="8">
        <v>2020</v>
      </c>
      <c r="M9" s="31">
        <v>2384580.542741511</v>
      </c>
      <c r="N9" s="31">
        <v>2791088.7383453371</v>
      </c>
      <c r="O9" s="31">
        <v>3983656.4300786904</v>
      </c>
      <c r="P9" s="31"/>
      <c r="Q9" s="31">
        <v>2913916.5089356764</v>
      </c>
      <c r="R9" s="31">
        <v>12073242.220101215</v>
      </c>
    </row>
    <row r="10" spans="2:18" x14ac:dyDescent="0.3">
      <c r="C10" s="6">
        <f>AVERAGE('Claims Data'!F:F)</f>
        <v>606718.30860000022</v>
      </c>
      <c r="F10" s="8" t="s">
        <v>159</v>
      </c>
      <c r="G10" s="32">
        <v>12524742.626050081</v>
      </c>
      <c r="H10">
        <v>20</v>
      </c>
      <c r="I10" s="33">
        <f>GETPIVOTDATA("Sum of Gross inflation adjusted claim",$F$6,"Years (Date of Claim)",2021)/GETPIVOTDATA("Count of Date of Claim",$F$6,"Years (Date of Claim)",2021)</f>
        <v>626237.1313025041</v>
      </c>
      <c r="L10" s="8">
        <v>2021</v>
      </c>
      <c r="M10" s="31">
        <v>3164451.8635344403</v>
      </c>
      <c r="N10" s="31">
        <v>1255557.55549184</v>
      </c>
      <c r="O10" s="31">
        <v>852809.66041651997</v>
      </c>
      <c r="P10" s="31">
        <v>1785612.8026580801</v>
      </c>
      <c r="Q10" s="31">
        <v>4907895.4539492009</v>
      </c>
      <c r="R10" s="31">
        <v>11966327.336050082</v>
      </c>
    </row>
    <row r="11" spans="2:18" x14ac:dyDescent="0.3">
      <c r="F11" s="8" t="s">
        <v>160</v>
      </c>
      <c r="G11" s="32">
        <v>15491738.622432001</v>
      </c>
      <c r="H11">
        <v>17</v>
      </c>
      <c r="I11" s="33">
        <f>GETPIVOTDATA("Sum of Gross inflation adjusted claim",$F$6,"Years (Date of Claim)",2022)/GETPIVOTDATA("Count of Date of Claim",$F$6,"Years (Date of Claim)",2022)</f>
        <v>911278.74249600002</v>
      </c>
      <c r="L11" s="8">
        <v>2022</v>
      </c>
      <c r="M11" s="31">
        <v>7283308.5898000002</v>
      </c>
      <c r="N11" s="31">
        <v>1673107.8809119998</v>
      </c>
      <c r="O11" s="31">
        <v>3625547.243702</v>
      </c>
      <c r="P11" s="31">
        <v>1703600.6296979999</v>
      </c>
      <c r="Q11" s="31">
        <v>720119.68831999996</v>
      </c>
      <c r="R11" s="31">
        <v>15005684.032432001</v>
      </c>
    </row>
    <row r="12" spans="2:18" x14ac:dyDescent="0.3">
      <c r="C12" s="2" t="s">
        <v>204</v>
      </c>
      <c r="F12" s="8" t="s">
        <v>161</v>
      </c>
      <c r="G12" s="32">
        <v>7905265.4191000005</v>
      </c>
      <c r="H12">
        <v>16</v>
      </c>
      <c r="I12" s="33">
        <f>GETPIVOTDATA("Sum of Gross inflation adjusted claim",$F$6,"Years (Date of Claim)",2023)/GETPIVOTDATA("Count of Date of Claim",$F$6,"Years (Date of Claim)",2023)</f>
        <v>494079.08869375003</v>
      </c>
      <c r="L12" s="8">
        <v>2023</v>
      </c>
      <c r="M12" s="31">
        <v>1459094.6686999998</v>
      </c>
      <c r="N12" s="31">
        <v>103097.06539999999</v>
      </c>
      <c r="O12" s="31">
        <v>816921.86390000011</v>
      </c>
      <c r="P12" s="31">
        <v>3629817.9286000002</v>
      </c>
      <c r="Q12" s="31">
        <v>1436945.8825000001</v>
      </c>
      <c r="R12" s="31">
        <v>7445877.4090999998</v>
      </c>
    </row>
    <row r="13" spans="2:18" x14ac:dyDescent="0.3">
      <c r="C13" s="6">
        <f>AVERAGE('Claims Data'!O:O)</f>
        <v>662235.24239276652</v>
      </c>
      <c r="F13" s="8" t="s">
        <v>155</v>
      </c>
      <c r="G13" s="32">
        <v>66223524.23927667</v>
      </c>
      <c r="H13">
        <v>100</v>
      </c>
      <c r="I13" s="34">
        <f>GETPIVOTDATA("Sum of Gross inflation adjusted claim",$F$6)/GETPIVOTDATA("Count of Date of Claim",$F$6)</f>
        <v>662235.24239276676</v>
      </c>
      <c r="L13" s="8" t="s">
        <v>155</v>
      </c>
      <c r="M13" s="31">
        <v>19512145.281790316</v>
      </c>
      <c r="N13" s="31">
        <v>8871876.2385247089</v>
      </c>
      <c r="O13" s="31">
        <v>12719764.111130368</v>
      </c>
      <c r="P13" s="31">
        <v>10644299.793974381</v>
      </c>
      <c r="Q13" s="31">
        <v>11536466.045764741</v>
      </c>
      <c r="R13" s="31">
        <v>63284551.471184507</v>
      </c>
    </row>
    <row r="15" spans="2:18" ht="21" x14ac:dyDescent="0.4">
      <c r="C15" s="73" t="s">
        <v>167</v>
      </c>
    </row>
    <row r="16" spans="2:18" x14ac:dyDescent="0.3">
      <c r="C16" s="24" t="s">
        <v>198</v>
      </c>
    </row>
    <row r="17" spans="3:18" x14ac:dyDescent="0.3">
      <c r="C17" s="7" t="s">
        <v>179</v>
      </c>
      <c r="D17" s="7" t="s">
        <v>162</v>
      </c>
      <c r="L17" s="24" t="s">
        <v>205</v>
      </c>
    </row>
    <row r="18" spans="3:18" x14ac:dyDescent="0.3">
      <c r="C18" s="7" t="s">
        <v>154</v>
      </c>
      <c r="D18" t="s">
        <v>16</v>
      </c>
      <c r="E18" t="s">
        <v>10</v>
      </c>
      <c r="F18" t="s">
        <v>21</v>
      </c>
      <c r="G18" t="s">
        <v>26</v>
      </c>
      <c r="H18" t="s">
        <v>32</v>
      </c>
      <c r="I18" t="s">
        <v>155</v>
      </c>
      <c r="L18" s="7" t="s">
        <v>199</v>
      </c>
      <c r="M18" s="7" t="s">
        <v>162</v>
      </c>
    </row>
    <row r="19" spans="3:18" x14ac:dyDescent="0.3">
      <c r="C19" s="8">
        <v>2018</v>
      </c>
      <c r="D19" s="31">
        <v>697368.0207472234</v>
      </c>
      <c r="E19" s="31">
        <v>2405966.0874662898</v>
      </c>
      <c r="F19" s="31">
        <v>1324699.5078214062</v>
      </c>
      <c r="G19" s="31"/>
      <c r="H19" s="31">
        <v>2000197.9464693414</v>
      </c>
      <c r="I19" s="31">
        <v>6428231.5625042608</v>
      </c>
      <c r="L19" s="7" t="s">
        <v>154</v>
      </c>
      <c r="M19" t="s">
        <v>18</v>
      </c>
      <c r="N19" t="s">
        <v>13</v>
      </c>
      <c r="O19" t="s">
        <v>23</v>
      </c>
      <c r="P19" t="s">
        <v>38</v>
      </c>
      <c r="Q19" t="s">
        <v>29</v>
      </c>
      <c r="R19" t="s">
        <v>155</v>
      </c>
    </row>
    <row r="20" spans="3:18" x14ac:dyDescent="0.3">
      <c r="C20" s="8">
        <v>2019</v>
      </c>
      <c r="D20" s="31">
        <v>662834.33499735559</v>
      </c>
      <c r="E20" s="31">
        <v>3253999.8527008849</v>
      </c>
      <c r="F20" s="31">
        <v>2407881.4108209559</v>
      </c>
      <c r="G20" s="31">
        <v>3215152.3493829388</v>
      </c>
      <c r="H20" s="31">
        <v>825320.96309482318</v>
      </c>
      <c r="I20" s="31">
        <v>10365188.910996959</v>
      </c>
      <c r="L20" s="8">
        <v>2018</v>
      </c>
      <c r="M20">
        <v>3</v>
      </c>
      <c r="N20">
        <v>1</v>
      </c>
      <c r="O20">
        <v>3</v>
      </c>
      <c r="P20">
        <v>3</v>
      </c>
      <c r="R20">
        <v>10</v>
      </c>
    </row>
    <row r="21" spans="3:18" x14ac:dyDescent="0.3">
      <c r="C21" s="8">
        <v>2020</v>
      </c>
      <c r="D21" s="31">
        <v>3570921.3315225951</v>
      </c>
      <c r="E21" s="31"/>
      <c r="F21" s="31">
        <v>3050494.7499306966</v>
      </c>
      <c r="G21" s="31">
        <v>3693140.9137192685</v>
      </c>
      <c r="H21" s="31">
        <v>1758685.2249286552</v>
      </c>
      <c r="I21" s="31">
        <v>12073242.220101215</v>
      </c>
      <c r="L21" s="8">
        <v>2019</v>
      </c>
      <c r="M21">
        <v>5</v>
      </c>
      <c r="N21">
        <v>5</v>
      </c>
      <c r="O21">
        <v>2</v>
      </c>
      <c r="P21">
        <v>3</v>
      </c>
      <c r="Q21">
        <v>2</v>
      </c>
      <c r="R21">
        <v>17</v>
      </c>
    </row>
    <row r="22" spans="3:18" x14ac:dyDescent="0.3">
      <c r="C22" s="8">
        <v>2021</v>
      </c>
      <c r="D22" s="31">
        <v>1781773.1680748803</v>
      </c>
      <c r="E22" s="31">
        <v>4027741.5256802402</v>
      </c>
      <c r="F22" s="31">
        <v>2386006.5987511203</v>
      </c>
      <c r="G22" s="31">
        <v>3537852.8211535201</v>
      </c>
      <c r="H22" s="31">
        <v>232953.22239032001</v>
      </c>
      <c r="I22" s="31">
        <v>11966327.33605008</v>
      </c>
      <c r="L22" s="8">
        <v>2020</v>
      </c>
      <c r="M22">
        <v>4</v>
      </c>
      <c r="N22">
        <v>4</v>
      </c>
      <c r="O22">
        <v>6</v>
      </c>
      <c r="Q22">
        <v>6</v>
      </c>
      <c r="R22">
        <v>20</v>
      </c>
    </row>
    <row r="23" spans="3:18" x14ac:dyDescent="0.3">
      <c r="C23" s="8">
        <v>2022</v>
      </c>
      <c r="D23" s="31">
        <v>2937526.7408780004</v>
      </c>
      <c r="E23" s="31">
        <v>997566.67877399991</v>
      </c>
      <c r="F23" s="31">
        <v>2654253.808468</v>
      </c>
      <c r="G23" s="31">
        <v>8416336.8043120001</v>
      </c>
      <c r="H23" s="31"/>
      <c r="I23" s="31">
        <v>15005684.032432001</v>
      </c>
      <c r="L23" s="8">
        <v>2021</v>
      </c>
      <c r="M23">
        <v>5</v>
      </c>
      <c r="N23">
        <v>3</v>
      </c>
      <c r="O23">
        <v>1</v>
      </c>
      <c r="P23">
        <v>3</v>
      </c>
      <c r="Q23">
        <v>8</v>
      </c>
      <c r="R23">
        <v>20</v>
      </c>
    </row>
    <row r="24" spans="3:18" x14ac:dyDescent="0.3">
      <c r="C24" s="8">
        <v>2023</v>
      </c>
      <c r="D24" s="31">
        <v>1570662.8665999998</v>
      </c>
      <c r="E24" s="31">
        <v>1410599.5731000002</v>
      </c>
      <c r="F24" s="31">
        <v>834871.46829999995</v>
      </c>
      <c r="G24" s="31"/>
      <c r="H24" s="31">
        <v>3629743.5011</v>
      </c>
      <c r="I24" s="31">
        <v>7445877.4090999998</v>
      </c>
      <c r="L24" s="8">
        <v>2022</v>
      </c>
      <c r="M24">
        <v>4</v>
      </c>
      <c r="N24">
        <v>4</v>
      </c>
      <c r="O24">
        <v>5</v>
      </c>
      <c r="P24">
        <v>3</v>
      </c>
      <c r="Q24">
        <v>1</v>
      </c>
      <c r="R24">
        <v>17</v>
      </c>
    </row>
    <row r="25" spans="3:18" x14ac:dyDescent="0.3">
      <c r="C25" s="8" t="s">
        <v>155</v>
      </c>
      <c r="D25" s="31">
        <v>11221086.462820055</v>
      </c>
      <c r="E25" s="31">
        <v>12095873.717721414</v>
      </c>
      <c r="F25" s="31">
        <v>12658207.544092178</v>
      </c>
      <c r="G25" s="31">
        <v>18862482.888567727</v>
      </c>
      <c r="H25" s="31">
        <v>8446900.8579831403</v>
      </c>
      <c r="I25" s="31">
        <v>63284551.471184507</v>
      </c>
      <c r="L25" s="8">
        <v>2023</v>
      </c>
      <c r="M25">
        <v>2</v>
      </c>
      <c r="N25">
        <v>1</v>
      </c>
      <c r="O25">
        <v>2</v>
      </c>
      <c r="P25">
        <v>8</v>
      </c>
      <c r="Q25">
        <v>3</v>
      </c>
      <c r="R25">
        <v>16</v>
      </c>
    </row>
    <row r="26" spans="3:18" x14ac:dyDescent="0.3">
      <c r="L26" s="8" t="s">
        <v>155</v>
      </c>
      <c r="M26">
        <v>23</v>
      </c>
      <c r="N26">
        <v>18</v>
      </c>
      <c r="O26">
        <v>19</v>
      </c>
      <c r="P26">
        <v>20</v>
      </c>
      <c r="Q26">
        <v>20</v>
      </c>
      <c r="R26">
        <v>100</v>
      </c>
    </row>
    <row r="28" spans="3:18" x14ac:dyDescent="0.3">
      <c r="C28" s="24" t="s">
        <v>202</v>
      </c>
    </row>
    <row r="29" spans="3:18" x14ac:dyDescent="0.3">
      <c r="C29" s="7" t="s">
        <v>199</v>
      </c>
      <c r="D29" s="7" t="s">
        <v>162</v>
      </c>
      <c r="L29" s="24" t="s">
        <v>224</v>
      </c>
    </row>
    <row r="30" spans="3:18" x14ac:dyDescent="0.3">
      <c r="C30" s="7" t="s">
        <v>154</v>
      </c>
      <c r="D30" t="s">
        <v>16</v>
      </c>
      <c r="E30" t="s">
        <v>10</v>
      </c>
      <c r="F30" t="s">
        <v>21</v>
      </c>
      <c r="G30" t="s">
        <v>26</v>
      </c>
      <c r="H30" t="s">
        <v>32</v>
      </c>
      <c r="I30" t="s">
        <v>155</v>
      </c>
      <c r="L30" s="7" t="s">
        <v>219</v>
      </c>
      <c r="M30" s="7" t="s">
        <v>162</v>
      </c>
    </row>
    <row r="31" spans="3:18" x14ac:dyDescent="0.3">
      <c r="C31" s="8">
        <v>2018</v>
      </c>
      <c r="D31">
        <v>1</v>
      </c>
      <c r="E31">
        <v>4</v>
      </c>
      <c r="F31">
        <v>2</v>
      </c>
      <c r="H31">
        <v>3</v>
      </c>
      <c r="I31">
        <v>10</v>
      </c>
      <c r="L31" s="7" t="s">
        <v>154</v>
      </c>
      <c r="M31" t="s">
        <v>18</v>
      </c>
      <c r="N31" t="s">
        <v>13</v>
      </c>
      <c r="O31" t="s">
        <v>23</v>
      </c>
      <c r="P31" t="s">
        <v>38</v>
      </c>
      <c r="Q31" t="s">
        <v>29</v>
      </c>
      <c r="R31" t="s">
        <v>155</v>
      </c>
    </row>
    <row r="32" spans="3:18" x14ac:dyDescent="0.3">
      <c r="C32" s="8">
        <v>2019</v>
      </c>
      <c r="D32">
        <v>1</v>
      </c>
      <c r="E32">
        <v>6</v>
      </c>
      <c r="F32">
        <v>3</v>
      </c>
      <c r="G32">
        <v>5</v>
      </c>
      <c r="H32">
        <v>2</v>
      </c>
      <c r="I32">
        <v>17</v>
      </c>
      <c r="L32" s="8">
        <v>2018</v>
      </c>
      <c r="M32" s="31">
        <v>714009.45102100924</v>
      </c>
      <c r="N32" s="31">
        <v>345659.15481496957</v>
      </c>
      <c r="O32" s="31">
        <v>679550.03103076015</v>
      </c>
      <c r="P32" s="31">
        <v>633964.65384466096</v>
      </c>
      <c r="Q32" s="31"/>
      <c r="R32" s="31">
        <v>642823.15625042596</v>
      </c>
    </row>
    <row r="33" spans="3:18" x14ac:dyDescent="0.3">
      <c r="C33" s="8">
        <v>2020</v>
      </c>
      <c r="D33">
        <v>6</v>
      </c>
      <c r="F33">
        <v>5</v>
      </c>
      <c r="G33">
        <v>6</v>
      </c>
      <c r="H33">
        <v>3</v>
      </c>
      <c r="I33">
        <v>20</v>
      </c>
      <c r="L33" s="8">
        <v>2019</v>
      </c>
      <c r="M33" s="31">
        <v>615736.25279026781</v>
      </c>
      <c r="N33" s="31">
        <v>540673.16871211212</v>
      </c>
      <c r="O33" s="31">
        <v>701089.40997043834</v>
      </c>
      <c r="P33" s="31">
        <v>541124.8238281064</v>
      </c>
      <c r="Q33" s="31">
        <v>778794.25602993101</v>
      </c>
      <c r="R33" s="31">
        <v>609716.99476452684</v>
      </c>
    </row>
    <row r="34" spans="3:18" x14ac:dyDescent="0.3">
      <c r="C34" s="8">
        <v>2021</v>
      </c>
      <c r="D34">
        <v>3</v>
      </c>
      <c r="E34">
        <v>6</v>
      </c>
      <c r="F34">
        <v>4</v>
      </c>
      <c r="G34">
        <v>6</v>
      </c>
      <c r="H34">
        <v>1</v>
      </c>
      <c r="I34">
        <v>20</v>
      </c>
      <c r="L34" s="8">
        <v>2020</v>
      </c>
      <c r="M34" s="31">
        <v>596145.13568537775</v>
      </c>
      <c r="N34" s="31">
        <v>697772.18458633428</v>
      </c>
      <c r="O34" s="31">
        <v>663942.7383464484</v>
      </c>
      <c r="P34" s="31"/>
      <c r="Q34" s="31">
        <v>485652.75148927938</v>
      </c>
      <c r="R34" s="31">
        <v>603662.11100506096</v>
      </c>
    </row>
    <row r="35" spans="3:18" x14ac:dyDescent="0.3">
      <c r="C35" s="8">
        <v>2022</v>
      </c>
      <c r="D35">
        <v>5</v>
      </c>
      <c r="E35">
        <v>3</v>
      </c>
      <c r="F35">
        <v>4</v>
      </c>
      <c r="G35">
        <v>5</v>
      </c>
      <c r="I35">
        <v>17</v>
      </c>
      <c r="L35" s="8">
        <v>2021</v>
      </c>
      <c r="M35" s="31">
        <v>632890.37270688801</v>
      </c>
      <c r="N35" s="31">
        <v>418519.18516394665</v>
      </c>
      <c r="O35" s="31">
        <v>852809.66041651997</v>
      </c>
      <c r="P35" s="31">
        <v>595204.26755269337</v>
      </c>
      <c r="Q35" s="31">
        <v>613486.93174365012</v>
      </c>
      <c r="R35" s="31">
        <v>598316.36680250405</v>
      </c>
    </row>
    <row r="36" spans="3:18" x14ac:dyDescent="0.3">
      <c r="C36" s="8">
        <v>2023</v>
      </c>
      <c r="D36">
        <v>3</v>
      </c>
      <c r="E36">
        <v>2</v>
      </c>
      <c r="F36">
        <v>2</v>
      </c>
      <c r="H36">
        <v>9</v>
      </c>
      <c r="I36">
        <v>16</v>
      </c>
      <c r="L36" s="8">
        <v>2022</v>
      </c>
      <c r="M36" s="31">
        <v>1820827.14745</v>
      </c>
      <c r="N36" s="31">
        <v>418276.97022799996</v>
      </c>
      <c r="O36" s="31">
        <v>725109.44874040002</v>
      </c>
      <c r="P36" s="31">
        <v>567866.87656599993</v>
      </c>
      <c r="Q36" s="31">
        <v>720119.68831999996</v>
      </c>
      <c r="R36" s="31">
        <v>882687.29602541169</v>
      </c>
    </row>
    <row r="37" spans="3:18" x14ac:dyDescent="0.3">
      <c r="C37" s="8" t="s">
        <v>155</v>
      </c>
      <c r="D37">
        <v>19</v>
      </c>
      <c r="E37">
        <v>21</v>
      </c>
      <c r="F37">
        <v>20</v>
      </c>
      <c r="G37">
        <v>22</v>
      </c>
      <c r="H37">
        <v>18</v>
      </c>
      <c r="I37">
        <v>100</v>
      </c>
      <c r="L37" s="8">
        <v>2023</v>
      </c>
      <c r="M37" s="31">
        <v>729547.3343499999</v>
      </c>
      <c r="N37" s="31">
        <v>103097.06539999999</v>
      </c>
      <c r="O37" s="31">
        <v>408460.93195000006</v>
      </c>
      <c r="P37" s="31">
        <v>453727.24107500003</v>
      </c>
      <c r="Q37" s="31">
        <v>478981.96083333337</v>
      </c>
      <c r="R37" s="31">
        <v>465367.33806875005</v>
      </c>
    </row>
    <row r="38" spans="3:18" x14ac:dyDescent="0.3">
      <c r="C38" s="8"/>
      <c r="L38" s="8" t="s">
        <v>155</v>
      </c>
      <c r="M38" s="31">
        <v>848354.14268653584</v>
      </c>
      <c r="N38" s="31">
        <v>492882.01325137273</v>
      </c>
      <c r="O38" s="31">
        <v>669461.26900686149</v>
      </c>
      <c r="P38" s="31">
        <v>532214.98969871923</v>
      </c>
      <c r="Q38" s="31">
        <v>576823.30228823691</v>
      </c>
      <c r="R38" s="31">
        <v>632845.5147118452</v>
      </c>
    </row>
    <row r="39" spans="3:18" x14ac:dyDescent="0.3">
      <c r="C39" s="8"/>
    </row>
    <row r="40" spans="3:18" x14ac:dyDescent="0.3">
      <c r="C40" s="24" t="s">
        <v>222</v>
      </c>
    </row>
    <row r="41" spans="3:18" x14ac:dyDescent="0.3">
      <c r="C41" s="7" t="s">
        <v>219</v>
      </c>
      <c r="D41" s="7" t="s">
        <v>162</v>
      </c>
    </row>
    <row r="42" spans="3:18" x14ac:dyDescent="0.3">
      <c r="C42" s="7" t="s">
        <v>154</v>
      </c>
      <c r="D42" t="s">
        <v>16</v>
      </c>
      <c r="E42" t="s">
        <v>10</v>
      </c>
      <c r="F42" t="s">
        <v>21</v>
      </c>
      <c r="G42" t="s">
        <v>26</v>
      </c>
      <c r="H42" t="s">
        <v>32</v>
      </c>
      <c r="I42" t="s">
        <v>155</v>
      </c>
    </row>
    <row r="43" spans="3:18" x14ac:dyDescent="0.3">
      <c r="C43" s="8">
        <v>2018</v>
      </c>
      <c r="D43" s="31">
        <v>697368.0207472234</v>
      </c>
      <c r="E43" s="31">
        <v>601491.52186657244</v>
      </c>
      <c r="F43" s="31">
        <v>662349.75391070312</v>
      </c>
      <c r="G43" s="31"/>
      <c r="H43" s="31">
        <v>666732.64882311376</v>
      </c>
      <c r="I43" s="31">
        <v>642823.15625042608</v>
      </c>
    </row>
    <row r="44" spans="3:18" x14ac:dyDescent="0.3">
      <c r="C44" s="8">
        <v>2019</v>
      </c>
      <c r="D44" s="31">
        <v>662834.33499735559</v>
      </c>
      <c r="E44" s="31">
        <v>542333.30878348078</v>
      </c>
      <c r="F44" s="31">
        <v>802627.13694031863</v>
      </c>
      <c r="G44" s="31">
        <v>643030.46987658774</v>
      </c>
      <c r="H44" s="31">
        <v>412660.48154741159</v>
      </c>
      <c r="I44" s="31">
        <v>609716.99476452684</v>
      </c>
    </row>
    <row r="45" spans="3:18" x14ac:dyDescent="0.3">
      <c r="C45" s="8">
        <v>2020</v>
      </c>
      <c r="D45" s="31">
        <v>595153.5552537659</v>
      </c>
      <c r="E45" s="31"/>
      <c r="F45" s="31">
        <v>610098.94998613931</v>
      </c>
      <c r="G45" s="31">
        <v>615523.48561987805</v>
      </c>
      <c r="H45" s="31">
        <v>586228.40830955177</v>
      </c>
      <c r="I45" s="31">
        <v>603662.11100506072</v>
      </c>
    </row>
    <row r="46" spans="3:18" x14ac:dyDescent="0.3">
      <c r="C46" s="8">
        <v>2021</v>
      </c>
      <c r="D46" s="31">
        <v>593924.38935829338</v>
      </c>
      <c r="E46" s="31">
        <v>671290.25428004004</v>
      </c>
      <c r="F46" s="31">
        <v>596501.64968778007</v>
      </c>
      <c r="G46" s="31">
        <v>589642.13685891998</v>
      </c>
      <c r="H46" s="31">
        <v>232953.22239032001</v>
      </c>
      <c r="I46" s="31">
        <v>598316.36680250405</v>
      </c>
    </row>
    <row r="47" spans="3:18" x14ac:dyDescent="0.3">
      <c r="C47" s="8">
        <v>2022</v>
      </c>
      <c r="D47" s="31">
        <v>587505.34817560005</v>
      </c>
      <c r="E47" s="31">
        <v>332522.22625799995</v>
      </c>
      <c r="F47" s="31">
        <v>663563.45211700001</v>
      </c>
      <c r="G47" s="31">
        <v>1683267.3608623999</v>
      </c>
      <c r="H47" s="31"/>
      <c r="I47" s="31">
        <v>882687.29602541169</v>
      </c>
    </row>
    <row r="48" spans="3:18" x14ac:dyDescent="0.3">
      <c r="C48" s="8">
        <v>2023</v>
      </c>
      <c r="D48" s="31">
        <v>523554.28886666661</v>
      </c>
      <c r="E48" s="31">
        <v>705299.78655000008</v>
      </c>
      <c r="F48" s="31">
        <v>417435.73414999997</v>
      </c>
      <c r="G48" s="31"/>
      <c r="H48" s="31">
        <v>403304.83345555555</v>
      </c>
      <c r="I48" s="31">
        <v>465367.3380687501</v>
      </c>
    </row>
    <row r="49" spans="3:9" x14ac:dyDescent="0.3">
      <c r="C49" s="8" t="s">
        <v>155</v>
      </c>
      <c r="D49" s="31">
        <v>590583.49804316065</v>
      </c>
      <c r="E49" s="31">
        <v>575993.98655816249</v>
      </c>
      <c r="F49" s="31">
        <v>632910.37720460887</v>
      </c>
      <c r="G49" s="31">
        <v>857385.58584398741</v>
      </c>
      <c r="H49" s="31">
        <v>469272.26988795237</v>
      </c>
      <c r="I49" s="31">
        <v>632845.5147118452</v>
      </c>
    </row>
    <row r="50" spans="3:9" x14ac:dyDescent="0.3">
      <c r="C50" s="8"/>
    </row>
    <row r="51" spans="3:9" x14ac:dyDescent="0.3">
      <c r="C51" s="8"/>
    </row>
    <row r="53" spans="3:9" x14ac:dyDescent="0.3">
      <c r="C53" s="24" t="s">
        <v>200</v>
      </c>
    </row>
    <row r="54" spans="3:9" x14ac:dyDescent="0.3">
      <c r="C54" s="7" t="s">
        <v>179</v>
      </c>
      <c r="D54" s="7" t="s">
        <v>162</v>
      </c>
    </row>
    <row r="55" spans="3:9" x14ac:dyDescent="0.3">
      <c r="C55" s="7" t="s">
        <v>154</v>
      </c>
      <c r="D55" t="s">
        <v>22</v>
      </c>
      <c r="E55" t="s">
        <v>12</v>
      </c>
      <c r="F55" t="s">
        <v>28</v>
      </c>
      <c r="G55" t="s">
        <v>17</v>
      </c>
      <c r="H55" t="s">
        <v>155</v>
      </c>
    </row>
    <row r="56" spans="3:9" x14ac:dyDescent="0.3">
      <c r="C56" s="8">
        <v>2018</v>
      </c>
      <c r="D56" s="31">
        <v>1324699.5078214062</v>
      </c>
      <c r="E56" s="31">
        <v>2355678.5005103601</v>
      </c>
      <c r="F56" s="31">
        <v>713950.58527087432</v>
      </c>
      <c r="G56" s="31">
        <v>2033902.9689016202</v>
      </c>
      <c r="H56" s="31">
        <v>6428231.5625042608</v>
      </c>
    </row>
    <row r="57" spans="3:9" x14ac:dyDescent="0.3">
      <c r="C57" s="8">
        <v>2019</v>
      </c>
      <c r="D57" s="31">
        <v>2407881.4108209559</v>
      </c>
      <c r="E57" s="31">
        <v>1899587.8414497594</v>
      </c>
      <c r="F57" s="31">
        <v>2405751.7012606501</v>
      </c>
      <c r="G57" s="31">
        <v>3651967.9574655928</v>
      </c>
      <c r="H57" s="31">
        <v>10365188.910996959</v>
      </c>
    </row>
    <row r="58" spans="3:9" x14ac:dyDescent="0.3">
      <c r="C58" s="8">
        <v>2020</v>
      </c>
      <c r="D58" s="31">
        <v>3268651.1868274631</v>
      </c>
      <c r="E58" s="31">
        <v>1758685.2249286552</v>
      </c>
      <c r="F58" s="31">
        <v>3693140.9137192685</v>
      </c>
      <c r="G58" s="31">
        <v>3352764.8946258286</v>
      </c>
      <c r="H58" s="31">
        <v>12073242.220101215</v>
      </c>
    </row>
    <row r="59" spans="3:9" x14ac:dyDescent="0.3">
      <c r="C59" s="8">
        <v>2021</v>
      </c>
      <c r="D59" s="31">
        <v>2386006.5987511203</v>
      </c>
      <c r="E59" s="31">
        <v>1087529.66512576</v>
      </c>
      <c r="F59" s="31">
        <v>3191128.31616844</v>
      </c>
      <c r="G59" s="31">
        <v>5301662.756004761</v>
      </c>
      <c r="H59" s="31">
        <v>11966327.336050082</v>
      </c>
    </row>
    <row r="60" spans="3:9" x14ac:dyDescent="0.3">
      <c r="C60" s="8">
        <v>2022</v>
      </c>
      <c r="D60" s="31">
        <v>2654253.808468</v>
      </c>
      <c r="E60" s="31">
        <v>1086039.2492479999</v>
      </c>
      <c r="F60" s="31">
        <v>8416336.8043120001</v>
      </c>
      <c r="G60" s="31">
        <v>2849054.1704040002</v>
      </c>
      <c r="H60" s="31">
        <v>15005684.032431999</v>
      </c>
    </row>
    <row r="61" spans="3:9" x14ac:dyDescent="0.3">
      <c r="C61" s="8">
        <v>2023</v>
      </c>
      <c r="D61" s="31">
        <v>834871.46829999995</v>
      </c>
      <c r="E61" s="31">
        <v>3538473.3713000002</v>
      </c>
      <c r="F61" s="31"/>
      <c r="G61" s="31">
        <v>3072532.5695000002</v>
      </c>
      <c r="H61" s="31">
        <v>7445877.4091000007</v>
      </c>
    </row>
    <row r="62" spans="3:9" x14ac:dyDescent="0.3">
      <c r="C62" s="8" t="s">
        <v>155</v>
      </c>
      <c r="D62" s="31">
        <v>12876363.980988946</v>
      </c>
      <c r="E62" s="31">
        <v>11725993.852562534</v>
      </c>
      <c r="F62" s="31">
        <v>18420308.320731234</v>
      </c>
      <c r="G62" s="31">
        <v>20261885.316901803</v>
      </c>
      <c r="H62" s="31">
        <v>63284551.471184522</v>
      </c>
    </row>
    <row r="64" spans="3:9" x14ac:dyDescent="0.3">
      <c r="C64" s="24" t="s">
        <v>201</v>
      </c>
    </row>
    <row r="65" spans="3:8" x14ac:dyDescent="0.3">
      <c r="C65" s="7" t="s">
        <v>199</v>
      </c>
      <c r="D65" s="7" t="s">
        <v>162</v>
      </c>
    </row>
    <row r="66" spans="3:8" x14ac:dyDescent="0.3">
      <c r="C66" s="7" t="s">
        <v>154</v>
      </c>
      <c r="D66" t="s">
        <v>22</v>
      </c>
      <c r="E66" t="s">
        <v>12</v>
      </c>
      <c r="F66" t="s">
        <v>28</v>
      </c>
      <c r="G66" t="s">
        <v>17</v>
      </c>
      <c r="H66" t="s">
        <v>155</v>
      </c>
    </row>
    <row r="67" spans="3:8" x14ac:dyDescent="0.3">
      <c r="C67" s="8">
        <v>2018</v>
      </c>
      <c r="D67">
        <v>2</v>
      </c>
      <c r="E67">
        <v>4</v>
      </c>
      <c r="F67">
        <v>1</v>
      </c>
      <c r="G67">
        <v>3</v>
      </c>
      <c r="H67">
        <v>10</v>
      </c>
    </row>
    <row r="68" spans="3:8" x14ac:dyDescent="0.3">
      <c r="C68" s="8">
        <v>2019</v>
      </c>
      <c r="D68">
        <v>3</v>
      </c>
      <c r="E68">
        <v>4</v>
      </c>
      <c r="F68">
        <v>4</v>
      </c>
      <c r="G68">
        <v>6</v>
      </c>
      <c r="H68">
        <v>17</v>
      </c>
    </row>
    <row r="69" spans="3:8" x14ac:dyDescent="0.3">
      <c r="C69" s="8">
        <v>2020</v>
      </c>
      <c r="D69">
        <v>6</v>
      </c>
      <c r="E69">
        <v>3</v>
      </c>
      <c r="F69">
        <v>6</v>
      </c>
      <c r="G69">
        <v>5</v>
      </c>
      <c r="H69">
        <v>20</v>
      </c>
    </row>
    <row r="70" spans="3:8" x14ac:dyDescent="0.3">
      <c r="C70" s="8">
        <v>2021</v>
      </c>
      <c r="D70">
        <v>4</v>
      </c>
      <c r="E70">
        <v>2</v>
      </c>
      <c r="F70">
        <v>5</v>
      </c>
      <c r="G70">
        <v>9</v>
      </c>
      <c r="H70">
        <v>20</v>
      </c>
    </row>
    <row r="71" spans="3:8" x14ac:dyDescent="0.3">
      <c r="C71" s="8">
        <v>2022</v>
      </c>
      <c r="D71">
        <v>4</v>
      </c>
      <c r="E71">
        <v>2</v>
      </c>
      <c r="F71">
        <v>5</v>
      </c>
      <c r="G71">
        <v>6</v>
      </c>
      <c r="H71">
        <v>17</v>
      </c>
    </row>
    <row r="72" spans="3:8" x14ac:dyDescent="0.3">
      <c r="C72" s="8">
        <v>2023</v>
      </c>
      <c r="D72">
        <v>2</v>
      </c>
      <c r="E72">
        <v>8</v>
      </c>
      <c r="G72">
        <v>6</v>
      </c>
      <c r="H72">
        <v>16</v>
      </c>
    </row>
    <row r="73" spans="3:8" x14ac:dyDescent="0.3">
      <c r="C73" s="8" t="s">
        <v>155</v>
      </c>
      <c r="D73">
        <v>21</v>
      </c>
      <c r="E73">
        <v>23</v>
      </c>
      <c r="F73">
        <v>21</v>
      </c>
      <c r="G73">
        <v>35</v>
      </c>
      <c r="H73">
        <v>100</v>
      </c>
    </row>
    <row r="76" spans="3:8" x14ac:dyDescent="0.3">
      <c r="C76" s="24" t="s">
        <v>223</v>
      </c>
    </row>
    <row r="77" spans="3:8" x14ac:dyDescent="0.3">
      <c r="C77" s="7" t="s">
        <v>219</v>
      </c>
      <c r="D77" s="7" t="s">
        <v>162</v>
      </c>
    </row>
    <row r="78" spans="3:8" x14ac:dyDescent="0.3">
      <c r="C78" s="7" t="s">
        <v>154</v>
      </c>
      <c r="D78" t="s">
        <v>22</v>
      </c>
      <c r="E78" t="s">
        <v>12</v>
      </c>
      <c r="F78" t="s">
        <v>28</v>
      </c>
      <c r="G78" t="s">
        <v>17</v>
      </c>
      <c r="H78" t="s">
        <v>155</v>
      </c>
    </row>
    <row r="79" spans="3:8" x14ac:dyDescent="0.3">
      <c r="C79" s="8">
        <v>2018</v>
      </c>
      <c r="D79" s="31">
        <v>662349.75391070312</v>
      </c>
      <c r="E79" s="31">
        <v>588919.62512759003</v>
      </c>
      <c r="F79" s="31">
        <v>713950.58527087432</v>
      </c>
      <c r="G79" s="31">
        <v>677967.65630054008</v>
      </c>
      <c r="H79" s="31">
        <v>642823.15625042596</v>
      </c>
    </row>
    <row r="80" spans="3:8" x14ac:dyDescent="0.3">
      <c r="C80" s="8">
        <v>2019</v>
      </c>
      <c r="D80" s="31">
        <v>802627.13694031863</v>
      </c>
      <c r="E80" s="31">
        <v>474896.96036243986</v>
      </c>
      <c r="F80" s="31">
        <v>601437.92531516252</v>
      </c>
      <c r="G80" s="31">
        <v>608661.32624426542</v>
      </c>
      <c r="H80" s="31">
        <v>609716.99476452696</v>
      </c>
    </row>
    <row r="81" spans="3:8" x14ac:dyDescent="0.3">
      <c r="C81" s="8">
        <v>2020</v>
      </c>
      <c r="D81" s="31">
        <v>544775.19780457718</v>
      </c>
      <c r="E81" s="31">
        <v>586228.40830955177</v>
      </c>
      <c r="F81" s="31">
        <v>615523.48561987805</v>
      </c>
      <c r="G81" s="31">
        <v>670552.97892516572</v>
      </c>
      <c r="H81" s="31">
        <v>603662.11100506072</v>
      </c>
    </row>
    <row r="82" spans="3:8" x14ac:dyDescent="0.3">
      <c r="C82" s="8">
        <v>2021</v>
      </c>
      <c r="D82" s="31">
        <v>596501.64968778007</v>
      </c>
      <c r="E82" s="31">
        <v>543764.83256288001</v>
      </c>
      <c r="F82" s="31">
        <v>638225.66323368798</v>
      </c>
      <c r="G82" s="31">
        <v>589073.63955608453</v>
      </c>
      <c r="H82" s="31">
        <v>598316.36680250394</v>
      </c>
    </row>
    <row r="83" spans="3:8" x14ac:dyDescent="0.3">
      <c r="C83" s="8">
        <v>2022</v>
      </c>
      <c r="D83" s="31">
        <v>663563.45211700001</v>
      </c>
      <c r="E83" s="31">
        <v>543019.62462399993</v>
      </c>
      <c r="F83" s="31">
        <v>1683267.3608623999</v>
      </c>
      <c r="G83" s="31">
        <v>474842.36173400003</v>
      </c>
      <c r="H83" s="31">
        <v>882687.29602541158</v>
      </c>
    </row>
    <row r="84" spans="3:8" x14ac:dyDescent="0.3">
      <c r="C84" s="8">
        <v>2023</v>
      </c>
      <c r="D84" s="31">
        <v>417435.73414999997</v>
      </c>
      <c r="E84" s="31">
        <v>442309.17141250003</v>
      </c>
      <c r="F84" s="31"/>
      <c r="G84" s="31">
        <v>512088.76158333337</v>
      </c>
      <c r="H84" s="31">
        <v>465367.3380687501</v>
      </c>
    </row>
    <row r="85" spans="3:8" x14ac:dyDescent="0.3">
      <c r="C85" s="8" t="s">
        <v>155</v>
      </c>
      <c r="D85" s="31">
        <v>613160.18957090215</v>
      </c>
      <c r="E85" s="31">
        <v>509825.819676632</v>
      </c>
      <c r="F85" s="31">
        <v>877157.5390824395</v>
      </c>
      <c r="G85" s="31">
        <v>578911.00905433705</v>
      </c>
      <c r="H85" s="31">
        <v>632845.5147118452</v>
      </c>
    </row>
  </sheetData>
  <pageMargins left="0.7" right="0.7" top="0.75" bottom="0.75" header="0.3" footer="0.3"/>
  <pageSetup paperSize="9" orientation="portrait" verticalDpi="0" r:id="rId11"/>
  <drawing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0A802-A32B-4D72-A455-8E9A28F92C53}">
  <dimension ref="B1:M58"/>
  <sheetViews>
    <sheetView zoomScaleNormal="100" workbookViewId="0">
      <selection activeCell="H20" sqref="H20"/>
    </sheetView>
  </sheetViews>
  <sheetFormatPr defaultColWidth="10.69921875" defaultRowHeight="15.6" x14ac:dyDescent="0.3"/>
  <cols>
    <col min="2" max="2" width="17.5" bestFit="1" customWidth="1"/>
    <col min="3" max="3" width="37.296875" bestFit="1" customWidth="1"/>
    <col min="4" max="4" width="15.69921875" bestFit="1" customWidth="1"/>
    <col min="7" max="7" width="16.69921875" style="8" bestFit="1" customWidth="1"/>
    <col min="8" max="8" width="37.296875" bestFit="1" customWidth="1"/>
    <col min="9" max="9" width="15.19921875" bestFit="1" customWidth="1"/>
    <col min="10" max="10" width="21" customWidth="1"/>
    <col min="11" max="11" width="15.19921875" bestFit="1" customWidth="1"/>
    <col min="12" max="13" width="10.69921875" bestFit="1" customWidth="1"/>
    <col min="110" max="110" width="7" bestFit="1" customWidth="1"/>
    <col min="111" max="111" width="10.5" bestFit="1" customWidth="1"/>
  </cols>
  <sheetData>
    <row r="1" spans="2:11" x14ac:dyDescent="0.3">
      <c r="H1" s="15"/>
      <c r="I1" s="16"/>
    </row>
    <row r="2" spans="2:11" ht="18.600000000000001" thickBot="1" x14ac:dyDescent="0.4">
      <c r="B2" s="4" t="s">
        <v>148</v>
      </c>
      <c r="G2" s="24" t="s">
        <v>209</v>
      </c>
      <c r="J2" s="11"/>
    </row>
    <row r="3" spans="2:11" x14ac:dyDescent="0.3">
      <c r="B3" s="35">
        <v>2018</v>
      </c>
      <c r="C3" s="36" t="s">
        <v>149</v>
      </c>
      <c r="D3" s="37">
        <v>1.08</v>
      </c>
      <c r="E3" s="38">
        <f t="shared" ref="E3:E8" si="0">E4*D4</f>
        <v>1.2053063131200001</v>
      </c>
      <c r="G3" s="46" t="s">
        <v>183</v>
      </c>
      <c r="H3" s="57" t="s">
        <v>192</v>
      </c>
      <c r="I3" s="57" t="s">
        <v>184</v>
      </c>
      <c r="J3" s="47" t="s">
        <v>185</v>
      </c>
    </row>
    <row r="4" spans="2:11" x14ac:dyDescent="0.3">
      <c r="B4" s="39">
        <v>2019</v>
      </c>
      <c r="C4" t="s">
        <v>150</v>
      </c>
      <c r="D4">
        <v>1.05</v>
      </c>
      <c r="E4" s="40">
        <f t="shared" si="0"/>
        <v>1.1479107744000001</v>
      </c>
      <c r="G4" s="48">
        <v>2018</v>
      </c>
      <c r="H4" s="50">
        <f t="shared" ref="H4:H9" si="1">C14</f>
        <v>45000000</v>
      </c>
      <c r="I4" s="50">
        <f>COUNTIFS('Claims Data'!S:S,'Pure Premium Work'!G4,'Claims Data'!R:R,1)</f>
        <v>10</v>
      </c>
      <c r="J4" s="54">
        <f t="shared" ref="J4:J9" si="2">I4/H4</f>
        <v>2.2222222222222222E-7</v>
      </c>
      <c r="K4" s="17"/>
    </row>
    <row r="5" spans="2:11" x14ac:dyDescent="0.3">
      <c r="B5" s="39">
        <v>2020</v>
      </c>
      <c r="C5" t="s">
        <v>151</v>
      </c>
      <c r="D5">
        <v>1.04</v>
      </c>
      <c r="E5" s="40">
        <f t="shared" si="0"/>
        <v>1.1037603600000001</v>
      </c>
      <c r="G5" s="48">
        <f>G4+1</f>
        <v>2019</v>
      </c>
      <c r="H5" s="50">
        <f t="shared" si="1"/>
        <v>49000000</v>
      </c>
      <c r="I5" s="50">
        <f>COUNTIFS('Claims Data'!S:S,'Pure Premium Work'!G5,'Claims Data'!R:R,1)</f>
        <v>17</v>
      </c>
      <c r="J5" s="54">
        <f t="shared" si="2"/>
        <v>3.4693877551020406E-7</v>
      </c>
      <c r="K5" s="17"/>
    </row>
    <row r="6" spans="2:11" x14ac:dyDescent="0.3">
      <c r="B6" s="39">
        <v>2021</v>
      </c>
      <c r="C6" t="s">
        <v>152</v>
      </c>
      <c r="D6">
        <v>1.03</v>
      </c>
      <c r="E6" s="40">
        <f t="shared" si="0"/>
        <v>1.071612</v>
      </c>
      <c r="G6" s="48">
        <f>G5+1</f>
        <v>2020</v>
      </c>
      <c r="H6" s="50">
        <f t="shared" si="1"/>
        <v>41750000</v>
      </c>
      <c r="I6" s="50">
        <f>COUNTIFS('Claims Data'!S:S,'Pure Premium Work'!G6,'Claims Data'!R:R,1)</f>
        <v>20</v>
      </c>
      <c r="J6" s="54">
        <f t="shared" si="2"/>
        <v>4.7904191616766466E-7</v>
      </c>
      <c r="K6" s="17"/>
    </row>
    <row r="7" spans="2:11" x14ac:dyDescent="0.3">
      <c r="B7" s="39">
        <v>2022</v>
      </c>
      <c r="C7" t="s">
        <v>153</v>
      </c>
      <c r="D7">
        <v>1.02</v>
      </c>
      <c r="E7" s="40">
        <f t="shared" si="0"/>
        <v>1.0506</v>
      </c>
      <c r="G7" s="48">
        <f>G6+1</f>
        <v>2021</v>
      </c>
      <c r="H7" s="50">
        <f t="shared" si="1"/>
        <v>41500000</v>
      </c>
      <c r="I7" s="50">
        <f>COUNTIFS('Claims Data'!S:S,'Pure Premium Work'!G7,'Claims Data'!R:R,1)</f>
        <v>20</v>
      </c>
      <c r="J7" s="54">
        <f t="shared" si="2"/>
        <v>4.8192771084337348E-7</v>
      </c>
      <c r="K7" s="17"/>
    </row>
    <row r="8" spans="2:11" x14ac:dyDescent="0.3">
      <c r="B8" s="39">
        <v>2023</v>
      </c>
      <c r="C8" t="s">
        <v>153</v>
      </c>
      <c r="D8">
        <v>1.02</v>
      </c>
      <c r="E8" s="40">
        <f t="shared" si="0"/>
        <v>1.03</v>
      </c>
      <c r="G8" s="48">
        <f>G7+1</f>
        <v>2022</v>
      </c>
      <c r="H8" s="50">
        <f t="shared" si="1"/>
        <v>43590000</v>
      </c>
      <c r="I8" s="50">
        <f>COUNTIFS('Claims Data'!S:S,'Pure Premium Work'!G8,'Claims Data'!R:R,1)</f>
        <v>16</v>
      </c>
      <c r="J8" s="54">
        <f t="shared" si="2"/>
        <v>3.6705666437256249E-7</v>
      </c>
      <c r="K8" s="17"/>
    </row>
    <row r="9" spans="2:11" ht="16.2" thickBot="1" x14ac:dyDescent="0.35">
      <c r="B9" s="41">
        <v>2024</v>
      </c>
      <c r="C9" s="42" t="s">
        <v>181</v>
      </c>
      <c r="D9" s="42">
        <v>1.03</v>
      </c>
      <c r="E9" s="43">
        <v>1</v>
      </c>
      <c r="G9" s="49">
        <f>G8+1</f>
        <v>2023</v>
      </c>
      <c r="H9" s="55">
        <f t="shared" si="1"/>
        <v>44750000</v>
      </c>
      <c r="I9" s="55">
        <f>COUNTIFS('Claims Data'!S:S,'Pure Premium Work'!G9,'Claims Data'!R:R,1)</f>
        <v>16</v>
      </c>
      <c r="J9" s="56">
        <f t="shared" si="2"/>
        <v>3.5754189944134076E-7</v>
      </c>
      <c r="K9" s="17"/>
    </row>
    <row r="10" spans="2:11" x14ac:dyDescent="0.3">
      <c r="B10" s="5"/>
      <c r="H10" s="15"/>
      <c r="I10" s="15"/>
      <c r="J10" s="17"/>
      <c r="K10" s="17"/>
    </row>
    <row r="11" spans="2:11" x14ac:dyDescent="0.3">
      <c r="B11" s="5"/>
      <c r="H11" s="15"/>
      <c r="I11" s="15"/>
      <c r="J11" s="17"/>
      <c r="K11" s="17"/>
    </row>
    <row r="12" spans="2:11" ht="16.2" thickBot="1" x14ac:dyDescent="0.35">
      <c r="B12" s="2" t="s">
        <v>206</v>
      </c>
      <c r="G12" s="2" t="s">
        <v>210</v>
      </c>
      <c r="K12" s="17"/>
    </row>
    <row r="13" spans="2:11" x14ac:dyDescent="0.3">
      <c r="B13" s="46" t="s">
        <v>183</v>
      </c>
      <c r="C13" s="47" t="s">
        <v>207</v>
      </c>
      <c r="G13"/>
      <c r="K13" s="17"/>
    </row>
    <row r="14" spans="2:11" x14ac:dyDescent="0.3">
      <c r="B14" s="48">
        <v>2018</v>
      </c>
      <c r="C14" s="44">
        <f>45000000</f>
        <v>45000000</v>
      </c>
      <c r="G14" s="7" t="s">
        <v>178</v>
      </c>
      <c r="H14" s="8">
        <v>1</v>
      </c>
      <c r="I14" s="9"/>
      <c r="J14" s="19"/>
      <c r="K14" s="17"/>
    </row>
    <row r="15" spans="2:11" x14ac:dyDescent="0.3">
      <c r="B15" s="48">
        <f>B14+1</f>
        <v>2019</v>
      </c>
      <c r="C15" s="44">
        <v>49000000</v>
      </c>
      <c r="H15" s="12"/>
      <c r="I15" s="9"/>
      <c r="J15" s="19"/>
      <c r="K15" s="17"/>
    </row>
    <row r="16" spans="2:11" x14ac:dyDescent="0.3">
      <c r="B16" s="48">
        <f>B15+1</f>
        <v>2020</v>
      </c>
      <c r="C16" s="44">
        <v>41750000</v>
      </c>
      <c r="G16" s="7" t="s">
        <v>154</v>
      </c>
      <c r="H16" t="s">
        <v>179</v>
      </c>
      <c r="I16" t="s">
        <v>163</v>
      </c>
      <c r="J16" s="58" t="s">
        <v>186</v>
      </c>
    </row>
    <row r="17" spans="2:13" x14ac:dyDescent="0.3">
      <c r="B17" s="48">
        <f>B16+1</f>
        <v>2021</v>
      </c>
      <c r="C17" s="44">
        <v>41500000</v>
      </c>
      <c r="G17" s="8">
        <v>2018</v>
      </c>
      <c r="H17" s="16">
        <v>6428231.5625042599</v>
      </c>
      <c r="I17">
        <v>10</v>
      </c>
      <c r="J17" s="18">
        <f>GETPIVOTDATA("Sum of Capped net adjusted incurred claim ",$G$16,"Year",2018)/GETPIVOTDATA("Count of Claim ID",$G$16,"Year",2018)</f>
        <v>642823.15625042596</v>
      </c>
    </row>
    <row r="18" spans="2:13" x14ac:dyDescent="0.3">
      <c r="B18" s="48">
        <f>B17+1</f>
        <v>2022</v>
      </c>
      <c r="C18" s="44">
        <v>43590000</v>
      </c>
      <c r="G18" s="8">
        <v>2019</v>
      </c>
      <c r="H18" s="16">
        <v>10365188.910996957</v>
      </c>
      <c r="I18">
        <v>17</v>
      </c>
      <c r="J18" s="18">
        <f>GETPIVOTDATA("Sum of Capped net adjusted incurred claim ",$G$16,"Year",2019)/GETPIVOTDATA("Count of Claim ID",$G$16,"Year",2019)</f>
        <v>609716.99476452684</v>
      </c>
    </row>
    <row r="19" spans="2:13" ht="16.2" thickBot="1" x14ac:dyDescent="0.35">
      <c r="B19" s="49">
        <f>B18+1</f>
        <v>2023</v>
      </c>
      <c r="C19" s="45">
        <v>44750000</v>
      </c>
      <c r="G19" s="8">
        <v>2020</v>
      </c>
      <c r="H19" s="16">
        <v>12073242.220101215</v>
      </c>
      <c r="I19">
        <v>20</v>
      </c>
      <c r="J19" s="18">
        <f>GETPIVOTDATA("Sum of Capped net adjusted incurred claim ",$G$16,"Year",2020)/GETPIVOTDATA("Count of Claim ID",$G$16,"Year",2020)</f>
        <v>603662.11100506072</v>
      </c>
    </row>
    <row r="20" spans="2:13" ht="16.2" thickBot="1" x14ac:dyDescent="0.35">
      <c r="B20" s="24"/>
      <c r="C20" s="50"/>
      <c r="G20" s="8">
        <v>2021</v>
      </c>
      <c r="H20" s="16">
        <v>11966327.33605008</v>
      </c>
      <c r="I20">
        <v>20</v>
      </c>
      <c r="J20" s="18">
        <f>GETPIVOTDATA("Sum of Capped net adjusted incurred claim ",$G$16,"Year",2021)/GETPIVOTDATA("Count of Claim ID",$G$16,"Year",2021)</f>
        <v>598316.36680250405</v>
      </c>
    </row>
    <row r="21" spans="2:13" ht="16.2" thickBot="1" x14ac:dyDescent="0.35">
      <c r="B21" s="51" t="s">
        <v>208</v>
      </c>
      <c r="C21" s="52">
        <v>40000000</v>
      </c>
      <c r="G21" s="8">
        <v>2022</v>
      </c>
      <c r="H21" s="16">
        <v>9751736.6086579971</v>
      </c>
      <c r="I21">
        <v>16</v>
      </c>
      <c r="J21" s="18">
        <f>GETPIVOTDATA("Sum of Capped net adjusted incurred claim ",$G$16,"Year",2022)/GETPIVOTDATA("Count of Claim ID",$G$16,"Year",2022)</f>
        <v>609483.53804112482</v>
      </c>
    </row>
    <row r="22" spans="2:13" x14ac:dyDescent="0.3">
      <c r="B22" s="24"/>
      <c r="C22" s="53"/>
      <c r="G22" s="8">
        <v>2023</v>
      </c>
      <c r="H22" s="16">
        <v>7445877.4091000007</v>
      </c>
      <c r="I22">
        <v>16</v>
      </c>
      <c r="J22" s="18">
        <f>GETPIVOTDATA("Sum of Capped net adjusted incurred claim ",$G$16,"Year",2023)/GETPIVOTDATA("Count of Claim ID",$G$16,"Year",2023)</f>
        <v>465367.33806875005</v>
      </c>
    </row>
    <row r="23" spans="2:13" x14ac:dyDescent="0.3">
      <c r="B23" s="28"/>
      <c r="C23" s="29" t="s">
        <v>193</v>
      </c>
      <c r="D23" s="28"/>
      <c r="G23" s="8" t="s">
        <v>155</v>
      </c>
      <c r="H23" s="16">
        <v>58030604.047410555</v>
      </c>
      <c r="I23">
        <v>99</v>
      </c>
      <c r="J23" s="18">
        <f>GETPIVOTDATA("Sum of Capped net adjusted incurred claim ",$G$16)/GETPIVOTDATA("Count of Claim ID",$G$16)</f>
        <v>586167.71765061165</v>
      </c>
    </row>
    <row r="24" spans="2:13" x14ac:dyDescent="0.3">
      <c r="B24" s="28">
        <v>1</v>
      </c>
      <c r="C24" s="28" t="s">
        <v>194</v>
      </c>
      <c r="D24" s="28"/>
    </row>
    <row r="25" spans="2:13" x14ac:dyDescent="0.3">
      <c r="B25" s="28">
        <v>2</v>
      </c>
      <c r="C25" s="28" t="s">
        <v>228</v>
      </c>
      <c r="D25" s="28"/>
      <c r="G25" s="24" t="s">
        <v>211</v>
      </c>
    </row>
    <row r="26" spans="2:13" ht="16.2" thickBot="1" x14ac:dyDescent="0.35">
      <c r="B26" s="28">
        <v>3</v>
      </c>
      <c r="C26" s="28" t="s">
        <v>225</v>
      </c>
      <c r="D26" s="28"/>
      <c r="M26" s="23"/>
    </row>
    <row r="27" spans="2:13" x14ac:dyDescent="0.3">
      <c r="B27" s="28">
        <v>4</v>
      </c>
      <c r="C27" s="28" t="s">
        <v>196</v>
      </c>
      <c r="D27" s="28"/>
      <c r="G27" s="46" t="s">
        <v>183</v>
      </c>
      <c r="H27" s="57" t="s">
        <v>189</v>
      </c>
      <c r="I27" s="57" t="s">
        <v>190</v>
      </c>
      <c r="J27" s="65" t="s">
        <v>191</v>
      </c>
    </row>
    <row r="28" spans="2:13" x14ac:dyDescent="0.3">
      <c r="B28" s="28">
        <v>5</v>
      </c>
      <c r="C28" s="28" t="s">
        <v>212</v>
      </c>
      <c r="D28" s="28"/>
      <c r="G28" s="48">
        <v>2018</v>
      </c>
      <c r="H28" s="59">
        <f t="shared" ref="H28:H33" si="3">J17</f>
        <v>642823.15625042596</v>
      </c>
      <c r="I28" s="60">
        <f t="shared" ref="I28:I33" si="4">J4</f>
        <v>2.2222222222222222E-7</v>
      </c>
      <c r="J28" s="61">
        <f t="shared" ref="J28:J33" si="5">H28*I28</f>
        <v>0.14284959027787245</v>
      </c>
    </row>
    <row r="29" spans="2:13" x14ac:dyDescent="0.3">
      <c r="B29" s="28">
        <v>6</v>
      </c>
      <c r="C29" s="28" t="s">
        <v>213</v>
      </c>
      <c r="D29" s="28"/>
      <c r="G29" s="48">
        <v>2019</v>
      </c>
      <c r="H29" s="59">
        <f t="shared" si="3"/>
        <v>609716.99476452684</v>
      </c>
      <c r="I29" s="60">
        <f t="shared" si="4"/>
        <v>3.4693877551020406E-7</v>
      </c>
      <c r="J29" s="61">
        <f t="shared" si="5"/>
        <v>0.21153446757136643</v>
      </c>
      <c r="K29" s="16"/>
    </row>
    <row r="30" spans="2:13" x14ac:dyDescent="0.3">
      <c r="B30" s="28">
        <v>7</v>
      </c>
      <c r="C30" s="28" t="s">
        <v>214</v>
      </c>
      <c r="D30" s="28"/>
      <c r="G30" s="48">
        <v>2020</v>
      </c>
      <c r="H30" s="59">
        <f t="shared" si="3"/>
        <v>603662.11100506072</v>
      </c>
      <c r="I30" s="60">
        <f t="shared" si="4"/>
        <v>4.7904191616766466E-7</v>
      </c>
      <c r="J30" s="61">
        <f t="shared" si="5"/>
        <v>0.28917945437368175</v>
      </c>
    </row>
    <row r="31" spans="2:13" x14ac:dyDescent="0.3">
      <c r="B31" s="28">
        <v>8</v>
      </c>
      <c r="C31" s="28" t="s">
        <v>215</v>
      </c>
      <c r="D31" s="28"/>
      <c r="G31" s="48">
        <v>2021</v>
      </c>
      <c r="H31" s="59">
        <f t="shared" si="3"/>
        <v>598316.36680250405</v>
      </c>
      <c r="I31" s="60">
        <f t="shared" si="4"/>
        <v>4.8192771084337348E-7</v>
      </c>
      <c r="J31" s="61">
        <f t="shared" si="5"/>
        <v>0.28834523701325498</v>
      </c>
    </row>
    <row r="32" spans="2:13" x14ac:dyDescent="0.3">
      <c r="G32" s="48">
        <v>2022</v>
      </c>
      <c r="H32" s="59">
        <f t="shared" si="3"/>
        <v>609483.53804112482</v>
      </c>
      <c r="I32" s="60">
        <f t="shared" si="4"/>
        <v>3.6705666437256249E-7</v>
      </c>
      <c r="J32" s="61">
        <f t="shared" si="5"/>
        <v>0.22371499446336307</v>
      </c>
    </row>
    <row r="33" spans="2:10" ht="16.2" thickBot="1" x14ac:dyDescent="0.35">
      <c r="B33" s="5" t="s">
        <v>168</v>
      </c>
      <c r="G33" s="49">
        <v>2023</v>
      </c>
      <c r="H33" s="62">
        <f t="shared" si="3"/>
        <v>465367.33806875005</v>
      </c>
      <c r="I33" s="63">
        <f t="shared" si="4"/>
        <v>3.5754189944134076E-7</v>
      </c>
      <c r="J33" s="64">
        <f t="shared" si="5"/>
        <v>0.16638832199106146</v>
      </c>
    </row>
    <row r="34" spans="2:10" x14ac:dyDescent="0.3">
      <c r="B34" s="14">
        <f>SUMIFS('Claims Data'!Q:Q,'Claims Data'!Q:Q,"&gt;1e6")</f>
        <v>5253947.4237740003</v>
      </c>
      <c r="H34" s="8"/>
      <c r="I34" s="8"/>
      <c r="J34" s="9"/>
    </row>
    <row r="35" spans="2:10" x14ac:dyDescent="0.3">
      <c r="G35" s="8" t="s">
        <v>187</v>
      </c>
      <c r="H35" s="66">
        <f>AVERAGE(I28:I33)</f>
        <v>3.7578819809289461E-7</v>
      </c>
      <c r="I35" s="8"/>
      <c r="J35" s="20"/>
    </row>
    <row r="36" spans="2:10" x14ac:dyDescent="0.3">
      <c r="B36" s="2" t="s">
        <v>169</v>
      </c>
      <c r="G36" s="8" t="s">
        <v>188</v>
      </c>
      <c r="H36" s="67">
        <f>AVERAGE(H28:H33)</f>
        <v>588228.25082206551</v>
      </c>
      <c r="I36" s="8"/>
      <c r="J36" s="9"/>
    </row>
    <row r="37" spans="2:10" x14ac:dyDescent="0.3">
      <c r="B37">
        <v>20</v>
      </c>
      <c r="H37" s="8"/>
      <c r="I37" s="8"/>
      <c r="J37" s="9"/>
    </row>
    <row r="38" spans="2:10" x14ac:dyDescent="0.3">
      <c r="G38" s="8" t="s">
        <v>180</v>
      </c>
      <c r="H38" s="21">
        <f>C21</f>
        <v>40000000</v>
      </c>
      <c r="I38" s="8"/>
      <c r="J38" s="22"/>
    </row>
    <row r="39" spans="2:10" x14ac:dyDescent="0.3">
      <c r="B39" s="2" t="s">
        <v>170</v>
      </c>
      <c r="E39" s="19"/>
    </row>
    <row r="40" spans="2:10" x14ac:dyDescent="0.3">
      <c r="B40" s="9">
        <f>B34/B37</f>
        <v>262697.37118870002</v>
      </c>
      <c r="G40" s="24" t="s">
        <v>220</v>
      </c>
      <c r="H40" s="2"/>
      <c r="I40" s="2"/>
    </row>
    <row r="41" spans="2:10" x14ac:dyDescent="0.3">
      <c r="G41" s="8" t="s">
        <v>221</v>
      </c>
    </row>
    <row r="43" spans="2:10" x14ac:dyDescent="0.3">
      <c r="G43" s="25">
        <f>H35*H36*H38+B40</f>
        <v>9104666.7489390709</v>
      </c>
      <c r="H43" s="10"/>
      <c r="I43" s="10"/>
    </row>
    <row r="45" spans="2:10" x14ac:dyDescent="0.3">
      <c r="G45" s="24" t="s">
        <v>174</v>
      </c>
      <c r="H45" s="2"/>
      <c r="I45" s="2"/>
    </row>
    <row r="46" spans="2:10" x14ac:dyDescent="0.3">
      <c r="G46" s="8" t="s">
        <v>175</v>
      </c>
    </row>
    <row r="47" spans="2:10" x14ac:dyDescent="0.3">
      <c r="H47" s="9"/>
      <c r="I47" s="9"/>
    </row>
    <row r="48" spans="2:10" x14ac:dyDescent="0.3">
      <c r="G48" s="30">
        <f>G43*1.3*1.1</f>
        <v>13019673.450982872</v>
      </c>
    </row>
    <row r="50" spans="5:9" x14ac:dyDescent="0.3">
      <c r="E50" s="19"/>
    </row>
    <row r="51" spans="5:9" x14ac:dyDescent="0.3">
      <c r="G51" s="24" t="s">
        <v>171</v>
      </c>
      <c r="H51" s="2"/>
      <c r="I51" s="2"/>
    </row>
    <row r="52" spans="5:9" x14ac:dyDescent="0.3">
      <c r="H52" t="s">
        <v>216</v>
      </c>
    </row>
    <row r="53" spans="5:9" x14ac:dyDescent="0.3">
      <c r="G53" s="8" t="s">
        <v>229</v>
      </c>
      <c r="H53" s="9">
        <f>H36*1.06</f>
        <v>623521.94587138947</v>
      </c>
    </row>
    <row r="54" spans="5:9" x14ac:dyDescent="0.3">
      <c r="G54" s="8" t="s">
        <v>218</v>
      </c>
      <c r="H54" s="23">
        <f>H35</f>
        <v>3.7578819809289461E-7</v>
      </c>
    </row>
    <row r="55" spans="5:9" x14ac:dyDescent="0.3">
      <c r="G55" s="8" t="s">
        <v>217</v>
      </c>
      <c r="H55" s="9">
        <f>H53*H54*H38+B40</f>
        <v>9635184.9116040934</v>
      </c>
    </row>
    <row r="56" spans="5:9" x14ac:dyDescent="0.3">
      <c r="G56" s="8" t="s">
        <v>226</v>
      </c>
      <c r="H56" s="9">
        <f>H55*1.3*1.1</f>
        <v>13778314.423593855</v>
      </c>
    </row>
    <row r="58" spans="5:9" x14ac:dyDescent="0.3">
      <c r="H58" s="72"/>
    </row>
  </sheetData>
  <pageMargins left="0.7" right="0.7" top="0.75" bottom="0.75" header="0.3" footer="0.3"/>
  <pageSetup paperSize="9" orientation="portrait" verticalDpi="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8188E8-54BE-2342-BADA-861AA85E0A05}">
  <dimension ref="A1:P65"/>
  <sheetViews>
    <sheetView topLeftCell="A33" workbookViewId="0">
      <selection activeCell="I45" sqref="I45"/>
    </sheetView>
  </sheetViews>
  <sheetFormatPr defaultColWidth="11.19921875" defaultRowHeight="15.6" x14ac:dyDescent="0.3"/>
  <cols>
    <col min="1" max="1" width="21.59765625" bestFit="1" customWidth="1"/>
    <col min="2" max="2" width="25.3984375" bestFit="1" customWidth="1"/>
    <col min="3" max="3" width="20.69921875" bestFit="1" customWidth="1"/>
    <col min="4" max="5" width="10.796875" bestFit="1" customWidth="1"/>
    <col min="6" max="6" width="11.796875" bestFit="1" customWidth="1"/>
    <col min="7" max="7" width="10.5" bestFit="1" customWidth="1"/>
    <col min="8" max="11" width="12.5" bestFit="1" customWidth="1"/>
    <col min="12" max="12" width="16" bestFit="1" customWidth="1"/>
    <col min="13" max="13" width="15.59765625" bestFit="1" customWidth="1"/>
    <col min="14" max="14" width="12.5" bestFit="1" customWidth="1"/>
    <col min="15" max="15" width="12.19921875" bestFit="1" customWidth="1"/>
    <col min="16" max="16" width="15.59765625" bestFit="1" customWidth="1"/>
    <col min="17" max="29" width="12.5" bestFit="1" customWidth="1"/>
    <col min="30" max="30" width="14.796875" bestFit="1" customWidth="1"/>
    <col min="31" max="72" width="12.5" bestFit="1" customWidth="1"/>
    <col min="73" max="73" width="14.796875" bestFit="1" customWidth="1"/>
    <col min="74" max="75" width="14" bestFit="1" customWidth="1"/>
    <col min="76" max="76" width="15.796875" bestFit="1" customWidth="1"/>
    <col min="77" max="77" width="10.5" bestFit="1" customWidth="1"/>
  </cols>
  <sheetData>
    <row r="1" spans="1:16" x14ac:dyDescent="0.3">
      <c r="O1" s="7" t="s">
        <v>154</v>
      </c>
      <c r="P1" t="s">
        <v>163</v>
      </c>
    </row>
    <row r="2" spans="1:16" x14ac:dyDescent="0.3">
      <c r="A2" s="7" t="s">
        <v>154</v>
      </c>
      <c r="B2" t="s">
        <v>233</v>
      </c>
      <c r="L2" t="s">
        <v>231</v>
      </c>
      <c r="O2" s="8">
        <v>2019</v>
      </c>
      <c r="P2" s="81">
        <v>17</v>
      </c>
    </row>
    <row r="3" spans="1:16" x14ac:dyDescent="0.3">
      <c r="A3" s="8">
        <v>2018</v>
      </c>
      <c r="B3" s="32">
        <v>5338978.59</v>
      </c>
      <c r="L3" s="81">
        <v>17</v>
      </c>
    </row>
    <row r="4" spans="1:16" x14ac:dyDescent="0.3">
      <c r="A4" s="8">
        <v>2019</v>
      </c>
      <c r="B4" s="32">
        <v>8990521.8699999992</v>
      </c>
    </row>
    <row r="5" spans="1:16" x14ac:dyDescent="0.3">
      <c r="A5" s="8">
        <v>2020</v>
      </c>
      <c r="B5" s="32">
        <v>10876207.710000001</v>
      </c>
      <c r="L5" t="s">
        <v>232</v>
      </c>
    </row>
    <row r="6" spans="1:16" x14ac:dyDescent="0.3">
      <c r="A6" s="8">
        <v>2021</v>
      </c>
      <c r="B6" s="32">
        <v>11129343.550000003</v>
      </c>
      <c r="L6" s="32">
        <v>8990521.8699999992</v>
      </c>
    </row>
    <row r="7" spans="1:16" x14ac:dyDescent="0.3">
      <c r="A7" s="8">
        <v>2022</v>
      </c>
      <c r="B7" s="32">
        <v>14259556.129999999</v>
      </c>
    </row>
    <row r="8" spans="1:16" x14ac:dyDescent="0.3">
      <c r="A8" s="8">
        <v>2023</v>
      </c>
      <c r="B8" s="32">
        <v>7215626.96</v>
      </c>
      <c r="L8" t="s">
        <v>230</v>
      </c>
    </row>
    <row r="9" spans="1:16" x14ac:dyDescent="0.3">
      <c r="L9" s="32">
        <v>528854.22764705878</v>
      </c>
    </row>
    <row r="11" spans="1:16" x14ac:dyDescent="0.3">
      <c r="L11" s="7" t="s">
        <v>154</v>
      </c>
      <c r="M11" t="s">
        <v>163</v>
      </c>
    </row>
    <row r="12" spans="1:16" x14ac:dyDescent="0.3">
      <c r="L12" s="8" t="s">
        <v>16</v>
      </c>
      <c r="M12" s="81">
        <v>1</v>
      </c>
    </row>
    <row r="13" spans="1:16" x14ac:dyDescent="0.3">
      <c r="L13" s="8" t="s">
        <v>10</v>
      </c>
      <c r="M13" s="81">
        <v>6</v>
      </c>
    </row>
    <row r="14" spans="1:16" x14ac:dyDescent="0.3">
      <c r="L14" s="8" t="s">
        <v>21</v>
      </c>
      <c r="M14" s="81">
        <v>3</v>
      </c>
    </row>
    <row r="15" spans="1:16" x14ac:dyDescent="0.3">
      <c r="A15" s="7" t="s">
        <v>154</v>
      </c>
      <c r="B15" t="s">
        <v>230</v>
      </c>
      <c r="L15" s="8" t="s">
        <v>26</v>
      </c>
      <c r="M15" s="81">
        <v>5</v>
      </c>
    </row>
    <row r="16" spans="1:16" x14ac:dyDescent="0.3">
      <c r="A16" s="8" t="s">
        <v>16</v>
      </c>
      <c r="B16" s="32">
        <v>573839.54</v>
      </c>
      <c r="L16" s="8" t="s">
        <v>32</v>
      </c>
      <c r="M16" s="81">
        <v>2</v>
      </c>
    </row>
    <row r="17" spans="1:13" x14ac:dyDescent="0.3">
      <c r="A17" s="8" t="s">
        <v>10</v>
      </c>
      <c r="B17" s="32">
        <v>469324.84833333333</v>
      </c>
    </row>
    <row r="18" spans="1:13" x14ac:dyDescent="0.3">
      <c r="A18" s="8" t="s">
        <v>21</v>
      </c>
      <c r="B18" s="32">
        <v>702039.87</v>
      </c>
    </row>
    <row r="19" spans="1:13" x14ac:dyDescent="0.3">
      <c r="A19" s="8" t="s">
        <v>26</v>
      </c>
      <c r="B19" s="32">
        <v>556438.30199999991</v>
      </c>
      <c r="L19" s="7" t="s">
        <v>154</v>
      </c>
      <c r="M19" t="s">
        <v>163</v>
      </c>
    </row>
    <row r="20" spans="1:13" x14ac:dyDescent="0.3">
      <c r="A20" s="8" t="s">
        <v>32</v>
      </c>
      <c r="B20" s="32">
        <v>356211.06</v>
      </c>
      <c r="L20" s="8" t="s">
        <v>18</v>
      </c>
      <c r="M20" s="81">
        <v>5</v>
      </c>
    </row>
    <row r="21" spans="1:13" x14ac:dyDescent="0.3">
      <c r="L21" s="8" t="s">
        <v>13</v>
      </c>
      <c r="M21" s="81">
        <v>5</v>
      </c>
    </row>
    <row r="22" spans="1:13" x14ac:dyDescent="0.3">
      <c r="L22" s="8" t="s">
        <v>23</v>
      </c>
      <c r="M22" s="81">
        <v>2</v>
      </c>
    </row>
    <row r="23" spans="1:13" x14ac:dyDescent="0.3">
      <c r="L23" s="8" t="s">
        <v>38</v>
      </c>
      <c r="M23" s="81">
        <v>3</v>
      </c>
    </row>
    <row r="24" spans="1:13" x14ac:dyDescent="0.3">
      <c r="L24" s="8" t="s">
        <v>29</v>
      </c>
      <c r="M24" s="81">
        <v>2</v>
      </c>
    </row>
    <row r="30" spans="1:13" x14ac:dyDescent="0.3">
      <c r="A30" s="7" t="s">
        <v>154</v>
      </c>
      <c r="B30" t="s">
        <v>163</v>
      </c>
    </row>
    <row r="31" spans="1:13" x14ac:dyDescent="0.3">
      <c r="A31" s="8">
        <v>2018</v>
      </c>
      <c r="B31" s="12">
        <v>10</v>
      </c>
    </row>
    <row r="32" spans="1:13" x14ac:dyDescent="0.3">
      <c r="A32" s="8">
        <v>2019</v>
      </c>
      <c r="B32" s="12">
        <v>17</v>
      </c>
    </row>
    <row r="33" spans="1:2" x14ac:dyDescent="0.3">
      <c r="A33" s="8">
        <v>2020</v>
      </c>
      <c r="B33" s="12">
        <v>20</v>
      </c>
    </row>
    <row r="34" spans="1:2" x14ac:dyDescent="0.3">
      <c r="A34" s="8">
        <v>2021</v>
      </c>
      <c r="B34" s="12">
        <v>20</v>
      </c>
    </row>
    <row r="35" spans="1:2" x14ac:dyDescent="0.3">
      <c r="A35" s="8">
        <v>2022</v>
      </c>
      <c r="B35" s="12">
        <v>17</v>
      </c>
    </row>
    <row r="36" spans="1:2" x14ac:dyDescent="0.3">
      <c r="A36" s="8">
        <v>2023</v>
      </c>
      <c r="B36" s="12">
        <v>16</v>
      </c>
    </row>
    <row r="44" spans="1:2" x14ac:dyDescent="0.3">
      <c r="A44" s="7" t="s">
        <v>154</v>
      </c>
      <c r="B44" t="s">
        <v>233</v>
      </c>
    </row>
    <row r="45" spans="1:2" x14ac:dyDescent="0.3">
      <c r="A45" s="8" t="s">
        <v>16</v>
      </c>
      <c r="B45" s="32">
        <v>573839.54</v>
      </c>
    </row>
    <row r="46" spans="1:2" x14ac:dyDescent="0.3">
      <c r="A46" s="8" t="s">
        <v>10</v>
      </c>
      <c r="B46" s="32">
        <v>2815949.09</v>
      </c>
    </row>
    <row r="47" spans="1:2" x14ac:dyDescent="0.3">
      <c r="A47" s="8" t="s">
        <v>21</v>
      </c>
      <c r="B47" s="32">
        <v>2106119.61</v>
      </c>
    </row>
    <row r="48" spans="1:2" x14ac:dyDescent="0.3">
      <c r="A48" s="8" t="s">
        <v>26</v>
      </c>
      <c r="B48" s="32">
        <v>2782191.51</v>
      </c>
    </row>
    <row r="49" spans="1:2" x14ac:dyDescent="0.3">
      <c r="A49" s="8" t="s">
        <v>32</v>
      </c>
      <c r="B49" s="32">
        <v>712422.12</v>
      </c>
    </row>
    <row r="60" spans="1:2" x14ac:dyDescent="0.3">
      <c r="A60" s="7" t="s">
        <v>154</v>
      </c>
      <c r="B60" t="s">
        <v>233</v>
      </c>
    </row>
    <row r="61" spans="1:2" x14ac:dyDescent="0.3">
      <c r="A61" s="8" t="s">
        <v>18</v>
      </c>
      <c r="B61" s="32">
        <v>2665361.73</v>
      </c>
    </row>
    <row r="62" spans="1:2" x14ac:dyDescent="0.3">
      <c r="A62" s="8" t="s">
        <v>13</v>
      </c>
      <c r="B62" s="32">
        <v>2339443.5</v>
      </c>
    </row>
    <row r="63" spans="1:2" x14ac:dyDescent="0.3">
      <c r="A63" s="8" t="s">
        <v>23</v>
      </c>
      <c r="B63" s="32">
        <v>1212688.83</v>
      </c>
    </row>
    <row r="64" spans="1:2" x14ac:dyDescent="0.3">
      <c r="A64" s="8" t="s">
        <v>38</v>
      </c>
      <c r="B64" s="32">
        <v>1425561.1</v>
      </c>
    </row>
    <row r="65" spans="1:2" x14ac:dyDescent="0.3">
      <c r="A65" s="8" t="s">
        <v>29</v>
      </c>
      <c r="B65" s="32">
        <v>1347466.71</v>
      </c>
    </row>
  </sheetData>
  <pageMargins left="0.7" right="0.7" top="0.75" bottom="0.75" header="0.3" footer="0.3"/>
  <drawing r:id="rId12"/>
  <extLst>
    <ext xmlns:x14="http://schemas.microsoft.com/office/spreadsheetml/2009/9/main" uri="{A8765BA9-456A-4dab-B4F3-ACF838C121DE}">
      <x14:slicerList>
        <x14:slicer r:id="rId1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CBB40-591D-C543-9235-6636CDC6AC5E}">
  <dimension ref="U4:AD6"/>
  <sheetViews>
    <sheetView tabSelected="1" zoomScale="70" zoomScaleNormal="70" workbookViewId="0">
      <selection activeCell="Y10" sqref="Y10"/>
    </sheetView>
  </sheetViews>
  <sheetFormatPr defaultColWidth="10.796875" defaultRowHeight="15.6" x14ac:dyDescent="0.3"/>
  <cols>
    <col min="1" max="16384" width="10.796875" style="77"/>
  </cols>
  <sheetData>
    <row r="4" spans="21:30" x14ac:dyDescent="0.3">
      <c r="U4" s="78"/>
      <c r="V4" s="78"/>
      <c r="W4" s="78"/>
      <c r="X4" s="78"/>
      <c r="Y4" s="78"/>
      <c r="Z4" s="78"/>
      <c r="AA4" s="78"/>
      <c r="AB4" s="78"/>
      <c r="AC4" s="78"/>
      <c r="AD4" s="78"/>
    </row>
    <row r="5" spans="21:30" x14ac:dyDescent="0.3">
      <c r="U5" s="79"/>
      <c r="V5" s="79"/>
      <c r="W5" s="79"/>
      <c r="X5" s="79"/>
      <c r="Y5" s="79"/>
      <c r="Z5" s="79"/>
      <c r="AA5" s="79"/>
      <c r="AB5" s="79"/>
      <c r="AC5" s="79"/>
      <c r="AD5" s="79"/>
    </row>
    <row r="6" spans="21:30" x14ac:dyDescent="0.3">
      <c r="U6" s="79"/>
      <c r="V6" s="79"/>
      <c r="W6" s="79"/>
      <c r="X6" s="79"/>
      <c r="Y6" s="79"/>
      <c r="Z6" s="79"/>
      <c r="AA6" s="79"/>
      <c r="AB6" s="79"/>
      <c r="AC6" s="79"/>
      <c r="AD6" s="79"/>
    </row>
  </sheetData>
  <mergeCells count="10">
    <mergeCell ref="U5:V6"/>
    <mergeCell ref="W5:X6"/>
    <mergeCell ref="Y5:Z6"/>
    <mergeCell ref="AA5:AB6"/>
    <mergeCell ref="AC5:AD6"/>
    <mergeCell ref="U4:V4"/>
    <mergeCell ref="W4:X4"/>
    <mergeCell ref="Y4:Z4"/>
    <mergeCell ref="AA4:AB4"/>
    <mergeCell ref="AC4:AD4"/>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52148-7506-B546-ADF2-E1F7BB8B2568}">
  <dimension ref="A1"/>
  <sheetViews>
    <sheetView topLeftCell="A112" zoomScaleNormal="100" workbookViewId="0">
      <selection sqref="A1:XFD1048576"/>
    </sheetView>
  </sheetViews>
  <sheetFormatPr defaultColWidth="10.796875" defaultRowHeight="15.6" x14ac:dyDescent="0.3"/>
  <cols>
    <col min="1" max="16384" width="10.796875" style="80"/>
  </cols>
  <sheetData/>
  <mergeCells count="1">
    <mergeCell ref="A1:XFD1048576"/>
  </mergeCells>
  <pageMargins left="0.7" right="0.7" top="0.75" bottom="0.75" header="0.3" footer="0.3"/>
  <pageSetup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Claims Data</vt:lpstr>
      <vt:lpstr>Exploratory</vt:lpstr>
      <vt:lpstr>Pure Premium Work</vt:lpstr>
      <vt:lpstr>PivotWork</vt:lpstr>
      <vt:lpstr>Dashboard</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Young, Aimee</dc:creator>
  <cp:lastModifiedBy>Trung Le</cp:lastModifiedBy>
  <dcterms:created xsi:type="dcterms:W3CDTF">2024-09-03T17:44:11Z</dcterms:created>
  <dcterms:modified xsi:type="dcterms:W3CDTF">2025-08-14T03:39:13Z</dcterms:modified>
</cp:coreProperties>
</file>