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liliasilva/Library/CloudStorage/Dropbox/20Degrees/FUNDAP/Negocios Sociales/El Refugio/Finanzas/2023/"/>
    </mc:Choice>
  </mc:AlternateContent>
  <xr:revisionPtr revIDLastSave="0" documentId="13_ncr:1_{51D1834D-7F9E-944A-850A-08DD91FC1E92}" xr6:coauthVersionLast="47" xr6:coauthVersionMax="47" xr10:uidLastSave="{00000000-0000-0000-0000-000000000000}"/>
  <bookViews>
    <workbookView xWindow="0" yWindow="0" windowWidth="28800" windowHeight="18000" xr2:uid="{95F7801C-0847-8740-A135-076833AA40B0}"/>
  </bookViews>
  <sheets>
    <sheet name="P&amp;L" sheetId="1" r:id="rId1"/>
  </sheets>
  <externalReferences>
    <externalReference r:id="rId2"/>
  </externalReferences>
  <definedNames>
    <definedName name="\a">#N/A</definedName>
    <definedName name="DOS">#N/A</definedName>
    <definedName name="_xlnm.Print_Area" localSheetId="0">'P&amp;L'!$A$5:$M$80</definedName>
    <definedName name="_xlnm.Print_Titles" localSheetId="0">'P&amp;L'!$1:$4</definedName>
    <definedName name="UNO">#N/A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F91" i="1"/>
  <c r="F94" i="1"/>
  <c r="F95" i="1"/>
  <c r="D6" i="1"/>
  <c r="I6" i="1" s="1"/>
  <c r="L6" i="1"/>
  <c r="C7" i="1"/>
  <c r="I7" i="1" s="1"/>
  <c r="L7" i="1"/>
  <c r="H8" i="1"/>
  <c r="I8" i="1" s="1"/>
  <c r="J8" i="1"/>
  <c r="K8" i="1"/>
  <c r="E9" i="1"/>
  <c r="I9" i="1" s="1"/>
  <c r="L9" i="1"/>
  <c r="E10" i="1"/>
  <c r="I10" i="1" s="1"/>
  <c r="L10" i="1"/>
  <c r="I11" i="1"/>
  <c r="J11" i="1"/>
  <c r="L11" i="1" s="1"/>
  <c r="C12" i="1"/>
  <c r="I12" i="1" s="1"/>
  <c r="L12" i="1"/>
  <c r="I13" i="1"/>
  <c r="K13" i="1"/>
  <c r="L13" i="1" s="1"/>
  <c r="H14" i="1"/>
  <c r="I14" i="1" s="1"/>
  <c r="L14" i="1"/>
  <c r="C15" i="1"/>
  <c r="D15" i="1"/>
  <c r="H15" i="1"/>
  <c r="J15" i="1"/>
  <c r="K15" i="1"/>
  <c r="I16" i="1"/>
  <c r="J16" i="1"/>
  <c r="L16" i="1" s="1"/>
  <c r="C17" i="1"/>
  <c r="I17" i="1" s="1"/>
  <c r="J17" i="1"/>
  <c r="L17" i="1" s="1"/>
  <c r="I18" i="1"/>
  <c r="L18" i="1"/>
  <c r="F19" i="1"/>
  <c r="G19" i="1"/>
  <c r="I21" i="1"/>
  <c r="L21" i="1"/>
  <c r="C22" i="1"/>
  <c r="I22" i="1" s="1"/>
  <c r="L22" i="1"/>
  <c r="I23" i="1"/>
  <c r="L23" i="1"/>
  <c r="C24" i="1"/>
  <c r="D24" i="1"/>
  <c r="J24" i="1"/>
  <c r="L24" i="1" s="1"/>
  <c r="C25" i="1"/>
  <c r="D25" i="1"/>
  <c r="J25" i="1"/>
  <c r="L25" i="1" s="1"/>
  <c r="C26" i="1"/>
  <c r="I26" i="1" s="1"/>
  <c r="J26" i="1"/>
  <c r="L26" i="1" s="1"/>
  <c r="C27" i="1"/>
  <c r="D27" i="1"/>
  <c r="J27" i="1"/>
  <c r="L27" i="1" s="1"/>
  <c r="C28" i="1"/>
  <c r="D28" i="1"/>
  <c r="J28" i="1"/>
  <c r="L28" i="1" s="1"/>
  <c r="I29" i="1"/>
  <c r="L29" i="1"/>
  <c r="C30" i="1"/>
  <c r="D30" i="1"/>
  <c r="J30" i="1"/>
  <c r="L30" i="1" s="1"/>
  <c r="C31" i="1"/>
  <c r="D31" i="1"/>
  <c r="J31" i="1"/>
  <c r="L31" i="1" s="1"/>
  <c r="I32" i="1"/>
  <c r="J32" i="1"/>
  <c r="L32" i="1" s="1"/>
  <c r="C33" i="1"/>
  <c r="I33" i="1" s="1"/>
  <c r="L33" i="1"/>
  <c r="I34" i="1"/>
  <c r="L34" i="1"/>
  <c r="C35" i="1"/>
  <c r="D35" i="1"/>
  <c r="L35" i="1"/>
  <c r="C36" i="1"/>
  <c r="D36" i="1"/>
  <c r="E36" i="1"/>
  <c r="E39" i="1" s="1"/>
  <c r="J36" i="1"/>
  <c r="L36" i="1" s="1"/>
  <c r="I37" i="1"/>
  <c r="J37" i="1"/>
  <c r="K37" i="1"/>
  <c r="K39" i="1" s="1"/>
  <c r="M38" i="1"/>
  <c r="F39" i="1"/>
  <c r="G39" i="1"/>
  <c r="H39" i="1"/>
  <c r="C42" i="1"/>
  <c r="D42" i="1"/>
  <c r="E42" i="1"/>
  <c r="G42" i="1"/>
  <c r="H42" i="1"/>
  <c r="K42" i="1"/>
  <c r="L42" i="1" s="1"/>
  <c r="C43" i="1"/>
  <c r="D43" i="1"/>
  <c r="E43" i="1"/>
  <c r="G43" i="1"/>
  <c r="H43" i="1"/>
  <c r="K43" i="1"/>
  <c r="L43" i="1" s="1"/>
  <c r="C44" i="1"/>
  <c r="D44" i="1"/>
  <c r="E44" i="1"/>
  <c r="G44" i="1"/>
  <c r="K44" i="1"/>
  <c r="L44" i="1" s="1"/>
  <c r="C45" i="1"/>
  <c r="D45" i="1"/>
  <c r="E45" i="1"/>
  <c r="G45" i="1"/>
  <c r="H45" i="1"/>
  <c r="K45" i="1"/>
  <c r="L45" i="1" s="1"/>
  <c r="C46" i="1"/>
  <c r="D46" i="1"/>
  <c r="E46" i="1"/>
  <c r="G46" i="1"/>
  <c r="H46" i="1"/>
  <c r="K46" i="1"/>
  <c r="L46" i="1" s="1"/>
  <c r="C47" i="1"/>
  <c r="D47" i="1"/>
  <c r="E47" i="1"/>
  <c r="G47" i="1"/>
  <c r="J47" i="1"/>
  <c r="K47" i="1"/>
  <c r="C48" i="1"/>
  <c r="D48" i="1"/>
  <c r="E48" i="1"/>
  <c r="G48" i="1"/>
  <c r="H48" i="1"/>
  <c r="J48" i="1"/>
  <c r="K48" i="1"/>
  <c r="C49" i="1"/>
  <c r="D49" i="1"/>
  <c r="E49" i="1"/>
  <c r="G49" i="1"/>
  <c r="H49" i="1"/>
  <c r="K49" i="1"/>
  <c r="L49" i="1" s="1"/>
  <c r="C50" i="1"/>
  <c r="D50" i="1"/>
  <c r="E50" i="1"/>
  <c r="L50" i="1"/>
  <c r="C51" i="1"/>
  <c r="I51" i="1" s="1"/>
  <c r="J51" i="1"/>
  <c r="L51" i="1" s="1"/>
  <c r="C52" i="1"/>
  <c r="D52" i="1"/>
  <c r="E52" i="1"/>
  <c r="G52" i="1"/>
  <c r="J52" i="1"/>
  <c r="L52" i="1" s="1"/>
  <c r="C53" i="1"/>
  <c r="I53" i="1" s="1"/>
  <c r="J53" i="1"/>
  <c r="L53" i="1" s="1"/>
  <c r="C54" i="1"/>
  <c r="I54" i="1" s="1"/>
  <c r="L54" i="1"/>
  <c r="C55" i="1"/>
  <c r="I55" i="1" s="1"/>
  <c r="J55" i="1"/>
  <c r="L55" i="1" s="1"/>
  <c r="C56" i="1"/>
  <c r="I56" i="1" s="1"/>
  <c r="J56" i="1"/>
  <c r="L56" i="1" s="1"/>
  <c r="C57" i="1"/>
  <c r="D57" i="1"/>
  <c r="E57" i="1"/>
  <c r="G57" i="1"/>
  <c r="H57" i="1"/>
  <c r="J57" i="1"/>
  <c r="K57" i="1"/>
  <c r="C58" i="1"/>
  <c r="E58" i="1"/>
  <c r="H58" i="1"/>
  <c r="J58" i="1"/>
  <c r="L58" i="1" s="1"/>
  <c r="I59" i="1"/>
  <c r="L59" i="1"/>
  <c r="C60" i="1"/>
  <c r="I60" i="1" s="1"/>
  <c r="J60" i="1"/>
  <c r="L60" i="1" s="1"/>
  <c r="I61" i="1"/>
  <c r="L61" i="1"/>
  <c r="C62" i="1"/>
  <c r="D62" i="1"/>
  <c r="E62" i="1"/>
  <c r="G62" i="1"/>
  <c r="L62" i="1"/>
  <c r="C63" i="1"/>
  <c r="I63" i="1" s="1"/>
  <c r="L63" i="1"/>
  <c r="C64" i="1"/>
  <c r="I64" i="1" s="1"/>
  <c r="L64" i="1"/>
  <c r="C65" i="1"/>
  <c r="I65" i="1" s="1"/>
  <c r="J65" i="1"/>
  <c r="L65" i="1" s="1"/>
  <c r="I66" i="1"/>
  <c r="L66" i="1"/>
  <c r="C67" i="1"/>
  <c r="D67" i="1"/>
  <c r="E67" i="1"/>
  <c r="L67" i="1"/>
  <c r="I68" i="1"/>
  <c r="L68" i="1"/>
  <c r="C69" i="1"/>
  <c r="I69" i="1" s="1"/>
  <c r="L69" i="1"/>
  <c r="C70" i="1"/>
  <c r="I70" i="1" s="1"/>
  <c r="L70" i="1"/>
  <c r="C71" i="1"/>
  <c r="I71" i="1" s="1"/>
  <c r="J71" i="1"/>
  <c r="L71" i="1" s="1"/>
  <c r="C72" i="1"/>
  <c r="E72" i="1"/>
  <c r="L72" i="1"/>
  <c r="C73" i="1"/>
  <c r="I73" i="1" s="1"/>
  <c r="L73" i="1"/>
  <c r="C74" i="1"/>
  <c r="I74" i="1" s="1"/>
  <c r="J74" i="1"/>
  <c r="L74" i="1" s="1"/>
  <c r="I75" i="1"/>
  <c r="L75" i="1"/>
  <c r="F76" i="1"/>
  <c r="N81" i="1"/>
  <c r="N80" i="1" s="1"/>
  <c r="F88" i="1" l="1"/>
  <c r="F93" i="1"/>
  <c r="F89" i="1"/>
  <c r="F92" i="1"/>
  <c r="M10" i="1"/>
  <c r="I30" i="1"/>
  <c r="M30" i="1" s="1"/>
  <c r="M73" i="1"/>
  <c r="M54" i="1"/>
  <c r="L48" i="1"/>
  <c r="M12" i="1"/>
  <c r="M6" i="1"/>
  <c r="I46" i="1"/>
  <c r="M46" i="1" s="1"/>
  <c r="M70" i="1"/>
  <c r="M14" i="1"/>
  <c r="I67" i="1"/>
  <c r="M67" i="1" s="1"/>
  <c r="L57" i="1"/>
  <c r="I27" i="1"/>
  <c r="M27" i="1" s="1"/>
  <c r="H19" i="1"/>
  <c r="M63" i="1"/>
  <c r="L8" i="1"/>
  <c r="M8" i="1" s="1"/>
  <c r="E76" i="1"/>
  <c r="I35" i="1"/>
  <c r="M35" i="1" s="1"/>
  <c r="E19" i="1"/>
  <c r="E40" i="1" s="1"/>
  <c r="D19" i="1"/>
  <c r="I72" i="1"/>
  <c r="M72" i="1" s="1"/>
  <c r="M68" i="1"/>
  <c r="M64" i="1"/>
  <c r="L47" i="1"/>
  <c r="L37" i="1"/>
  <c r="L39" i="1" s="1"/>
  <c r="M56" i="1"/>
  <c r="I62" i="1"/>
  <c r="M62" i="1" s="1"/>
  <c r="I47" i="1"/>
  <c r="M29" i="1"/>
  <c r="M51" i="1"/>
  <c r="L15" i="1"/>
  <c r="I44" i="1"/>
  <c r="M44" i="1" s="1"/>
  <c r="I36" i="1"/>
  <c r="M36" i="1" s="1"/>
  <c r="I31" i="1"/>
  <c r="M31" i="1" s="1"/>
  <c r="M22" i="1"/>
  <c r="M17" i="1"/>
  <c r="M75" i="1"/>
  <c r="M66" i="1"/>
  <c r="M61" i="1"/>
  <c r="I25" i="1"/>
  <c r="M25" i="1" s="1"/>
  <c r="M7" i="1"/>
  <c r="M60" i="1"/>
  <c r="I57" i="1"/>
  <c r="I49" i="1"/>
  <c r="M49" i="1" s="1"/>
  <c r="I58" i="1"/>
  <c r="M58" i="1" s="1"/>
  <c r="I45" i="1"/>
  <c r="M45" i="1" s="1"/>
  <c r="M34" i="1"/>
  <c r="M33" i="1"/>
  <c r="M53" i="1"/>
  <c r="M71" i="1"/>
  <c r="G76" i="1"/>
  <c r="G77" i="1" s="1"/>
  <c r="D76" i="1"/>
  <c r="D39" i="1"/>
  <c r="F77" i="1"/>
  <c r="F79" i="1" s="1"/>
  <c r="F81" i="1" s="1"/>
  <c r="I15" i="1"/>
  <c r="I43" i="1"/>
  <c r="M43" i="1" s="1"/>
  <c r="M9" i="1"/>
  <c r="I42" i="1"/>
  <c r="I52" i="1"/>
  <c r="M52" i="1" s="1"/>
  <c r="J39" i="1"/>
  <c r="C19" i="1"/>
  <c r="I48" i="1"/>
  <c r="I28" i="1"/>
  <c r="M28" i="1" s="1"/>
  <c r="M18" i="1"/>
  <c r="K76" i="1"/>
  <c r="C39" i="1"/>
  <c r="K19" i="1"/>
  <c r="M69" i="1"/>
  <c r="M59" i="1"/>
  <c r="I50" i="1"/>
  <c r="M50" i="1" s="1"/>
  <c r="H76" i="1"/>
  <c r="M23" i="1"/>
  <c r="J19" i="1"/>
  <c r="M55" i="1"/>
  <c r="M32" i="1"/>
  <c r="M26" i="1"/>
  <c r="M65" i="1"/>
  <c r="M13" i="1"/>
  <c r="M16" i="1"/>
  <c r="M74" i="1"/>
  <c r="M11" i="1"/>
  <c r="C76" i="1"/>
  <c r="M21" i="1"/>
  <c r="J76" i="1"/>
  <c r="I24" i="1"/>
  <c r="M24" i="1" s="1"/>
  <c r="L19" i="1" l="1"/>
  <c r="F96" i="1"/>
  <c r="K77" i="1"/>
  <c r="K79" i="1" s="1"/>
  <c r="K81" i="1" s="1"/>
  <c r="L76" i="1"/>
  <c r="E77" i="1"/>
  <c r="E79" i="1" s="1"/>
  <c r="E81" i="1" s="1"/>
  <c r="M37" i="1"/>
  <c r="M39" i="1" s="1"/>
  <c r="M47" i="1"/>
  <c r="M48" i="1"/>
  <c r="D77" i="1"/>
  <c r="D79" i="1" s="1"/>
  <c r="D81" i="1" s="1"/>
  <c r="M57" i="1"/>
  <c r="H77" i="1"/>
  <c r="H79" i="1" s="1"/>
  <c r="H81" i="1" s="1"/>
  <c r="M15" i="1"/>
  <c r="M19" i="1" s="1"/>
  <c r="I76" i="1"/>
  <c r="L40" i="1"/>
  <c r="I19" i="1"/>
  <c r="K40" i="1"/>
  <c r="C40" i="1"/>
  <c r="J40" i="1"/>
  <c r="F80" i="1"/>
  <c r="C77" i="1"/>
  <c r="C79" i="1" s="1"/>
  <c r="M42" i="1"/>
  <c r="D40" i="1"/>
  <c r="L77" i="1"/>
  <c r="G79" i="1"/>
  <c r="G80" i="1" s="1"/>
  <c r="J77" i="1"/>
  <c r="I39" i="1"/>
  <c r="K80" i="1" l="1"/>
  <c r="E80" i="1"/>
  <c r="M76" i="1"/>
  <c r="H80" i="1"/>
  <c r="D80" i="1"/>
  <c r="M40" i="1"/>
  <c r="I40" i="1"/>
  <c r="I77" i="1"/>
  <c r="M77" i="1" s="1"/>
  <c r="M82" i="1" s="1"/>
  <c r="C80" i="1"/>
  <c r="J79" i="1"/>
  <c r="J81" i="1" s="1"/>
  <c r="C81" i="1"/>
  <c r="J80" i="1" l="1"/>
  <c r="M80" i="1" s="1"/>
  <c r="M79" i="1"/>
  <c r="M81" i="1" s="1"/>
</calcChain>
</file>

<file path=xl/sharedStrings.xml><?xml version="1.0" encoding="utf-8"?>
<sst xmlns="http://schemas.openxmlformats.org/spreadsheetml/2006/main" count="112" uniqueCount="99">
  <si>
    <t xml:space="preserve">PORCENTAJE DE UTILIDAD INGRESOS S/EGRESOS </t>
  </si>
  <si>
    <t>Utilidad después de Impuestos</t>
  </si>
  <si>
    <t>ISR Trimestral acumulado</t>
  </si>
  <si>
    <t>BOLSA ESCOLAR</t>
  </si>
  <si>
    <t>ACONTECIMIENTOS EVENTUALES</t>
  </si>
  <si>
    <t>ALQUILERES</t>
  </si>
  <si>
    <t>SUB-TOTAL</t>
  </si>
  <si>
    <t>Transportación</t>
  </si>
  <si>
    <t xml:space="preserve">   01/01/2023</t>
  </si>
  <si>
    <t>Income</t>
  </si>
  <si>
    <t>Description</t>
  </si>
  <si>
    <t>Food</t>
  </si>
  <si>
    <t>Lodging</t>
  </si>
  <si>
    <t>Events</t>
  </si>
  <si>
    <t>Forest</t>
  </si>
  <si>
    <t>Farm</t>
  </si>
  <si>
    <t>Agricultural Center</t>
  </si>
  <si>
    <t>Farm tours</t>
  </si>
  <si>
    <t>Multimedia</t>
  </si>
  <si>
    <t>Conference rooms</t>
  </si>
  <si>
    <t>Farm produce (milk/eggs)</t>
  </si>
  <si>
    <t>Event mounting services</t>
  </si>
  <si>
    <t>Farm produce (veggies)</t>
  </si>
  <si>
    <t>Other income</t>
  </si>
  <si>
    <t>Interests</t>
  </si>
  <si>
    <t>Asset sales</t>
  </si>
  <si>
    <t>Produce internal sales</t>
  </si>
  <si>
    <t>Purchase of goods</t>
  </si>
  <si>
    <t>Total</t>
  </si>
  <si>
    <t>Final inventory of goods</t>
  </si>
  <si>
    <t>Beginning inventory of goods</t>
  </si>
  <si>
    <t>Direct labor</t>
  </si>
  <si>
    <t>Allowances</t>
  </si>
  <si>
    <t>Christmas bonus</t>
  </si>
  <si>
    <t>Bono 14 (annual bonus)</t>
  </si>
  <si>
    <t>Vacation</t>
  </si>
  <si>
    <t>Social security fee</t>
  </si>
  <si>
    <t>Employee insurance</t>
  </si>
  <si>
    <t>Materials and agricultural supplies</t>
  </si>
  <si>
    <t>Supplies and tools</t>
  </si>
  <si>
    <t>Gas</t>
  </si>
  <si>
    <t>Maintenance of furniture and equipment</t>
  </si>
  <si>
    <t>Farm expenses</t>
  </si>
  <si>
    <t>Salaries</t>
  </si>
  <si>
    <t>Incentive bonus</t>
  </si>
  <si>
    <t>Professional services</t>
  </si>
  <si>
    <t>Per diem</t>
  </si>
  <si>
    <t>Fuel</t>
  </si>
  <si>
    <t>Vehicle maintenance</t>
  </si>
  <si>
    <t>Fixed assets insurance</t>
  </si>
  <si>
    <t>Office supplies</t>
  </si>
  <si>
    <t>Facilities maintenance</t>
  </si>
  <si>
    <t>Mail</t>
  </si>
  <si>
    <t>Advertising</t>
  </si>
  <si>
    <t>Utilities (water and electricity)</t>
  </si>
  <si>
    <t>Sales commisions</t>
  </si>
  <si>
    <t>Taxes</t>
  </si>
  <si>
    <t>Income tax</t>
  </si>
  <si>
    <t>Exchange rate differences</t>
  </si>
  <si>
    <t>Bank fees</t>
  </si>
  <si>
    <t>Depreciation multimedia equipment</t>
  </si>
  <si>
    <t>Depreciation furniture</t>
  </si>
  <si>
    <t>Non-deductible expenses</t>
  </si>
  <si>
    <t>Donations</t>
  </si>
  <si>
    <t>Surveillance</t>
  </si>
  <si>
    <t>Total expenses</t>
  </si>
  <si>
    <t>to</t>
  </si>
  <si>
    <t xml:space="preserve">              12/31/2023</t>
  </si>
  <si>
    <t>AGRICULTURAL AND FORESTRY PRODUCTION UNIT</t>
  </si>
  <si>
    <t>Events, food and lodging</t>
  </si>
  <si>
    <t>P&amp;L</t>
  </si>
  <si>
    <t>Labor el Refugio, LLC</t>
  </si>
  <si>
    <t>Cost of labor is assigned as follows:</t>
  </si>
  <si>
    <t>Employee 1</t>
  </si>
  <si>
    <t>Employee 2</t>
  </si>
  <si>
    <t>Employee 3</t>
  </si>
  <si>
    <t>Employee 5</t>
  </si>
  <si>
    <t>Employee 4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</si>
  <si>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</si>
  <si>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</si>
  <si>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</si>
  <si>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</si>
  <si>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</si>
  <si>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</si>
  <si>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</si>
  <si>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</si>
  <si>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</si>
  <si>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</si>
  <si>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Campus facilities</t>
  </si>
  <si>
    <t>Campus facilities are shared by El Refugio and a few other educational programs; therefore, a percentage of the total expenses are covered by El Refugio</t>
  </si>
  <si>
    <t>Administrative expenses</t>
  </si>
  <si>
    <t>Employee incentives</t>
  </si>
  <si>
    <t>Cell phone</t>
  </si>
  <si>
    <t>Credit card POS fee</t>
  </si>
  <si>
    <t>Veterinary fees</t>
  </si>
  <si>
    <t>COST OF SALES AND OPERATING EXPENSES</t>
  </si>
  <si>
    <t>% Gross profit</t>
  </si>
  <si>
    <t>TOTAL Costs  Q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</si>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</sst>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#,##0.000000000000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5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000000"/>
      <name val="Arial Narrow"/>
      <family val="2"/>
    </font>
    <font>
      <sz val="12"/>
      <name val="Arial Narrow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9" fontId="4" fillId="2" borderId="1" xfId="2" applyFont="1" applyFill="1" applyBorder="1" applyAlignment="1">
      <alignment vertical="center"/>
    </xf>
    <xf numFmtId="9" fontId="4" fillId="2" borderId="2" xfId="2" applyFont="1" applyFill="1" applyBorder="1" applyAlignment="1">
      <alignment vertical="center"/>
    </xf>
    <xf numFmtId="0" fontId="4" fillId="2" borderId="2" xfId="0" applyFont="1" applyFill="1" applyBorder="1" applyAlignment="1">
      <alignment vertical="justify"/>
    </xf>
    <xf numFmtId="0" fontId="4" fillId="2" borderId="3" xfId="0" applyFont="1" applyFill="1" applyBorder="1" applyAlignment="1">
      <alignment vertical="justify"/>
    </xf>
    <xf numFmtId="40" fontId="4" fillId="0" borderId="1" xfId="0" applyNumberFormat="1" applyFont="1" applyBorder="1" applyAlignment="1">
      <alignment vertical="center"/>
    </xf>
    <xf numFmtId="40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justify"/>
    </xf>
    <xf numFmtId="0" fontId="4" fillId="0" borderId="3" xfId="0" applyFont="1" applyBorder="1" applyAlignment="1">
      <alignment vertical="justify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4" fontId="2" fillId="2" borderId="4" xfId="0" applyNumberFormat="1" applyFont="1" applyFill="1" applyBorder="1" applyAlignment="1">
      <alignment vertical="center"/>
    </xf>
    <xf numFmtId="4" fontId="4" fillId="3" borderId="4" xfId="1" applyNumberFormat="1" applyFont="1" applyFill="1" applyBorder="1" applyAlignment="1">
      <alignment horizontal="right" vertical="center" wrapText="1"/>
    </xf>
    <xf numFmtId="4" fontId="2" fillId="4" borderId="4" xfId="1" applyNumberFormat="1" applyFont="1" applyFill="1" applyBorder="1" applyAlignment="1">
      <alignment horizontal="right" vertical="center" wrapText="1"/>
    </xf>
    <xf numFmtId="4" fontId="4" fillId="5" borderId="4" xfId="1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/>
    </xf>
    <xf numFmtId="0" fontId="0" fillId="0" borderId="0" xfId="0" applyProtection="1">
      <protection locked="0"/>
    </xf>
    <xf numFmtId="43" fontId="1" fillId="0" borderId="0" xfId="1" applyFont="1" applyProtection="1">
      <protection locked="0"/>
    </xf>
    <xf numFmtId="39" fontId="2" fillId="0" borderId="0" xfId="0" applyNumberFormat="1" applyFont="1" applyAlignment="1">
      <alignment vertical="center"/>
    </xf>
    <xf numFmtId="4" fontId="2" fillId="2" borderId="5" xfId="0" applyNumberFormat="1" applyFont="1" applyFill="1" applyBorder="1" applyAlignment="1">
      <alignment vertical="center"/>
    </xf>
    <xf numFmtId="4" fontId="4" fillId="3" borderId="5" xfId="1" applyNumberFormat="1" applyFont="1" applyFill="1" applyBorder="1" applyAlignment="1">
      <alignment horizontal="right" vertical="center" wrapText="1"/>
    </xf>
    <xf numFmtId="4" fontId="2" fillId="4" borderId="5" xfId="1" applyNumberFormat="1" applyFont="1" applyFill="1" applyBorder="1" applyAlignment="1">
      <alignment horizontal="right" vertical="center" wrapText="1"/>
    </xf>
    <xf numFmtId="4" fontId="4" fillId="5" borderId="5" xfId="1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/>
    </xf>
    <xf numFmtId="4" fontId="2" fillId="2" borderId="6" xfId="0" applyNumberFormat="1" applyFont="1" applyFill="1" applyBorder="1" applyAlignment="1">
      <alignment vertical="center"/>
    </xf>
    <xf numFmtId="4" fontId="4" fillId="3" borderId="6" xfId="1" applyNumberFormat="1" applyFont="1" applyFill="1" applyBorder="1" applyAlignment="1">
      <alignment horizontal="right" vertical="center" wrapText="1"/>
    </xf>
    <xf numFmtId="4" fontId="2" fillId="0" borderId="6" xfId="1" applyNumberFormat="1" applyFont="1" applyBorder="1" applyAlignment="1">
      <alignment horizontal="right" vertical="center" wrapText="1"/>
    </xf>
    <xf numFmtId="4" fontId="4" fillId="5" borderId="6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" fontId="0" fillId="0" borderId="0" xfId="0" applyNumberFormat="1" applyProtection="1">
      <protection locked="0"/>
    </xf>
    <xf numFmtId="4" fontId="2" fillId="2" borderId="0" xfId="0" applyNumberFormat="1" applyFont="1" applyFill="1" applyAlignment="1">
      <alignment vertical="center"/>
    </xf>
    <xf numFmtId="4" fontId="4" fillId="3" borderId="0" xfId="0" applyNumberFormat="1" applyFont="1" applyFill="1" applyAlignment="1">
      <alignment vertical="center"/>
    </xf>
    <xf numFmtId="4" fontId="4" fillId="5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9" fontId="2" fillId="2" borderId="0" xfId="2" applyFont="1" applyFill="1" applyBorder="1" applyAlignment="1">
      <alignment horizontal="right" vertical="center" wrapText="1"/>
    </xf>
    <xf numFmtId="9" fontId="4" fillId="3" borderId="0" xfId="2" applyFont="1" applyFill="1" applyBorder="1" applyAlignment="1">
      <alignment horizontal="right" vertical="center" wrapText="1"/>
    </xf>
    <xf numFmtId="9" fontId="2" fillId="4" borderId="0" xfId="2" applyFont="1" applyFill="1" applyBorder="1" applyAlignment="1">
      <alignment horizontal="right" vertical="center" wrapText="1"/>
    </xf>
    <xf numFmtId="9" fontId="4" fillId="5" borderId="0" xfId="2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66" fontId="0" fillId="0" borderId="0" xfId="0" applyNumberFormat="1" applyProtection="1">
      <protection locked="0"/>
    </xf>
    <xf numFmtId="4" fontId="2" fillId="3" borderId="0" xfId="0" applyNumberFormat="1" applyFont="1" applyFill="1" applyAlignment="1">
      <alignment vertical="center"/>
    </xf>
    <xf numFmtId="4" fontId="2" fillId="5" borderId="0" xfId="0" applyNumberFormat="1" applyFont="1" applyFill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 wrapText="1"/>
    </xf>
    <xf numFmtId="4" fontId="4" fillId="6" borderId="7" xfId="0" applyNumberFormat="1" applyFont="1" applyFill="1" applyBorder="1" applyAlignment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 wrapText="1"/>
    </xf>
    <xf numFmtId="4" fontId="4" fillId="7" borderId="7" xfId="0" applyNumberFormat="1" applyFont="1" applyFill="1" applyBorder="1" applyAlignment="1">
      <alignment horizontal="center" vertical="center" wrapText="1"/>
    </xf>
    <xf numFmtId="4" fontId="4" fillId="7" borderId="7" xfId="1" applyNumberFormat="1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15" fontId="8" fillId="3" borderId="7" xfId="0" applyNumberFormat="1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vertical="center"/>
    </xf>
    <xf numFmtId="15" fontId="9" fillId="0" borderId="8" xfId="0" applyNumberFormat="1" applyFont="1" applyBorder="1" applyAlignment="1">
      <alignment horizontal="right" vertical="center"/>
    </xf>
    <xf numFmtId="15" fontId="9" fillId="0" borderId="8" xfId="0" applyNumberFormat="1" applyFont="1" applyBorder="1" applyAlignment="1">
      <alignment horizontal="right" vertical="center"/>
    </xf>
    <xf numFmtId="15" fontId="9" fillId="0" borderId="8" xfId="0" applyNumberFormat="1" applyFont="1" applyBorder="1" applyAlignment="1">
      <alignment horizontal="left" vertical="top"/>
    </xf>
    <xf numFmtId="0" fontId="8" fillId="0" borderId="8" xfId="0" applyFont="1" applyBorder="1" applyAlignment="1">
      <alignment vertical="top"/>
    </xf>
    <xf numFmtId="4" fontId="9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center" vertical="center" wrapText="1"/>
    </xf>
    <xf numFmtId="4" fontId="10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9" fontId="12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11" fillId="0" borderId="7" xfId="0" applyFont="1" applyBorder="1"/>
    <xf numFmtId="0" fontId="12" fillId="0" borderId="7" xfId="0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9" fontId="2" fillId="0" borderId="7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undap.com.gt/FUNDAP_CENTRAL_CONTABILIDAD/Usa/LARESA/PRESUPUESTOS/2023/EJECUCION%20PRESUPUESTAL%20LABOR%20EL%20REFUGIO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DOS"/>
    </sheetNames>
    <sheetDataSet>
      <sheetData sheetId="0">
        <row r="97">
          <cell r="CX97">
            <v>-30616.780000000261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A5E4-8898-1042-8334-3A2EAAF43766}">
  <sheetPr>
    <tabColor theme="7" tint="0.39997558519241921"/>
  </sheetPr>
  <dimension ref="A1:V101"/>
  <sheetViews>
    <sheetView showGridLines="0" tabSelected="1" zoomScale="168" zoomScaleNormal="100"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baseColWidth="10" defaultColWidth="11.5" defaultRowHeight="15" x14ac:dyDescent="0.2"/>
  <cols>
    <col min="1" max="1" width="7.6640625" style="1" customWidth="1"/>
    <col min="2" max="2" width="33.6640625" style="1" customWidth="1"/>
    <col min="3" max="5" width="15" style="2" customWidth="1"/>
    <col min="6" max="6" width="15" style="2" hidden="1" customWidth="1"/>
    <col min="7" max="13" width="15" style="2" customWidth="1"/>
    <col min="14" max="14" width="19.6640625" style="1" customWidth="1"/>
    <col min="15" max="15" width="18" style="1" bestFit="1" customWidth="1"/>
    <col min="16" max="16384" width="11.5" style="1"/>
  </cols>
  <sheetData>
    <row r="1" spans="1:22" ht="24" x14ac:dyDescent="0.2">
      <c r="A1" s="74" t="s">
        <v>71</v>
      </c>
      <c r="B1" s="74"/>
      <c r="C1" s="72"/>
      <c r="D1" s="72"/>
      <c r="E1" s="73"/>
      <c r="F1" s="72"/>
      <c r="G1" s="72"/>
      <c r="H1" s="72"/>
      <c r="I1" s="72"/>
      <c r="J1" s="72"/>
      <c r="K1" s="72"/>
      <c r="L1" s="72"/>
      <c r="M1" s="71"/>
    </row>
    <row r="2" spans="1:22" ht="23.25" customHeight="1" x14ac:dyDescent="0.2">
      <c r="A2" s="70" t="s">
        <v>70</v>
      </c>
      <c r="B2" s="70"/>
      <c r="C2" s="70"/>
      <c r="D2" s="70"/>
      <c r="E2" s="70"/>
      <c r="F2" s="69" t="s">
        <v>8</v>
      </c>
      <c r="G2" s="69"/>
      <c r="H2" s="69"/>
      <c r="I2" s="68" t="s">
        <v>66</v>
      </c>
      <c r="J2" s="67" t="s">
        <v>67</v>
      </c>
      <c r="K2" s="67"/>
      <c r="L2" s="67"/>
      <c r="M2" s="67"/>
    </row>
    <row r="3" spans="1:22" ht="42" customHeight="1" x14ac:dyDescent="0.25">
      <c r="A3" s="64" t="s">
        <v>10</v>
      </c>
      <c r="B3" s="64"/>
      <c r="C3" s="66" t="s">
        <v>69</v>
      </c>
      <c r="D3" s="66"/>
      <c r="E3" s="66"/>
      <c r="F3" s="66"/>
      <c r="G3" s="66"/>
      <c r="H3" s="66"/>
      <c r="I3" s="66"/>
      <c r="J3" s="65" t="s">
        <v>68</v>
      </c>
      <c r="K3" s="65"/>
      <c r="L3" s="65"/>
      <c r="M3" s="58" t="s">
        <v>28</v>
      </c>
    </row>
    <row r="4" spans="1:22" s="57" customFormat="1" ht="45" customHeight="1" x14ac:dyDescent="0.2">
      <c r="A4" s="64"/>
      <c r="B4" s="64"/>
      <c r="C4" s="62" t="s">
        <v>11</v>
      </c>
      <c r="D4" s="62" t="s">
        <v>12</v>
      </c>
      <c r="E4" s="63" t="s">
        <v>13</v>
      </c>
      <c r="F4" s="62" t="s">
        <v>7</v>
      </c>
      <c r="G4" s="62" t="s">
        <v>88</v>
      </c>
      <c r="H4" s="62" t="s">
        <v>14</v>
      </c>
      <c r="I4" s="61" t="s">
        <v>6</v>
      </c>
      <c r="J4" s="60" t="s">
        <v>15</v>
      </c>
      <c r="K4" s="60" t="s">
        <v>16</v>
      </c>
      <c r="L4" s="59" t="s">
        <v>6</v>
      </c>
      <c r="M4" s="58"/>
    </row>
    <row r="5" spans="1:22" ht="19" x14ac:dyDescent="0.2">
      <c r="A5" s="47" t="s">
        <v>9</v>
      </c>
      <c r="E5" s="56"/>
      <c r="I5" s="55"/>
      <c r="L5" s="54"/>
      <c r="M5" s="44"/>
    </row>
    <row r="6" spans="1:22" ht="17.25" customHeight="1" x14ac:dyDescent="0.2">
      <c r="A6" s="40">
        <v>4111101</v>
      </c>
      <c r="B6" s="39" t="s">
        <v>12</v>
      </c>
      <c r="C6" s="37">
        <v>0</v>
      </c>
      <c r="D6" s="37">
        <f>33655.35+633.93+15254.47+41812.49+36096.44-2078.57+39275.01+35254.46+85660.72+52374.98+26837.51+15384.85+70235.71+32200.89</f>
        <v>482598.24</v>
      </c>
      <c r="E6" s="37">
        <v>0</v>
      </c>
      <c r="F6" s="37">
        <v>0</v>
      </c>
      <c r="G6" s="37">
        <v>0</v>
      </c>
      <c r="H6" s="37">
        <v>0</v>
      </c>
      <c r="I6" s="38">
        <f>SUM(C6:H6)</f>
        <v>482598.24</v>
      </c>
      <c r="J6" s="37">
        <v>0</v>
      </c>
      <c r="K6" s="37">
        <v>0</v>
      </c>
      <c r="L6" s="36">
        <f>SUM(J6:K6)</f>
        <v>0</v>
      </c>
      <c r="M6" s="35">
        <f>+I6+L6</f>
        <v>482598.24</v>
      </c>
      <c r="N6" s="26"/>
      <c r="O6" s="26"/>
      <c r="P6" s="26"/>
      <c r="Q6" s="26"/>
      <c r="R6" s="26"/>
      <c r="S6"/>
      <c r="T6"/>
      <c r="U6"/>
      <c r="V6"/>
    </row>
    <row r="7" spans="1:22" ht="17.25" customHeight="1" x14ac:dyDescent="0.2">
      <c r="A7" s="42">
        <v>4111102</v>
      </c>
      <c r="B7" s="41" t="s">
        <v>11</v>
      </c>
      <c r="C7" s="37">
        <f>77805.34+89917.16+121688.39+76508.91-2002.68+131624.08-3665.18+95976.45-1025.36+159522.94-285.72+193804.06-805.36+82722.97+49280.89-507.14+192254.23-53.58+100757.17-2574.11</f>
        <v>1360943.46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8">
        <f>SUM(C7:H7)</f>
        <v>1360943.46</v>
      </c>
      <c r="J7" s="37">
        <v>0</v>
      </c>
      <c r="K7" s="37">
        <v>0</v>
      </c>
      <c r="L7" s="36">
        <f>SUM(J7:K7)</f>
        <v>0</v>
      </c>
      <c r="M7" s="35">
        <f>+I7+L7</f>
        <v>1360943.46</v>
      </c>
      <c r="N7" s="26"/>
      <c r="O7" s="26"/>
      <c r="P7" s="26"/>
      <c r="Q7" s="26"/>
      <c r="R7" s="26"/>
      <c r="S7"/>
      <c r="T7"/>
      <c r="U7"/>
      <c r="V7"/>
    </row>
    <row r="8" spans="1:22" ht="17.25" customHeight="1" x14ac:dyDescent="0.2">
      <c r="A8" s="42">
        <v>4111103</v>
      </c>
      <c r="B8" s="41" t="s">
        <v>17</v>
      </c>
      <c r="C8" s="37">
        <v>107.14</v>
      </c>
      <c r="D8" s="37">
        <v>0</v>
      </c>
      <c r="E8" s="37">
        <v>0</v>
      </c>
      <c r="F8" s="37">
        <v>0</v>
      </c>
      <c r="G8" s="37">
        <v>0</v>
      </c>
      <c r="H8" s="37">
        <f>308.03+147.32+270.54+19.64+1513.39+1190.18+785.71+133.93+303.57</f>
        <v>4672.3100000000004</v>
      </c>
      <c r="I8" s="38">
        <f>SUM(C8:H8)</f>
        <v>4779.4500000000007</v>
      </c>
      <c r="J8" s="37">
        <f>250+540.18+3995.51-1710.26+433.04+7321.43-589.28+1707.14+3683.04+1968.75+1936.6+2133.92+994.65+4169.64</f>
        <v>26834.36</v>
      </c>
      <c r="K8" s="37">
        <f>80.36+127.22+93.75+26.79+98.21</f>
        <v>426.33</v>
      </c>
      <c r="L8" s="36">
        <f>SUM(J8:K8)</f>
        <v>27260.690000000002</v>
      </c>
      <c r="M8" s="35">
        <f>+I8+L8</f>
        <v>32040.140000000003</v>
      </c>
      <c r="N8" s="26"/>
      <c r="O8" s="26"/>
      <c r="P8" s="26"/>
      <c r="Q8" s="26"/>
      <c r="R8" s="26"/>
      <c r="S8"/>
      <c r="T8"/>
      <c r="U8"/>
      <c r="V8"/>
    </row>
    <row r="9" spans="1:22" ht="17.25" customHeight="1" x14ac:dyDescent="0.2">
      <c r="A9" s="42">
        <v>4111106</v>
      </c>
      <c r="B9" s="41" t="s">
        <v>18</v>
      </c>
      <c r="C9" s="37">
        <v>0</v>
      </c>
      <c r="D9" s="37">
        <v>0</v>
      </c>
      <c r="E9" s="37">
        <f>714.3+625+535.72+937.5+446.43+2142.86</f>
        <v>5401.8099999999995</v>
      </c>
      <c r="F9" s="37">
        <v>0</v>
      </c>
      <c r="G9" s="37">
        <v>0</v>
      </c>
      <c r="H9" s="37">
        <v>0</v>
      </c>
      <c r="I9" s="38">
        <f>SUM(C9:H9)</f>
        <v>5401.8099999999995</v>
      </c>
      <c r="J9" s="37">
        <v>0</v>
      </c>
      <c r="K9" s="37">
        <v>0</v>
      </c>
      <c r="L9" s="36">
        <f>SUM(J9:K9)</f>
        <v>0</v>
      </c>
      <c r="M9" s="35">
        <f>+I9+L9</f>
        <v>5401.8099999999995</v>
      </c>
      <c r="N9" s="26"/>
      <c r="O9" s="26"/>
      <c r="P9" s="26"/>
      <c r="Q9" s="26"/>
      <c r="R9" s="26"/>
      <c r="S9"/>
      <c r="T9"/>
      <c r="U9"/>
      <c r="V9"/>
    </row>
    <row r="10" spans="1:22" ht="17.25" customHeight="1" x14ac:dyDescent="0.2">
      <c r="A10" s="42">
        <v>4111107</v>
      </c>
      <c r="B10" s="41" t="s">
        <v>19</v>
      </c>
      <c r="C10" s="37">
        <v>0</v>
      </c>
      <c r="D10" s="37">
        <v>0</v>
      </c>
      <c r="E10" s="37">
        <f>1026.8+3504.45+1830.35+669.64+3660.71+892.85+23513.38+3861.61+2017.85+9776.79+7455.36+3392.86</f>
        <v>61602.65</v>
      </c>
      <c r="F10" s="37">
        <v>0</v>
      </c>
      <c r="G10" s="37">
        <v>0</v>
      </c>
      <c r="H10" s="37">
        <v>0</v>
      </c>
      <c r="I10" s="38">
        <f>SUM(C10:H10)</f>
        <v>61602.65</v>
      </c>
      <c r="J10" s="37">
        <v>0</v>
      </c>
      <c r="K10" s="37">
        <v>0</v>
      </c>
      <c r="L10" s="36">
        <f>SUM(J10:K10)</f>
        <v>0</v>
      </c>
      <c r="M10" s="35">
        <f>+I10+L10</f>
        <v>61602.65</v>
      </c>
      <c r="N10" s="43"/>
      <c r="O10" s="26"/>
      <c r="P10" s="26"/>
      <c r="Q10" s="26"/>
      <c r="R10" s="26"/>
      <c r="S10"/>
      <c r="T10"/>
      <c r="U10"/>
      <c r="V10"/>
    </row>
    <row r="11" spans="1:22" ht="16" x14ac:dyDescent="0.2">
      <c r="A11" s="42">
        <v>4111109</v>
      </c>
      <c r="B11" s="41" t="s">
        <v>20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8">
        <f>SUM(C11:H11)</f>
        <v>0</v>
      </c>
      <c r="J11" s="37">
        <f>3521.4+6607.56+10503.56+8281.22+12961.52+12226.33+9917.86-33.04+14866.92-26.79+8478.34+11482.58-508.93+8425.88-333.93+9602.67-103.57</f>
        <v>115869.58000000002</v>
      </c>
      <c r="K11" s="37">
        <v>0</v>
      </c>
      <c r="L11" s="36">
        <f>SUM(J11:K11)</f>
        <v>115869.58000000002</v>
      </c>
      <c r="M11" s="35">
        <f>+I11+L11</f>
        <v>115869.58000000002</v>
      </c>
      <c r="N11" s="26"/>
      <c r="O11" s="26"/>
      <c r="P11" s="26"/>
      <c r="Q11" s="26"/>
      <c r="R11" s="26"/>
      <c r="S11"/>
      <c r="T11"/>
      <c r="U11"/>
      <c r="V11"/>
    </row>
    <row r="12" spans="1:22" ht="17.25" customHeight="1" x14ac:dyDescent="0.2">
      <c r="A12" s="42">
        <v>4111110</v>
      </c>
      <c r="B12" s="41" t="s">
        <v>21</v>
      </c>
      <c r="C12" s="37">
        <f>173.67+2767.86+1450.89+66.96+299.11+26.79+14464.29+44.64+2205.36+839.28</f>
        <v>22338.85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>SUM(C12:H12)</f>
        <v>22338.85</v>
      </c>
      <c r="J12" s="37">
        <v>0</v>
      </c>
      <c r="K12" s="37">
        <v>0</v>
      </c>
      <c r="L12" s="36">
        <f>SUM(J12:K12)</f>
        <v>0</v>
      </c>
      <c r="M12" s="35">
        <f>+I12+L12</f>
        <v>22338.85</v>
      </c>
      <c r="N12" s="26"/>
      <c r="O12" s="26"/>
      <c r="P12" s="26"/>
      <c r="Q12" s="26"/>
      <c r="R12" s="26"/>
      <c r="S12"/>
      <c r="T12"/>
      <c r="U12"/>
      <c r="V12"/>
    </row>
    <row r="13" spans="1:22" ht="17.25" customHeight="1" x14ac:dyDescent="0.2">
      <c r="A13" s="42">
        <v>4111111</v>
      </c>
      <c r="B13" s="41" t="s">
        <v>22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8">
        <f>SUM(C13:H13)</f>
        <v>0</v>
      </c>
      <c r="J13" s="37">
        <v>0</v>
      </c>
      <c r="K13" s="37">
        <f>466.97+914.29+1520.31+1473.68+931.7+1388.42-189.29+1346.44+2392.91+4479.03+6570.78+2285.75+2904.02-20.98</f>
        <v>26464.03</v>
      </c>
      <c r="L13" s="36">
        <f>SUM(J13:K13)</f>
        <v>26464.03</v>
      </c>
      <c r="M13" s="35">
        <f>+I13+L13</f>
        <v>26464.03</v>
      </c>
      <c r="N13" s="26"/>
      <c r="O13" s="26"/>
      <c r="P13" s="26"/>
      <c r="Q13" s="26"/>
      <c r="R13" s="26"/>
      <c r="S13"/>
      <c r="T13"/>
      <c r="U13"/>
      <c r="V13"/>
    </row>
    <row r="14" spans="1:22" ht="17.25" customHeight="1" x14ac:dyDescent="0.2">
      <c r="A14" s="42">
        <v>4111112</v>
      </c>
      <c r="B14" s="41" t="s">
        <v>14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f>1125+803.57+2794.64+298.67+17.86+5761.61+5339.29+4910.71+1004.48+473.21+2044.65</f>
        <v>24573.69</v>
      </c>
      <c r="I14" s="38">
        <f>SUM(C14:H14)</f>
        <v>24573.69</v>
      </c>
      <c r="J14" s="37">
        <v>0</v>
      </c>
      <c r="K14" s="37">
        <v>0</v>
      </c>
      <c r="L14" s="36">
        <f>SUM(J14:K14)</f>
        <v>0</v>
      </c>
      <c r="M14" s="35">
        <f>+I14+L14</f>
        <v>24573.69</v>
      </c>
      <c r="N14" s="26"/>
      <c r="O14" s="26"/>
      <c r="P14" s="26"/>
      <c r="Q14" s="26"/>
      <c r="R14" s="26"/>
      <c r="S14"/>
      <c r="T14"/>
      <c r="U14"/>
      <c r="V14"/>
    </row>
    <row r="15" spans="1:22" ht="17.25" customHeight="1" x14ac:dyDescent="0.2">
      <c r="A15" s="42">
        <v>4111199</v>
      </c>
      <c r="B15" s="41" t="s">
        <v>23</v>
      </c>
      <c r="C15" s="37">
        <f>3264.74+772.31+3759.15+714.3+1428.57+1714.28-410.7+794.64+5380.91+1111.16+629.46+11058.94+633.92-71.42</f>
        <v>30780.259999999995</v>
      </c>
      <c r="D15" s="37">
        <f>26.79+178.57+22.32</f>
        <v>227.67999999999998</v>
      </c>
      <c r="E15" s="37">
        <v>0</v>
      </c>
      <c r="F15" s="37">
        <v>0</v>
      </c>
      <c r="G15" s="37">
        <v>0</v>
      </c>
      <c r="H15" s="37">
        <f>107.14+93.75+187.5+401.78</f>
        <v>790.17</v>
      </c>
      <c r="I15" s="38">
        <f>SUM(C15:H15)</f>
        <v>31798.109999999993</v>
      </c>
      <c r="J15" s="37">
        <f>17.85+35.71+357.15+260.72+339.29+276.79+142.86-8.93+267.86</f>
        <v>1689.2999999999997</v>
      </c>
      <c r="K15" s="37">
        <f>8.93+8.92+8.93</f>
        <v>26.78</v>
      </c>
      <c r="L15" s="36">
        <f>SUM(J15:K15)</f>
        <v>1716.0799999999997</v>
      </c>
      <c r="M15" s="35">
        <f>+I15+L15</f>
        <v>33514.189999999995</v>
      </c>
      <c r="N15" s="43"/>
      <c r="O15" s="26"/>
      <c r="P15" s="26"/>
      <c r="Q15" s="26"/>
      <c r="R15" s="26"/>
      <c r="S15"/>
      <c r="T15"/>
      <c r="U15"/>
      <c r="V15"/>
    </row>
    <row r="16" spans="1:22" ht="17.25" customHeight="1" x14ac:dyDescent="0.2">
      <c r="A16" s="42">
        <v>4210101</v>
      </c>
      <c r="B16" s="41" t="s">
        <v>26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8">
        <f>SUM(C16:H16)</f>
        <v>0</v>
      </c>
      <c r="J16" s="37">
        <f>1943+804+701+382</f>
        <v>3830</v>
      </c>
      <c r="K16" s="37">
        <v>326</v>
      </c>
      <c r="L16" s="36">
        <f>SUM(J16:K16)</f>
        <v>4156</v>
      </c>
      <c r="M16" s="35">
        <f>+I16+L16</f>
        <v>4156</v>
      </c>
      <c r="N16" s="43"/>
      <c r="O16" s="26"/>
      <c r="P16" s="26"/>
      <c r="Q16" s="26"/>
      <c r="R16" s="26"/>
      <c r="S16"/>
      <c r="T16"/>
      <c r="U16"/>
      <c r="V16"/>
    </row>
    <row r="17" spans="1:22" ht="17.25" customHeight="1" x14ac:dyDescent="0.2">
      <c r="A17" s="42">
        <v>4310101</v>
      </c>
      <c r="B17" s="41" t="s">
        <v>24</v>
      </c>
      <c r="C17" s="37">
        <f>29.03+25.24+28.51+28.04+28.38+32.36+35.55+42.03+55.45+52.98+48.16+74.12</f>
        <v>479.85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8">
        <f>SUM(C17:H17)</f>
        <v>479.85</v>
      </c>
      <c r="J17" s="37">
        <f>6.66+4.87</f>
        <v>11.530000000000001</v>
      </c>
      <c r="K17" s="37">
        <v>0</v>
      </c>
      <c r="L17" s="36">
        <f>SUM(J17:K17)</f>
        <v>11.530000000000001</v>
      </c>
      <c r="M17" s="35">
        <f>+I17+L17</f>
        <v>491.38</v>
      </c>
      <c r="N17" s="43"/>
      <c r="O17" s="43"/>
      <c r="P17" s="26"/>
      <c r="Q17" s="26"/>
      <c r="R17" s="26"/>
      <c r="S17"/>
      <c r="T17"/>
      <c r="U17"/>
      <c r="V17"/>
    </row>
    <row r="18" spans="1:22" ht="17.25" customHeight="1" x14ac:dyDescent="0.2">
      <c r="A18" s="42">
        <v>4320101</v>
      </c>
      <c r="B18" s="41" t="s">
        <v>25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8">
        <f>SUM(C18:H18)</f>
        <v>0</v>
      </c>
      <c r="J18" s="37">
        <v>1765.53</v>
      </c>
      <c r="K18" s="37">
        <v>0</v>
      </c>
      <c r="L18" s="36">
        <f>SUM(J18:K18)</f>
        <v>1765.53</v>
      </c>
      <c r="M18" s="35">
        <f>+I18+L18</f>
        <v>1765.53</v>
      </c>
      <c r="N18" s="26"/>
      <c r="O18" s="26"/>
      <c r="P18" s="26"/>
      <c r="Q18" s="26"/>
      <c r="R18" s="26"/>
      <c r="S18"/>
      <c r="T18"/>
      <c r="U18"/>
      <c r="V18"/>
    </row>
    <row r="19" spans="1:22" ht="17" thickBot="1" x14ac:dyDescent="0.25">
      <c r="A19" s="34"/>
      <c r="B19" s="33" t="s">
        <v>98</v>
      </c>
      <c r="C19" s="31">
        <f>SUM(C6:C18)</f>
        <v>1414649.56</v>
      </c>
      <c r="D19" s="31">
        <f>SUM(D6:D18)</f>
        <v>482825.92</v>
      </c>
      <c r="E19" s="31">
        <f>SUM(E6:E18)</f>
        <v>67004.460000000006</v>
      </c>
      <c r="F19" s="31">
        <f>SUM(F6:F18)</f>
        <v>0</v>
      </c>
      <c r="G19" s="31">
        <f>SUM(G6:G18)</f>
        <v>0</v>
      </c>
      <c r="H19" s="31">
        <f>SUM(H6:H18)</f>
        <v>30036.17</v>
      </c>
      <c r="I19" s="32">
        <f>SUM(I6:I18)</f>
        <v>1994516.11</v>
      </c>
      <c r="J19" s="31">
        <f>SUM(J6:J18)</f>
        <v>150000.29999999999</v>
      </c>
      <c r="K19" s="31">
        <f>SUM(K6:K18)</f>
        <v>27243.14</v>
      </c>
      <c r="L19" s="30">
        <f>SUM(L6:L18)</f>
        <v>177243.44</v>
      </c>
      <c r="M19" s="29">
        <f>SUM(M6:M18)</f>
        <v>2171759.5499999993</v>
      </c>
      <c r="N19" s="43"/>
      <c r="O19" s="26"/>
      <c r="P19" s="26"/>
      <c r="Q19" s="26"/>
      <c r="R19" s="26"/>
      <c r="S19"/>
      <c r="V19"/>
    </row>
    <row r="20" spans="1:22" ht="20" thickTop="1" x14ac:dyDescent="0.2">
      <c r="A20" s="47" t="s">
        <v>95</v>
      </c>
      <c r="I20" s="46"/>
      <c r="L20" s="45"/>
      <c r="M20" s="44"/>
      <c r="N20" s="43"/>
      <c r="O20" s="26"/>
      <c r="P20" s="26"/>
      <c r="Q20" s="26"/>
      <c r="R20" s="26"/>
      <c r="S20"/>
      <c r="V20"/>
    </row>
    <row r="21" spans="1:22" ht="17.25" customHeight="1" x14ac:dyDescent="0.2">
      <c r="A21" s="40">
        <v>5110101</v>
      </c>
      <c r="B21" s="39" t="s">
        <v>30</v>
      </c>
      <c r="C21" s="37">
        <v>6203.71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8">
        <f>SUM(C21:H21)</f>
        <v>6203.71</v>
      </c>
      <c r="J21" s="37">
        <v>0</v>
      </c>
      <c r="K21" s="37">
        <v>0</v>
      </c>
      <c r="L21" s="36">
        <f>SUM(J21:K21)</f>
        <v>0</v>
      </c>
      <c r="M21" s="35">
        <f>+I21+L21</f>
        <v>6203.71</v>
      </c>
      <c r="N21" s="43"/>
      <c r="O21" s="43"/>
      <c r="P21" s="26"/>
      <c r="Q21" s="26"/>
      <c r="R21" s="26"/>
      <c r="S21"/>
      <c r="V21"/>
    </row>
    <row r="22" spans="1:22" ht="17.25" customHeight="1" x14ac:dyDescent="0.2">
      <c r="A22" s="42">
        <v>5110201</v>
      </c>
      <c r="B22" s="41" t="s">
        <v>27</v>
      </c>
      <c r="C22" s="37">
        <f>44426.61-42.95+32408.24-14.65+56437.2-11.3-216.96-1.64+35210.39-2583.93+46343.86-156.25+40170.1-143.74+50905.13-66.34+74656.56-97.76+33221.34+22745.95-86.61+70096.38-2727.75+27354.78-2604.56</f>
        <v>525222.09999999986</v>
      </c>
      <c r="D22" s="37">
        <v>600</v>
      </c>
      <c r="E22" s="37">
        <v>0</v>
      </c>
      <c r="F22" s="37">
        <v>0</v>
      </c>
      <c r="G22" s="37">
        <v>0</v>
      </c>
      <c r="H22" s="37">
        <v>0</v>
      </c>
      <c r="I22" s="38">
        <f>SUM(C22:H22)</f>
        <v>525822.09999999986</v>
      </c>
      <c r="J22" s="37">
        <v>0</v>
      </c>
      <c r="K22" s="37">
        <v>0</v>
      </c>
      <c r="L22" s="36">
        <f>SUM(J22:K22)</f>
        <v>0</v>
      </c>
      <c r="M22" s="35">
        <f>+I22+L22</f>
        <v>525822.09999999986</v>
      </c>
      <c r="N22" s="43"/>
      <c r="O22" s="26"/>
      <c r="P22" s="26"/>
      <c r="Q22" s="26"/>
      <c r="R22" s="26"/>
      <c r="S22"/>
      <c r="V22"/>
    </row>
    <row r="23" spans="1:22" ht="17.25" customHeight="1" x14ac:dyDescent="0.2">
      <c r="A23" s="42">
        <v>5110301</v>
      </c>
      <c r="B23" s="41" t="s">
        <v>29</v>
      </c>
      <c r="C23" s="37">
        <v>-4421.53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8">
        <f>SUM(C23:H23)</f>
        <v>-4421.53</v>
      </c>
      <c r="J23" s="37">
        <v>0</v>
      </c>
      <c r="K23" s="37">
        <v>0</v>
      </c>
      <c r="L23" s="36">
        <f>SUM(J23:K23)</f>
        <v>0</v>
      </c>
      <c r="M23" s="35">
        <f>+I23+L23</f>
        <v>-4421.53</v>
      </c>
      <c r="N23" s="43"/>
      <c r="O23" s="26"/>
      <c r="P23" s="26"/>
      <c r="Q23" s="26"/>
      <c r="R23" s="26"/>
      <c r="S23"/>
      <c r="T23"/>
      <c r="U23"/>
      <c r="V23"/>
    </row>
    <row r="24" spans="1:22" ht="17.25" customHeight="1" x14ac:dyDescent="0.2">
      <c r="A24" s="42">
        <v>5120101</v>
      </c>
      <c r="B24" s="41" t="s">
        <v>31</v>
      </c>
      <c r="C24" s="37">
        <f>12347.58+11968.63+12942.43+8985.36+16517.07+12445.31-3+16866.52+14977.05+6440.21+12063.36+14749.16+15592.85</f>
        <v>155892.53000000003</v>
      </c>
      <c r="D24" s="37">
        <f>6156+6156+6156+6156+3078+3078+3078+3078+3078+3172.74+3708+4338</f>
        <v>51232.74</v>
      </c>
      <c r="E24" s="37">
        <v>0</v>
      </c>
      <c r="F24" s="37">
        <v>0</v>
      </c>
      <c r="G24" s="37">
        <v>0</v>
      </c>
      <c r="H24" s="37">
        <v>0</v>
      </c>
      <c r="I24" s="38">
        <f>SUM(C24:H24)</f>
        <v>207125.27000000002</v>
      </c>
      <c r="J24" s="37">
        <f>9256+6156+8638.26+9234+9234+9234+9234+9234+7079.4+10584+10155.05+9234</f>
        <v>107272.71</v>
      </c>
      <c r="K24" s="37">
        <v>0</v>
      </c>
      <c r="L24" s="36">
        <f>SUM(J24:K24)</f>
        <v>107272.71</v>
      </c>
      <c r="M24" s="35">
        <f>+I24+L24</f>
        <v>314397.98000000004</v>
      </c>
      <c r="N24" s="43"/>
      <c r="O24" s="26"/>
      <c r="P24" s="26"/>
      <c r="Q24" s="26"/>
      <c r="R24" s="26"/>
      <c r="S24"/>
      <c r="T24"/>
      <c r="U24"/>
      <c r="V24"/>
    </row>
    <row r="25" spans="1:22" ht="17.25" customHeight="1" x14ac:dyDescent="0.2">
      <c r="A25" s="42">
        <v>5120102</v>
      </c>
      <c r="B25" s="41" t="s">
        <v>44</v>
      </c>
      <c r="C25" s="37">
        <f>750+750+629.03+500+750+750+500+500+500+750+750+750</f>
        <v>7879.03</v>
      </c>
      <c r="D25" s="37">
        <f>500+500+500+500+250+250+250+250+250+250+250+250</f>
        <v>4000</v>
      </c>
      <c r="E25" s="37">
        <v>0</v>
      </c>
      <c r="F25" s="37">
        <v>0</v>
      </c>
      <c r="G25" s="37">
        <v>0</v>
      </c>
      <c r="H25" s="37">
        <v>0</v>
      </c>
      <c r="I25" s="38">
        <f>SUM(C25:H25)</f>
        <v>11879.029999999999</v>
      </c>
      <c r="J25" s="37">
        <f>750+500+701.61+750+750+750+750+750+575+833.33+750+750</f>
        <v>8609.94</v>
      </c>
      <c r="K25" s="37">
        <v>0</v>
      </c>
      <c r="L25" s="36">
        <f>SUM(J25:K25)</f>
        <v>8609.94</v>
      </c>
      <c r="M25" s="35">
        <f>+I25+L25</f>
        <v>20488.97</v>
      </c>
      <c r="N25" s="43"/>
      <c r="O25" s="26"/>
      <c r="P25" s="26"/>
      <c r="Q25" s="26"/>
      <c r="R25" s="26"/>
      <c r="S25"/>
      <c r="T25"/>
      <c r="U25"/>
      <c r="V25"/>
    </row>
    <row r="26" spans="1:22" ht="17.25" customHeight="1" x14ac:dyDescent="0.2">
      <c r="A26" s="42">
        <v>5120103</v>
      </c>
      <c r="B26" s="41" t="s">
        <v>32</v>
      </c>
      <c r="C26" s="37">
        <f>6952.56+8909.45</f>
        <v>15862.010000000002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>SUM(C26:H26)</f>
        <v>15862.010000000002</v>
      </c>
      <c r="J26" s="37">
        <f>3918.06+2483.78</f>
        <v>6401.84</v>
      </c>
      <c r="K26" s="37">
        <v>0</v>
      </c>
      <c r="L26" s="36">
        <f>SUM(J26:K26)</f>
        <v>6401.84</v>
      </c>
      <c r="M26" s="35">
        <f>+I26+L26</f>
        <v>22263.850000000002</v>
      </c>
      <c r="N26" s="43"/>
      <c r="O26" s="26"/>
      <c r="P26" s="26"/>
      <c r="Q26" s="26"/>
      <c r="R26" s="26"/>
      <c r="S26"/>
      <c r="T26"/>
      <c r="U26"/>
      <c r="V26"/>
    </row>
    <row r="27" spans="1:22" ht="17.25" customHeight="1" x14ac:dyDescent="0.2">
      <c r="A27" s="42">
        <v>5120104</v>
      </c>
      <c r="B27" s="41" t="s">
        <v>34</v>
      </c>
      <c r="C27" s="37">
        <f>776.33+776.34+263.33+519.83+3282.34+776.33+513+513+513+776.33+776.34+776.33</f>
        <v>10262.5</v>
      </c>
      <c r="D27" s="37">
        <f>-197.5+256.5+256.5+256.5+256.5+256.5+256.5+256.5</f>
        <v>1598</v>
      </c>
      <c r="E27" s="37">
        <v>0</v>
      </c>
      <c r="F27" s="37">
        <v>0</v>
      </c>
      <c r="G27" s="37">
        <v>0</v>
      </c>
      <c r="H27" s="37">
        <v>0</v>
      </c>
      <c r="I27" s="38">
        <f>SUM(C27:H27)</f>
        <v>11860.5</v>
      </c>
      <c r="J27" s="37">
        <f>771.33+513+719.87+769.5+769.5+769.5+770.39+769.5+589.95+854.15+769.48+769.5</f>
        <v>8835.67</v>
      </c>
      <c r="K27" s="37">
        <v>0</v>
      </c>
      <c r="L27" s="36">
        <f>SUM(J27:K27)</f>
        <v>8835.67</v>
      </c>
      <c r="M27" s="35">
        <f>+I27+L27</f>
        <v>20696.169999999998</v>
      </c>
      <c r="N27" s="43"/>
      <c r="O27" s="26"/>
      <c r="P27" s="26"/>
      <c r="Q27" s="26"/>
      <c r="R27" s="26"/>
      <c r="S27"/>
      <c r="T27"/>
      <c r="U27"/>
      <c r="V27"/>
    </row>
    <row r="28" spans="1:22" ht="17.25" customHeight="1" x14ac:dyDescent="0.2">
      <c r="A28" s="42">
        <v>5120105</v>
      </c>
      <c r="B28" s="41" t="s">
        <v>33</v>
      </c>
      <c r="C28" s="37">
        <f>753.74+767.83+261.36+528.67+2066.67+812.66+513+513+513+776.33+776.34+776.33</f>
        <v>9058.93</v>
      </c>
      <c r="D28" s="37">
        <f>501.52+506.77+511.03+519.56-1003.04+266.33+256.5+256.5+256.5+256.5+256.5+256.5</f>
        <v>2841.17</v>
      </c>
      <c r="E28" s="37">
        <v>0</v>
      </c>
      <c r="F28" s="37">
        <v>0</v>
      </c>
      <c r="G28" s="37">
        <v>0</v>
      </c>
      <c r="H28" s="37">
        <v>0</v>
      </c>
      <c r="I28" s="38">
        <f>SUM(C28:H28)</f>
        <v>11900.1</v>
      </c>
      <c r="J28" s="37">
        <f>764.78+509.72+719.87+772.78+776.06+779.33+769.5+769.5+589.95+854.15+770.39+769.49</f>
        <v>8845.52</v>
      </c>
      <c r="K28" s="37">
        <v>0</v>
      </c>
      <c r="L28" s="36">
        <f>SUM(J28:K28)</f>
        <v>8845.52</v>
      </c>
      <c r="M28" s="35">
        <f>+I28+L28</f>
        <v>20745.620000000003</v>
      </c>
      <c r="N28" s="43"/>
      <c r="O28" s="26"/>
      <c r="P28" s="26"/>
      <c r="Q28" s="26"/>
      <c r="R28" s="26"/>
      <c r="S28"/>
      <c r="T28"/>
      <c r="U28"/>
      <c r="V28"/>
    </row>
    <row r="29" spans="1:22" ht="17.25" customHeight="1" x14ac:dyDescent="0.2">
      <c r="A29" s="42">
        <v>5120106</v>
      </c>
      <c r="B29" s="41" t="s">
        <v>35</v>
      </c>
      <c r="C29" s="37">
        <v>155.72999999999999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8">
        <f>SUM(C29:H29)</f>
        <v>155.72999999999999</v>
      </c>
      <c r="J29" s="37">
        <v>162.02000000000001</v>
      </c>
      <c r="K29" s="37">
        <v>0</v>
      </c>
      <c r="L29" s="36">
        <f>SUM(J29:K29)</f>
        <v>162.02000000000001</v>
      </c>
      <c r="M29" s="35">
        <f>+I29+L29</f>
        <v>317.75</v>
      </c>
      <c r="N29" s="43"/>
      <c r="O29" s="26"/>
      <c r="P29" s="26"/>
      <c r="Q29" s="26"/>
      <c r="R29" s="26"/>
      <c r="S29"/>
      <c r="T29"/>
      <c r="U29"/>
      <c r="V29"/>
    </row>
    <row r="30" spans="1:22" ht="17.25" customHeight="1" x14ac:dyDescent="0.2">
      <c r="A30" s="42">
        <v>5120108</v>
      </c>
      <c r="B30" s="41" t="s">
        <v>36</v>
      </c>
      <c r="C30" s="37">
        <f>1180.34+1180.34+991.64+790.35+1180.34+1180.34+779.97+779.97+779.97+1180.34+1180.34+1180.34</f>
        <v>12384.28</v>
      </c>
      <c r="D30" s="37">
        <f>779.96+779.96+779.97+779.97+389.98+389.98+389.98+389.98+389.98+389.98+389.98+389.98</f>
        <v>6239.6999999999989</v>
      </c>
      <c r="E30" s="37">
        <v>0</v>
      </c>
      <c r="F30" s="37">
        <v>0</v>
      </c>
      <c r="G30" s="37">
        <v>0</v>
      </c>
      <c r="H30" s="37">
        <v>0</v>
      </c>
      <c r="I30" s="38">
        <f>SUM(C30:H30)</f>
        <v>18623.98</v>
      </c>
      <c r="J30" s="37">
        <f>1172.74+779.97+1094.47+1169.95+1169.95+1169.95+1169.95+1169.95+896.96+1169.95+1169.95+1169.95</f>
        <v>13303.740000000002</v>
      </c>
      <c r="K30" s="37">
        <v>0</v>
      </c>
      <c r="L30" s="36">
        <f>SUM(J30:K30)</f>
        <v>13303.740000000002</v>
      </c>
      <c r="M30" s="35">
        <f>+I30+L30</f>
        <v>31927.72</v>
      </c>
      <c r="N30" s="43"/>
      <c r="O30" s="26"/>
      <c r="P30" s="26"/>
      <c r="Q30" s="26"/>
      <c r="R30" s="26"/>
      <c r="S30"/>
      <c r="T30"/>
      <c r="U30"/>
      <c r="V30"/>
    </row>
    <row r="31" spans="1:22" ht="17.25" customHeight="1" x14ac:dyDescent="0.2">
      <c r="A31" s="42">
        <v>5120109</v>
      </c>
      <c r="B31" s="41" t="s">
        <v>37</v>
      </c>
      <c r="C31" s="37">
        <f>230.84+153.9+153.9+153.9+477.49+159.15+159.16+159.16+238.73+238.73+238.73</f>
        <v>2363.69</v>
      </c>
      <c r="D31" s="37">
        <f>153.89+153.9+153.9+153.9+159.17+79.59+79.59+79.58+79.58</f>
        <v>1093.0999999999999</v>
      </c>
      <c r="E31" s="37">
        <v>0</v>
      </c>
      <c r="F31" s="37">
        <v>0</v>
      </c>
      <c r="G31" s="37">
        <v>0</v>
      </c>
      <c r="H31" s="37">
        <v>0</v>
      </c>
      <c r="I31" s="38">
        <f>SUM(C31:H31)</f>
        <v>3456.79</v>
      </c>
      <c r="J31" s="37">
        <f>153.9+76.94+153.89+230.83+477.47+238.74+238.74+159.16+159.16+159.16+159.16</f>
        <v>2207.1500000000005</v>
      </c>
      <c r="K31" s="37">
        <v>0</v>
      </c>
      <c r="L31" s="36">
        <f>SUM(J31:K31)</f>
        <v>2207.1500000000005</v>
      </c>
      <c r="M31" s="35">
        <f>+I31+L31</f>
        <v>5663.9400000000005</v>
      </c>
      <c r="N31" s="43"/>
      <c r="O31" s="26"/>
      <c r="P31" s="26"/>
      <c r="Q31" s="26"/>
      <c r="R31" s="26"/>
      <c r="S31"/>
      <c r="T31"/>
      <c r="U31"/>
      <c r="V31"/>
    </row>
    <row r="32" spans="1:22" ht="17.25" customHeight="1" x14ac:dyDescent="0.2">
      <c r="A32" s="42">
        <v>5120110</v>
      </c>
      <c r="B32" s="41" t="s">
        <v>94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8">
        <f>SUM(C32:H32)</f>
        <v>0</v>
      </c>
      <c r="J32" s="37">
        <f>200+1684.22+150+300+1123.68+1653.42</f>
        <v>5111.3200000000006</v>
      </c>
      <c r="K32" s="37">
        <v>350</v>
      </c>
      <c r="L32" s="36">
        <f>SUM(J32:K32)</f>
        <v>5461.3200000000006</v>
      </c>
      <c r="M32" s="35">
        <f>+I32+L32</f>
        <v>5461.3200000000006</v>
      </c>
      <c r="N32" s="43"/>
      <c r="O32" s="26"/>
      <c r="P32" s="26"/>
      <c r="Q32" s="26"/>
      <c r="R32" s="26"/>
      <c r="S32"/>
      <c r="T32"/>
      <c r="U32"/>
      <c r="V32"/>
    </row>
    <row r="33" spans="1:22" ht="17.25" customHeight="1" x14ac:dyDescent="0.2">
      <c r="A33" s="42">
        <v>5120213</v>
      </c>
      <c r="B33" s="41" t="s">
        <v>42</v>
      </c>
      <c r="C33" s="37">
        <f>1943+804+1027+382</f>
        <v>4156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8">
        <f>SUM(C33:H33)</f>
        <v>4156</v>
      </c>
      <c r="J33" s="37">
        <v>0</v>
      </c>
      <c r="K33" s="37">
        <v>0</v>
      </c>
      <c r="L33" s="36">
        <f>SUM(J33:K33)</f>
        <v>0</v>
      </c>
      <c r="M33" s="35">
        <f>+I33+L33</f>
        <v>4156</v>
      </c>
      <c r="N33" s="43"/>
      <c r="O33" s="26"/>
      <c r="P33" s="26"/>
      <c r="Q33" s="26"/>
      <c r="R33" s="26"/>
      <c r="S33"/>
      <c r="T33"/>
      <c r="U33"/>
      <c r="V33"/>
    </row>
    <row r="34" spans="1:22" ht="25.5" customHeight="1" x14ac:dyDescent="0.2">
      <c r="A34" s="42">
        <v>5120219</v>
      </c>
      <c r="B34" s="41" t="s">
        <v>41</v>
      </c>
      <c r="C34" s="37">
        <v>2209.8200000000002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>SUM(C34:H34)</f>
        <v>2209.8200000000002</v>
      </c>
      <c r="J34" s="37">
        <v>0</v>
      </c>
      <c r="K34" s="37">
        <v>0</v>
      </c>
      <c r="L34" s="36">
        <f>SUM(J34:K34)</f>
        <v>0</v>
      </c>
      <c r="M34" s="35">
        <f>+I34+L34</f>
        <v>2209.8200000000002</v>
      </c>
      <c r="N34" s="43"/>
      <c r="O34" s="26"/>
      <c r="P34" s="26"/>
      <c r="Q34" s="26"/>
      <c r="R34" s="26"/>
      <c r="S34"/>
      <c r="T34"/>
      <c r="U34"/>
      <c r="V34"/>
    </row>
    <row r="35" spans="1:22" ht="17.25" customHeight="1" x14ac:dyDescent="0.2">
      <c r="A35" s="42">
        <v>5120224</v>
      </c>
      <c r="B35" s="41" t="s">
        <v>40</v>
      </c>
      <c r="C35" s="37">
        <f>2191.86-1173.32+1858.18+2205+3867.44+2618.57-654.64+1359.65+2618.57+5619.86+2417.14+2739.43+2054.57</f>
        <v>27722.309999999998</v>
      </c>
      <c r="D35" s="37">
        <f>1173.32+1101.54+654.64+1174.18+860+453.21+241.07+684.86</f>
        <v>6342.8199999999988</v>
      </c>
      <c r="E35" s="37">
        <v>0</v>
      </c>
      <c r="F35" s="37">
        <v>0</v>
      </c>
      <c r="G35" s="37">
        <v>0</v>
      </c>
      <c r="H35" s="37">
        <v>0</v>
      </c>
      <c r="I35" s="38">
        <f>SUM(C35:H35)</f>
        <v>34065.129999999997</v>
      </c>
      <c r="J35" s="37">
        <v>120.54</v>
      </c>
      <c r="K35" s="37">
        <v>0</v>
      </c>
      <c r="L35" s="36">
        <f>SUM(J35:K35)</f>
        <v>120.54</v>
      </c>
      <c r="M35" s="35">
        <f>+I35+L35</f>
        <v>34185.67</v>
      </c>
      <c r="N35" s="43"/>
      <c r="O35" s="43"/>
      <c r="P35" s="26"/>
      <c r="Q35" s="26"/>
      <c r="R35" s="26"/>
      <c r="S35"/>
      <c r="T35"/>
      <c r="U35"/>
      <c r="V35"/>
    </row>
    <row r="36" spans="1:22" ht="17.25" customHeight="1" x14ac:dyDescent="0.2">
      <c r="A36" s="42">
        <v>5120225</v>
      </c>
      <c r="B36" s="41" t="s">
        <v>39</v>
      </c>
      <c r="C36" s="37">
        <f>3921.55+2278.19-1059.85+2536.16+1094.73+1288.3+1466.44+1536.91+16135.86+1275.07+339.41+3187.59+660.02-239.62</f>
        <v>34420.759999999995</v>
      </c>
      <c r="D36" s="37">
        <f>307.01+438.59+1059.85+162.06+389.29+144.64+247.76+407.15+416.39+58.93+455.62+88.39</f>
        <v>4175.6799999999994</v>
      </c>
      <c r="E36" s="37">
        <f>73.69+153.58+353.57+296.87</f>
        <v>877.71</v>
      </c>
      <c r="F36" s="37">
        <v>0</v>
      </c>
      <c r="G36" s="37">
        <v>0</v>
      </c>
      <c r="H36" s="37">
        <v>0</v>
      </c>
      <c r="I36" s="38">
        <f>SUM(C36:H36)</f>
        <v>39474.149999999994</v>
      </c>
      <c r="J36" s="37">
        <f>337.5+35.71+657.15+242.87+381.5+187.5+278.66+312.46+363.84+151.78+145.04</f>
        <v>3094.01</v>
      </c>
      <c r="K36" s="37">
        <v>107.14</v>
      </c>
      <c r="L36" s="36">
        <f>SUM(J36:K36)</f>
        <v>3201.15</v>
      </c>
      <c r="M36" s="35">
        <f>+I36+L36</f>
        <v>42675.299999999996</v>
      </c>
      <c r="N36" s="43"/>
      <c r="O36" s="43"/>
      <c r="P36" s="26"/>
      <c r="Q36" s="26"/>
      <c r="R36" s="26"/>
      <c r="S36"/>
      <c r="T36"/>
      <c r="U36"/>
      <c r="V36"/>
    </row>
    <row r="37" spans="1:22" ht="25.5" customHeight="1" x14ac:dyDescent="0.2">
      <c r="A37" s="42">
        <v>5120233</v>
      </c>
      <c r="B37" s="41" t="s">
        <v>38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f>SUM(C37:H37)</f>
        <v>0</v>
      </c>
      <c r="J37" s="37">
        <f>2826.41+8282.15+9128.27+10884.78+7342.45+8607.5+10507.9+12121.55+7462.49+9642.75+10076.74+7671.24</f>
        <v>104554.23000000001</v>
      </c>
      <c r="K37" s="37">
        <f>520.98+138.39+1099.81+303.57+401.79+142.86+523.21+343.75+258.93</f>
        <v>3733.29</v>
      </c>
      <c r="L37" s="36">
        <f>SUM(J37:K37)</f>
        <v>108287.52</v>
      </c>
      <c r="M37" s="35">
        <f>+I37+L37</f>
        <v>108287.52</v>
      </c>
      <c r="N37" s="43"/>
      <c r="O37" s="26"/>
      <c r="P37" s="26"/>
      <c r="Q37" s="26"/>
      <c r="R37" s="26"/>
      <c r="S37" s="26"/>
      <c r="T37"/>
      <c r="U37"/>
      <c r="V37"/>
    </row>
    <row r="38" spans="1:22" ht="30" hidden="1" customHeight="1" x14ac:dyDescent="0.2">
      <c r="A38" s="40">
        <v>5120263</v>
      </c>
      <c r="B38" s="39" t="s">
        <v>4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/>
      <c r="J38" s="37">
        <v>0</v>
      </c>
      <c r="K38" s="37">
        <v>0</v>
      </c>
      <c r="L38" s="36"/>
      <c r="M38" s="35">
        <f>SUM(C38:K38)</f>
        <v>0</v>
      </c>
      <c r="O38" s="26"/>
      <c r="P38" s="26"/>
      <c r="Q38" s="26"/>
      <c r="R38" s="26"/>
      <c r="S38" s="26"/>
      <c r="T38"/>
      <c r="U38"/>
      <c r="V38"/>
    </row>
    <row r="39" spans="1:22" ht="17" thickBot="1" x14ac:dyDescent="0.25">
      <c r="A39" s="33"/>
      <c r="B39" s="33" t="s">
        <v>97</v>
      </c>
      <c r="C39" s="31">
        <f>SUM(C21:C38)</f>
        <v>809371.86999999988</v>
      </c>
      <c r="D39" s="31">
        <f>SUM(D21:D38)</f>
        <v>78123.209999999992</v>
      </c>
      <c r="E39" s="31">
        <f>SUM(E21:E38)</f>
        <v>877.71</v>
      </c>
      <c r="F39" s="31">
        <f>SUM(F21:F38)</f>
        <v>0</v>
      </c>
      <c r="G39" s="31">
        <f>SUM(G21:G38)</f>
        <v>0</v>
      </c>
      <c r="H39" s="31">
        <f>SUM(H21:H38)</f>
        <v>0</v>
      </c>
      <c r="I39" s="32">
        <f>SUM(I21:I38)</f>
        <v>888372.7899999998</v>
      </c>
      <c r="J39" s="31">
        <f>SUM(J21:J38)</f>
        <v>268518.69</v>
      </c>
      <c r="K39" s="31">
        <f>SUM(K21:K38)</f>
        <v>4190.43</v>
      </c>
      <c r="L39" s="30">
        <f>SUM(L21:L38)</f>
        <v>272709.12</v>
      </c>
      <c r="M39" s="29">
        <f>SUM(M21:M38)</f>
        <v>1161081.9099999997</v>
      </c>
      <c r="N39" s="28"/>
      <c r="O39" s="53"/>
      <c r="P39" s="26"/>
      <c r="Q39" s="26"/>
      <c r="R39" s="26"/>
      <c r="S39" s="26"/>
      <c r="T39"/>
      <c r="U39"/>
      <c r="V39"/>
    </row>
    <row r="40" spans="1:22" ht="17" thickTop="1" x14ac:dyDescent="0.2">
      <c r="A40" s="52"/>
      <c r="B40" s="52" t="s">
        <v>96</v>
      </c>
      <c r="C40" s="50">
        <f>1-(C39/C19)</f>
        <v>0.42786404994887928</v>
      </c>
      <c r="D40" s="50">
        <f>1-(D39/D19)</f>
        <v>0.83819590712942671</v>
      </c>
      <c r="E40" s="50">
        <f>1-(E39/E19)</f>
        <v>0.98690072272800944</v>
      </c>
      <c r="F40" s="50">
        <v>-1</v>
      </c>
      <c r="G40" s="50">
        <v>-1</v>
      </c>
      <c r="H40" s="50">
        <v>-1</v>
      </c>
      <c r="I40" s="51">
        <f>1-(I39/I19)</f>
        <v>0.55459232164336858</v>
      </c>
      <c r="J40" s="50">
        <f>1-(J39/J19)</f>
        <v>-0.79012101975796067</v>
      </c>
      <c r="K40" s="50">
        <f>1-(K39/K19)</f>
        <v>0.84618403018154287</v>
      </c>
      <c r="L40" s="49">
        <f>1-(L39/L19)</f>
        <v>-0.53861333316482685</v>
      </c>
      <c r="M40" s="48">
        <f>1-(M39/M19)</f>
        <v>0.46537271586994977</v>
      </c>
      <c r="N40" s="28"/>
      <c r="O40" s="26"/>
      <c r="P40" s="26"/>
      <c r="Q40" s="26"/>
      <c r="R40" s="26"/>
      <c r="S40" s="26"/>
      <c r="T40"/>
      <c r="U40"/>
      <c r="V40"/>
    </row>
    <row r="41" spans="1:22" ht="19" x14ac:dyDescent="0.2">
      <c r="A41" s="47" t="s">
        <v>90</v>
      </c>
      <c r="I41" s="46"/>
      <c r="L41" s="45"/>
      <c r="M41" s="44"/>
      <c r="O41" s="26"/>
      <c r="P41" s="26"/>
      <c r="Q41" s="26"/>
      <c r="R41" s="26"/>
      <c r="S41" s="26"/>
      <c r="T41"/>
      <c r="U41"/>
      <c r="V41"/>
    </row>
    <row r="42" spans="1:22" ht="17.25" customHeight="1" x14ac:dyDescent="0.2">
      <c r="A42" s="40">
        <v>6110101</v>
      </c>
      <c r="B42" s="39" t="s">
        <v>43</v>
      </c>
      <c r="C42" s="37">
        <f>8264+8264+7992.9+8231.2+4900+4900+4900+4900+4900+4731.2+4731.2+4731.2</f>
        <v>71445.7</v>
      </c>
      <c r="D42" s="37">
        <f>4325.6+4325.6+3266.65+3385.8+4743.6+4743.6+4743.6+4743.6+4743.6+4617+4617+4617</f>
        <v>52872.649999999994</v>
      </c>
      <c r="E42" s="37">
        <f>5556.8+5556.8+4190.06+4309.2+4924.8+4924.8+4924.8+4924.8+4924.8+4924.8+4924.8+4924.8</f>
        <v>59011.260000000017</v>
      </c>
      <c r="F42" s="37">
        <v>0</v>
      </c>
      <c r="G42" s="37">
        <f>4325.6+4325.6+3266.65+3385.8+4743.6+4743.6+4743.6+4743.6+4743.6+4617+4617+4617</f>
        <v>52872.649999999994</v>
      </c>
      <c r="H42" s="37">
        <f>3078+3078+3078+3078+3078+3078+3078+3078+4104+6156-4104+3078+1588.64</f>
        <v>35446.639999999999</v>
      </c>
      <c r="I42" s="38">
        <f>SUM(C42:H42)</f>
        <v>271648.90000000002</v>
      </c>
      <c r="J42" s="37">
        <v>1088.71</v>
      </c>
      <c r="K42" s="37">
        <f>6200+6200+3800+3100+3100+3100+3100+3100+516.67</f>
        <v>32216.67</v>
      </c>
      <c r="L42" s="36">
        <f>SUM(J42:K42)</f>
        <v>33305.379999999997</v>
      </c>
      <c r="M42" s="35">
        <f>+I42+L42</f>
        <v>304954.28000000003</v>
      </c>
      <c r="N42" s="43"/>
      <c r="O42" s="26"/>
      <c r="P42" s="26"/>
      <c r="Q42" s="26"/>
      <c r="R42" s="26"/>
      <c r="S42" s="26"/>
      <c r="T42"/>
      <c r="U42"/>
      <c r="V42"/>
    </row>
    <row r="43" spans="1:22" ht="17.25" customHeight="1" x14ac:dyDescent="0.2">
      <c r="A43" s="42">
        <v>6110102</v>
      </c>
      <c r="B43" s="41" t="s">
        <v>44</v>
      </c>
      <c r="C43" s="37">
        <f>600+600+580.64+580.64+350+350+350+350+350+350+350+350</f>
        <v>5161.28</v>
      </c>
      <c r="D43" s="37">
        <f>350+350+265.32+279.84+375+375+375+375+375+375+375+375</f>
        <v>4245.16</v>
      </c>
      <c r="E43" s="37">
        <f>450+450+340.33+359.68+400+400+400+400+400+400+400+400</f>
        <v>4800.01</v>
      </c>
      <c r="F43" s="37">
        <v>0</v>
      </c>
      <c r="G43" s="37">
        <f>350+350+265.32+279.84+375+375+375+375+375+375+375+375</f>
        <v>4245.16</v>
      </c>
      <c r="H43" s="37">
        <f>250+250+250+250+250+250+250+250+333.33+500-333.33+250+129.03</f>
        <v>2879.03</v>
      </c>
      <c r="I43" s="38">
        <f>SUM(C43:H43)</f>
        <v>21330.639999999999</v>
      </c>
      <c r="J43" s="37">
        <v>120.97</v>
      </c>
      <c r="K43" s="37">
        <f>500+500+306.45+250+250+250+250+250+41.67</f>
        <v>2598.12</v>
      </c>
      <c r="L43" s="36">
        <f>SUM(J43:K43)</f>
        <v>2719.0899999999997</v>
      </c>
      <c r="M43" s="35">
        <f>+I43+L43</f>
        <v>24049.73</v>
      </c>
      <c r="N43" s="43"/>
      <c r="O43" s="26"/>
      <c r="P43" s="26"/>
      <c r="Q43" s="26"/>
      <c r="R43" s="26"/>
      <c r="S43" s="26"/>
      <c r="T43"/>
      <c r="U43"/>
      <c r="V43"/>
    </row>
    <row r="44" spans="1:22" ht="17.25" customHeight="1" x14ac:dyDescent="0.2">
      <c r="A44" s="42">
        <v>6110103</v>
      </c>
      <c r="B44" s="41" t="s">
        <v>32</v>
      </c>
      <c r="C44" s="37">
        <f>2589.48+4355.55</f>
        <v>6945.0300000000007</v>
      </c>
      <c r="D44" s="37">
        <f>1131.12+1294.74+3266.67</f>
        <v>5692.53</v>
      </c>
      <c r="E44" s="37">
        <f>1508.17+1294.75+3266.67</f>
        <v>6069.59</v>
      </c>
      <c r="F44" s="37">
        <v>0</v>
      </c>
      <c r="G44" s="37">
        <f>1131.12+1294.74</f>
        <v>2425.8599999999997</v>
      </c>
      <c r="H44" s="37">
        <v>10105.67</v>
      </c>
      <c r="I44" s="38">
        <f>SUM(C44:H44)</f>
        <v>31238.68</v>
      </c>
      <c r="J44" s="37">
        <v>1992.81</v>
      </c>
      <c r="K44" s="37">
        <f>3685.99+5714.33</f>
        <v>9400.32</v>
      </c>
      <c r="L44" s="36">
        <f>SUM(J44:K44)</f>
        <v>11393.13</v>
      </c>
      <c r="M44" s="35">
        <f>+I44+L44</f>
        <v>42631.81</v>
      </c>
      <c r="N44" s="43"/>
      <c r="O44" s="26"/>
      <c r="P44" s="26"/>
      <c r="Q44" s="26"/>
      <c r="R44" s="26"/>
      <c r="S44" s="26"/>
      <c r="T44"/>
      <c r="U44"/>
      <c r="V44"/>
    </row>
    <row r="45" spans="1:22" ht="17.25" customHeight="1" x14ac:dyDescent="0.2">
      <c r="A45" s="42">
        <v>6110104</v>
      </c>
      <c r="B45" s="41" t="s">
        <v>34</v>
      </c>
      <c r="C45" s="37">
        <f>688.67+688.66+666.09+685.94-1527.03+408.34+408.34+408.32+408.34+702.07+394.26+394.27</f>
        <v>4326.2700000000004</v>
      </c>
      <c r="D45" s="37">
        <f>360.47+360.46+272.22+282.15+1316.64+395.3+395.57+395.3+395.3+615.6-769.5+384.75+384.75</f>
        <v>4789.0100000000011</v>
      </c>
      <c r="E45" s="37">
        <f>463.07+463.06+349.18+359.1+1465.58+497.9+498.25+497.9+497.9+718.2+487.35+487.35</f>
        <v>6784.8399999999992</v>
      </c>
      <c r="F45" s="37">
        <v>0</v>
      </c>
      <c r="G45" s="37">
        <f>360.47+360.46+272.22+282.15+354.14+307.8+308.07+307.8+307.8+307.8+307.8+307.8</f>
        <v>3784.3100000000009</v>
      </c>
      <c r="H45" s="37">
        <f>256.5+256.5+256.5+256.5+256.5+256.5+256.5+256.5+341.15+171.85+256.5+133.38</f>
        <v>2954.88</v>
      </c>
      <c r="I45" s="38">
        <f>SUM(C45:H45)</f>
        <v>22639.310000000005</v>
      </c>
      <c r="J45" s="37">
        <v>90</v>
      </c>
      <c r="K45" s="37">
        <f>516.66+516.67+317.51+258.33+258.34+258.33+258.33+258.34+43.91</f>
        <v>2686.4199999999996</v>
      </c>
      <c r="L45" s="36">
        <f>SUM(J45:K45)</f>
        <v>2776.4199999999996</v>
      </c>
      <c r="M45" s="35">
        <f>+I45+L45</f>
        <v>25415.730000000003</v>
      </c>
      <c r="N45" s="43"/>
      <c r="O45" s="26"/>
      <c r="P45" s="26"/>
      <c r="Q45" s="26"/>
      <c r="R45" s="26"/>
      <c r="S45" s="26"/>
      <c r="T45"/>
      <c r="U45"/>
      <c r="V45"/>
    </row>
    <row r="46" spans="1:22" ht="17.25" customHeight="1" x14ac:dyDescent="0.2">
      <c r="A46" s="42">
        <v>6110105</v>
      </c>
      <c r="B46" s="41" t="s">
        <v>33</v>
      </c>
      <c r="C46" s="37">
        <f>684.21+686.45+666.1+685.92-652.02+408.34+408.32+408.34+408.34+1420.26+394.27+394.27</f>
        <v>5912.8000000000011</v>
      </c>
      <c r="D46" s="37">
        <f>350.37+355.43+272.22+285.09+885.06+404.15+395.3+395.3+395.3+1154.25-2565+385.02+384.75</f>
        <v>3097.2400000000011</v>
      </c>
      <c r="E46" s="37">
        <f>450.33+456.71+349.17+363.03+1035.97+509.69+497.9+497.9+497.9+1256.85+487.71+487.35</f>
        <v>6890.5099999999993</v>
      </c>
      <c r="F46" s="37">
        <v>0</v>
      </c>
      <c r="G46" s="37">
        <f>350.37+355.43+272.22+285.09+360.06+316.65+307.8+307.8+307.8+307.8+308.07+307.8</f>
        <v>3786.8900000000008</v>
      </c>
      <c r="H46" s="37">
        <f>249.94+253.22+256.5+259.78+263.06+266.33+256.5+256.5+341.15+171.85+256.49+133.38</f>
        <v>2964.7</v>
      </c>
      <c r="I46" s="38">
        <f>SUM(C46:H46)</f>
        <v>22652.140000000003</v>
      </c>
      <c r="J46" s="37">
        <v>90</v>
      </c>
      <c r="K46" s="37">
        <f>518.07+516.66+317.75+258.34+258.33+258.33+258.34+258.33+43.92</f>
        <v>2688.07</v>
      </c>
      <c r="L46" s="36">
        <f>SUM(J46:K46)</f>
        <v>2778.07</v>
      </c>
      <c r="M46" s="35">
        <f>+I46+L46</f>
        <v>25430.210000000003</v>
      </c>
      <c r="N46" s="43"/>
      <c r="O46" s="43"/>
      <c r="P46" s="26"/>
      <c r="Q46" s="26"/>
      <c r="R46" s="26"/>
      <c r="S46" s="26"/>
      <c r="T46"/>
      <c r="U46"/>
      <c r="V46"/>
    </row>
    <row r="47" spans="1:22" ht="17.25" customHeight="1" x14ac:dyDescent="0.2">
      <c r="A47" s="42">
        <v>6110106</v>
      </c>
      <c r="B47" s="41" t="s">
        <v>35</v>
      </c>
      <c r="C47" s="37">
        <f>126.54+1053.66</f>
        <v>1180.2</v>
      </c>
      <c r="D47" s="37">
        <f>94.06+63.28+570.73</f>
        <v>728.07</v>
      </c>
      <c r="E47" s="37">
        <f>125.4+63.28+570.73</f>
        <v>759.41000000000008</v>
      </c>
      <c r="F47" s="37">
        <v>0</v>
      </c>
      <c r="G47" s="37">
        <f>94.06+63.28</f>
        <v>157.34</v>
      </c>
      <c r="H47" s="37">
        <v>1467.14</v>
      </c>
      <c r="I47" s="38">
        <f>SUM(C47:H47)</f>
        <v>4292.1600000000008</v>
      </c>
      <c r="J47" s="37">
        <f>1071.3+1335.23</f>
        <v>2406.5299999999997</v>
      </c>
      <c r="K47" s="37">
        <f>361.31+1194.09</f>
        <v>1555.3999999999999</v>
      </c>
      <c r="L47" s="36">
        <f>SUM(J47:K47)</f>
        <v>3961.9299999999994</v>
      </c>
      <c r="M47" s="35">
        <f>+I47+L47</f>
        <v>8254.09</v>
      </c>
      <c r="N47" s="43"/>
      <c r="O47" s="26"/>
      <c r="P47" s="26"/>
      <c r="Q47" s="26"/>
      <c r="R47" s="26"/>
      <c r="S47" s="26"/>
      <c r="T47"/>
      <c r="U47"/>
      <c r="V47"/>
    </row>
    <row r="48" spans="1:22" ht="17.25" customHeight="1" x14ac:dyDescent="0.2">
      <c r="A48" s="42">
        <v>6110108</v>
      </c>
      <c r="B48" s="41" t="s">
        <v>36</v>
      </c>
      <c r="C48" s="37">
        <f>1047.06+1047.05+1012.7+1042.89+620.83+620.84+1241.67-620.83+620.83+620.83+599.45+599.45+599.45</f>
        <v>9052.2200000000012</v>
      </c>
      <c r="D48" s="37">
        <f>548.05+548.05+413.88+428.98+601.01+601.01+601.01+601.01+601.01+584.97+584.97+584.97</f>
        <v>6698.9200000000019</v>
      </c>
      <c r="E48" s="37">
        <f>704.05+704.05+530.88+545.98+623.97+623.97+623.98+623.98+623.98+623.97+623.97+623.98</f>
        <v>7476.76</v>
      </c>
      <c r="F48" s="37">
        <v>0</v>
      </c>
      <c r="G48" s="37">
        <f>548.05+548.05+413.88+428.98+601.01+601.01+601.01+601.01+601.01+584.97+584.97+584.97</f>
        <v>6698.9200000000019</v>
      </c>
      <c r="H48" s="37">
        <f>389.98+389.98+389.98+389.98+389.98+389.98+389.98+389.98+519.98+389.98+389.98+201.28</f>
        <v>4621.0600000000004</v>
      </c>
      <c r="I48" s="38">
        <f>SUM(C48:H48)</f>
        <v>34547.880000000005</v>
      </c>
      <c r="J48" s="37">
        <f>137.94+62.08</f>
        <v>200.01999999999998</v>
      </c>
      <c r="K48" s="37">
        <f>785.54+785.54+481.46+392.77+392.77+392.77+392.77+392.77+65.46</f>
        <v>4081.85</v>
      </c>
      <c r="L48" s="36">
        <f>SUM(J48:K48)</f>
        <v>4281.87</v>
      </c>
      <c r="M48" s="35">
        <f>+I48+L48</f>
        <v>38829.750000000007</v>
      </c>
      <c r="N48" s="43"/>
      <c r="O48" s="26"/>
      <c r="P48" s="26"/>
      <c r="Q48" s="26"/>
      <c r="R48" s="26"/>
      <c r="S48" s="26"/>
      <c r="T48"/>
      <c r="U48"/>
      <c r="V48"/>
    </row>
    <row r="49" spans="1:22" ht="17.25" customHeight="1" x14ac:dyDescent="0.2">
      <c r="A49" s="42">
        <v>6110109</v>
      </c>
      <c r="B49" s="41" t="s">
        <v>37</v>
      </c>
      <c r="C49" s="37">
        <f>169.27+266.02+153.88+169.27+1335.06+1998.41+111.41+2472.4+79.58+862.92+2542.18</f>
        <v>10160.4</v>
      </c>
      <c r="D49" s="37">
        <f>107.71+107.71+69.24+84.63+190.97+95.48+119.35+119.35+95.48+119.35+119.35</f>
        <v>1228.6199999999999</v>
      </c>
      <c r="E49" s="37">
        <f>153.9+153.9+92.34+123.12+238.77+119.38+151.21+151.21+127.34+151.21+151.21</f>
        <v>1613.59</v>
      </c>
      <c r="F49" s="37">
        <v>0</v>
      </c>
      <c r="G49" s="37">
        <f>107.71+107.71+69.24+84.63+143.22+71.61+95.48+95.48+95.48+95.48+95.48</f>
        <v>1061.52</v>
      </c>
      <c r="H49" s="37">
        <f>76.94+76.94+76.94+76.94+159.15+79.58+79.58+79.58+79.58+79.58</f>
        <v>864.81000000000017</v>
      </c>
      <c r="I49" s="38">
        <f>SUM(C49:H49)</f>
        <v>14928.94</v>
      </c>
      <c r="J49" s="37">
        <v>0</v>
      </c>
      <c r="K49" s="37">
        <f>153.89+153.89+76.94+76.94+159.15+79.58+79.58</f>
        <v>779.97</v>
      </c>
      <c r="L49" s="36">
        <f>SUM(J49:K49)</f>
        <v>779.97</v>
      </c>
      <c r="M49" s="35">
        <f>+I49+L49</f>
        <v>15708.91</v>
      </c>
      <c r="N49" s="43"/>
      <c r="O49" s="26"/>
      <c r="P49" s="26"/>
      <c r="Q49" s="26"/>
      <c r="R49" s="26"/>
      <c r="S49" s="26"/>
      <c r="T49"/>
      <c r="U49"/>
      <c r="V49"/>
    </row>
    <row r="50" spans="1:22" ht="17.25" customHeight="1" x14ac:dyDescent="0.2">
      <c r="A50" s="42">
        <v>6110110</v>
      </c>
      <c r="B50" s="41" t="s">
        <v>45</v>
      </c>
      <c r="C50" s="37">
        <f>1068+68+68+68+1119+68+1188+68+68+25000+1428.59-1360.59+68+818</f>
        <v>29737</v>
      </c>
      <c r="D50" s="37">
        <f>66+66+66+66+66+66+66+66+66+66+66+66</f>
        <v>792</v>
      </c>
      <c r="E50" s="37">
        <f>66+66+66+66+66+66+66+66+66+66+66+66</f>
        <v>792</v>
      </c>
      <c r="F50" s="37">
        <v>0</v>
      </c>
      <c r="G50" s="37">
        <v>0</v>
      </c>
      <c r="H50" s="37">
        <v>325</v>
      </c>
      <c r="I50" s="38">
        <f>SUM(C50:H50)</f>
        <v>31646</v>
      </c>
      <c r="J50" s="37">
        <v>440.13</v>
      </c>
      <c r="K50" s="37">
        <v>0</v>
      </c>
      <c r="L50" s="36">
        <f>SUM(J50:K50)</f>
        <v>440.13</v>
      </c>
      <c r="M50" s="35">
        <f>+I50+L50</f>
        <v>32086.13</v>
      </c>
      <c r="N50" s="43"/>
      <c r="O50" s="26"/>
      <c r="P50" s="26"/>
      <c r="Q50" s="26"/>
      <c r="R50" s="26"/>
      <c r="S50" s="26"/>
      <c r="T50"/>
      <c r="U50"/>
      <c r="V50"/>
    </row>
    <row r="51" spans="1:22" ht="17.25" customHeight="1" x14ac:dyDescent="0.2">
      <c r="A51" s="42">
        <v>6110111</v>
      </c>
      <c r="B51" s="41" t="s">
        <v>91</v>
      </c>
      <c r="C51" s="37">
        <f>70+221.5+80+80+843.21</f>
        <v>1294.71</v>
      </c>
      <c r="D51" s="37">
        <v>200</v>
      </c>
      <c r="E51" s="37">
        <v>200</v>
      </c>
      <c r="F51" s="37">
        <v>0</v>
      </c>
      <c r="G51" s="37">
        <v>0</v>
      </c>
      <c r="H51" s="37">
        <v>0</v>
      </c>
      <c r="I51" s="38">
        <f>SUM(C51:H51)</f>
        <v>1694.71</v>
      </c>
      <c r="J51" s="37">
        <f>42.11+200</f>
        <v>242.11</v>
      </c>
      <c r="K51" s="37">
        <v>0</v>
      </c>
      <c r="L51" s="36">
        <f>SUM(J51:K51)</f>
        <v>242.11</v>
      </c>
      <c r="M51" s="35">
        <f>+I51+L51</f>
        <v>1936.8200000000002</v>
      </c>
      <c r="N51" s="43"/>
      <c r="O51" s="26"/>
      <c r="P51" s="26"/>
      <c r="Q51" s="26"/>
      <c r="R51" s="26"/>
      <c r="S51" s="26"/>
      <c r="T51"/>
      <c r="U51"/>
      <c r="V51"/>
    </row>
    <row r="52" spans="1:22" ht="17.25" customHeight="1" x14ac:dyDescent="0.2">
      <c r="A52" s="42">
        <v>6110113</v>
      </c>
      <c r="B52" s="41" t="s">
        <v>46</v>
      </c>
      <c r="C52" s="37">
        <f>872.76+123.12+59.57+311.9+901.54+297.87+456.73+1228.46</f>
        <v>4251.95</v>
      </c>
      <c r="D52" s="37">
        <f>42.97+89.36+400.14+74.47+89.36+148.93+92.34+89.36+92.34+635.45</f>
        <v>1754.72</v>
      </c>
      <c r="E52" s="37">
        <f>57.28+119.16+307.8+89.36+119.14+123.12+119.14+123.12+238.28</f>
        <v>1296.3999999999999</v>
      </c>
      <c r="F52" s="37">
        <v>0</v>
      </c>
      <c r="G52" s="37">
        <f>42.97+89.36+246.24+74.46+89.36+92.34+89.36+92.34+178.72</f>
        <v>995.15000000000009</v>
      </c>
      <c r="H52" s="37">
        <v>0</v>
      </c>
      <c r="I52" s="38">
        <f>SUM(C52:H52)</f>
        <v>8298.2199999999993</v>
      </c>
      <c r="J52" s="37">
        <f>326.61-217.74+412.23+95+461.7+148.93+148.93+148.93+1385.1+302.83</f>
        <v>3212.52</v>
      </c>
      <c r="K52" s="37">
        <v>0</v>
      </c>
      <c r="L52" s="36">
        <f>SUM(J52:K52)</f>
        <v>3212.52</v>
      </c>
      <c r="M52" s="35">
        <f>+I52+L52</f>
        <v>11510.74</v>
      </c>
      <c r="N52" s="43"/>
      <c r="O52" s="26"/>
      <c r="P52" s="26"/>
      <c r="Q52" s="26"/>
      <c r="R52" s="26"/>
      <c r="S52" s="26"/>
      <c r="T52"/>
      <c r="U52"/>
      <c r="V52"/>
    </row>
    <row r="53" spans="1:22" ht="17.25" customHeight="1" x14ac:dyDescent="0.2">
      <c r="A53" s="42">
        <v>6110114</v>
      </c>
      <c r="B53" s="41" t="s">
        <v>47</v>
      </c>
      <c r="C53" s="37">
        <f>2013.63+2168.75+1441.91+1583.9+1945.67+1480.66+2239.75+2357.86+2567.13+1238.29+1565.33+589.23</f>
        <v>21192.110000000004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8">
        <f>SUM(C53:H53)</f>
        <v>21192.110000000004</v>
      </c>
      <c r="J53" s="37">
        <f>156.61+965.91+466.23+1011.93+723.51+543.89+345.65+1159.92+964.9+1314.13+601.38+528.08</f>
        <v>8782.14</v>
      </c>
      <c r="K53" s="37">
        <v>0</v>
      </c>
      <c r="L53" s="36">
        <f>SUM(J53:K53)</f>
        <v>8782.14</v>
      </c>
      <c r="M53" s="35">
        <f>+I53+L53</f>
        <v>29974.250000000004</v>
      </c>
      <c r="N53" s="43"/>
      <c r="O53" s="26"/>
      <c r="P53" s="26"/>
      <c r="Q53" s="26"/>
      <c r="R53" s="26"/>
      <c r="S53" s="26"/>
      <c r="T53"/>
      <c r="U53"/>
      <c r="V53"/>
    </row>
    <row r="54" spans="1:22" ht="17.25" customHeight="1" x14ac:dyDescent="0.2">
      <c r="A54" s="42">
        <v>6110115</v>
      </c>
      <c r="B54" s="41" t="s">
        <v>48</v>
      </c>
      <c r="C54" s="37">
        <f>752+155+85+123.47+445.79+972+40+57+29+25+210+26</f>
        <v>2920.26</v>
      </c>
      <c r="D54" s="37">
        <v>3387.67</v>
      </c>
      <c r="E54" s="37">
        <v>0</v>
      </c>
      <c r="F54" s="37">
        <v>0</v>
      </c>
      <c r="G54" s="37">
        <v>0</v>
      </c>
      <c r="H54" s="37">
        <v>0</v>
      </c>
      <c r="I54" s="38">
        <f>SUM(C54:H54)</f>
        <v>6307.93</v>
      </c>
      <c r="J54" s="37">
        <v>0</v>
      </c>
      <c r="K54" s="37">
        <v>0</v>
      </c>
      <c r="L54" s="36">
        <f>SUM(J54:K54)</f>
        <v>0</v>
      </c>
      <c r="M54" s="35">
        <f>+I54+L54</f>
        <v>6307.93</v>
      </c>
      <c r="N54" s="43"/>
      <c r="O54" s="26"/>
      <c r="P54" s="26"/>
      <c r="Q54" s="26"/>
      <c r="R54" s="26"/>
      <c r="S54" s="26"/>
      <c r="T54"/>
      <c r="U54"/>
      <c r="V54"/>
    </row>
    <row r="55" spans="1:22" ht="17.25" customHeight="1" x14ac:dyDescent="0.2">
      <c r="A55" s="42">
        <v>6110116</v>
      </c>
      <c r="B55" s="41" t="s">
        <v>49</v>
      </c>
      <c r="C55" s="37">
        <f>890.26+890.27+890.26+217.56-163.17+1666.38+1666.41+1666.41+1720.8-860.4+860.4+934.19-73.79</f>
        <v>10305.579999999998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8">
        <f>SUM(C55:H55)</f>
        <v>10305.579999999998</v>
      </c>
      <c r="J55" s="37">
        <f>259+259+259+435.12-326.34+517.98+518-518-73.79</f>
        <v>1329.97</v>
      </c>
      <c r="K55" s="37">
        <v>0</v>
      </c>
      <c r="L55" s="36">
        <f>SUM(J55:K55)</f>
        <v>1329.97</v>
      </c>
      <c r="M55" s="35">
        <f>+I55+L55</f>
        <v>11635.549999999997</v>
      </c>
      <c r="N55" s="43"/>
      <c r="O55" s="26"/>
      <c r="P55" s="26"/>
      <c r="Q55" s="26"/>
      <c r="R55" s="26"/>
      <c r="S55" s="26"/>
      <c r="T55"/>
      <c r="U55"/>
      <c r="V55"/>
    </row>
    <row r="56" spans="1:22" ht="17.25" customHeight="1" x14ac:dyDescent="0.2">
      <c r="A56" s="42">
        <v>6110117</v>
      </c>
      <c r="B56" s="41" t="s">
        <v>50</v>
      </c>
      <c r="C56" s="37">
        <f>643+957.5+89.9+53.4+1791.67+71.9+627+78.2+173</f>
        <v>4485.5700000000006</v>
      </c>
      <c r="D56" s="37">
        <v>39.950000000000003</v>
      </c>
      <c r="E56" s="37">
        <v>18.75</v>
      </c>
      <c r="F56" s="37">
        <v>0</v>
      </c>
      <c r="G56" s="37">
        <v>0</v>
      </c>
      <c r="H56" s="37">
        <v>600</v>
      </c>
      <c r="I56" s="38">
        <f>SUM(C56:H56)</f>
        <v>5144.2700000000004</v>
      </c>
      <c r="J56" s="37">
        <f>189.35+105+105+92.4+134.75+49.9+59.96+15+188.5</f>
        <v>939.86</v>
      </c>
      <c r="K56" s="37">
        <v>0</v>
      </c>
      <c r="L56" s="36">
        <f>SUM(J56:K56)</f>
        <v>939.86</v>
      </c>
      <c r="M56" s="35">
        <f>+I56+L56</f>
        <v>6084.13</v>
      </c>
      <c r="N56" s="43"/>
      <c r="O56" s="26"/>
      <c r="P56" s="26"/>
      <c r="Q56" s="26"/>
      <c r="R56" s="26"/>
      <c r="S56" s="26"/>
      <c r="T56"/>
      <c r="U56"/>
      <c r="V56"/>
    </row>
    <row r="57" spans="1:22" ht="17.25" customHeight="1" x14ac:dyDescent="0.2">
      <c r="A57" s="42">
        <v>6110118</v>
      </c>
      <c r="B57" s="41" t="s">
        <v>51</v>
      </c>
      <c r="C57" s="37">
        <f>3735.91+4168.8+3024.13-25.54+904.66-5.8+3185.36-4.46+2531.88-3.48+3670.7-11.34+1719.49-5.27+3050.62+42135+2133.96-3872.92+1681.07-17612.08-2197.43+3212.22-19834.58</f>
        <v>31580.900000000016</v>
      </c>
      <c r="D57" s="37">
        <f>1797.96+1837.79+2038.18+1472.84+2173.88+1416.72+2677.18+1606.4+2195.96+620.61+2332.02</f>
        <v>20169.54</v>
      </c>
      <c r="E57" s="37">
        <f>1250.38+1569.96+1749.7-58.04+841.19+1824.27+727.01+1667.63+1307.03+2493.76-99+1091.87+3557.83+3658.02-178.47</f>
        <v>21403.140000000003</v>
      </c>
      <c r="F57" s="37">
        <v>0</v>
      </c>
      <c r="G57" s="37">
        <f>1380.95+2729.1+2073.97-58.03+1125.88+1771.65+2826+1670.61+2518.69+2783.48+634.05+2071.15+3437.16</f>
        <v>24964.660000000003</v>
      </c>
      <c r="H57" s="37">
        <f>250+564.29+263.35+1352.7+72.32+43.3+323.69</f>
        <v>2869.6500000000005</v>
      </c>
      <c r="I57" s="38">
        <f>SUM(C57:H57)</f>
        <v>100987.89000000001</v>
      </c>
      <c r="J57" s="37">
        <f>368.13+1191.79+153.57+329.98+339.29+100+521.6+138.94+390.09+271.79</f>
        <v>3805.1800000000003</v>
      </c>
      <c r="K57" s="37">
        <f>25.26+199.11+443.75</f>
        <v>668.12</v>
      </c>
      <c r="L57" s="36">
        <f>SUM(J57:K57)</f>
        <v>4473.3</v>
      </c>
      <c r="M57" s="35">
        <f>+I57+L57</f>
        <v>105461.19000000002</v>
      </c>
      <c r="N57" s="43"/>
      <c r="O57" s="26"/>
      <c r="P57" s="26"/>
      <c r="Q57" s="26"/>
      <c r="R57" s="26"/>
      <c r="S57" s="26"/>
      <c r="T57"/>
      <c r="U57"/>
      <c r="V57"/>
    </row>
    <row r="58" spans="1:22" ht="25.5" customHeight="1" x14ac:dyDescent="0.2">
      <c r="A58" s="42">
        <v>6110119</v>
      </c>
      <c r="B58" s="41" t="s">
        <v>41</v>
      </c>
      <c r="C58" s="37">
        <f>104.49+531.4+155+1645+536+561+2600+1174.5+549.99+715+6675+2085</f>
        <v>17332.379999999997</v>
      </c>
      <c r="D58" s="37">
        <v>0</v>
      </c>
      <c r="E58" s="37">
        <f>120+450+900</f>
        <v>1470</v>
      </c>
      <c r="F58" s="37">
        <v>0</v>
      </c>
      <c r="G58" s="37">
        <v>0</v>
      </c>
      <c r="H58" s="37">
        <f>250+379+687.5+48</f>
        <v>1364.5</v>
      </c>
      <c r="I58" s="38">
        <f>SUM(C58:H58)</f>
        <v>20166.879999999997</v>
      </c>
      <c r="J58" s="37">
        <f>225+65</f>
        <v>290</v>
      </c>
      <c r="K58" s="37">
        <v>0</v>
      </c>
      <c r="L58" s="36">
        <f>SUM(J58:K58)</f>
        <v>290</v>
      </c>
      <c r="M58" s="35">
        <f>+I58+L58</f>
        <v>20456.879999999997</v>
      </c>
      <c r="N58" s="43"/>
      <c r="O58" s="26"/>
      <c r="P58" s="26"/>
      <c r="Q58" s="26"/>
      <c r="R58" s="26"/>
      <c r="S58" s="26"/>
      <c r="T58"/>
      <c r="U58"/>
      <c r="V58"/>
    </row>
    <row r="59" spans="1:22" ht="17.25" hidden="1" customHeight="1" x14ac:dyDescent="0.2">
      <c r="A59" s="42">
        <v>6110120</v>
      </c>
      <c r="B59" s="41" t="s">
        <v>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8">
        <f>SUM(C59:H59)</f>
        <v>0</v>
      </c>
      <c r="J59" s="37">
        <v>0</v>
      </c>
      <c r="K59" s="37">
        <v>0</v>
      </c>
      <c r="L59" s="36">
        <f>SUM(J59:K59)</f>
        <v>0</v>
      </c>
      <c r="M59" s="35">
        <f>+I59+L59</f>
        <v>0</v>
      </c>
      <c r="N59" s="43"/>
      <c r="O59" s="26"/>
      <c r="P59" s="26"/>
      <c r="Q59" s="26"/>
      <c r="R59" s="26"/>
      <c r="S59" s="26"/>
      <c r="T59"/>
      <c r="U59"/>
      <c r="V59"/>
    </row>
    <row r="60" spans="1:22" ht="17.25" customHeight="1" x14ac:dyDescent="0.2">
      <c r="A60" s="42">
        <v>6110121</v>
      </c>
      <c r="B60" s="41" t="s">
        <v>52</v>
      </c>
      <c r="C60" s="37">
        <f>81.12+199+199+199+199+244+199+199+199+199+403.57</f>
        <v>2320.69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8">
        <f>SUM(C60:H60)</f>
        <v>2320.69</v>
      </c>
      <c r="J60" s="37">
        <f>288+36+36+74+74</f>
        <v>508</v>
      </c>
      <c r="K60" s="37">
        <v>0</v>
      </c>
      <c r="L60" s="36">
        <f>SUM(J60:K60)</f>
        <v>508</v>
      </c>
      <c r="M60" s="35">
        <f>+I60+L60</f>
        <v>2828.69</v>
      </c>
      <c r="N60" s="43"/>
      <c r="O60" s="26"/>
      <c r="P60" s="26"/>
      <c r="Q60" s="26"/>
      <c r="R60" s="26"/>
      <c r="S60" s="26"/>
      <c r="T60"/>
      <c r="U60"/>
      <c r="V60"/>
    </row>
    <row r="61" spans="1:22" ht="17.25" customHeight="1" x14ac:dyDescent="0.2">
      <c r="A61" s="42">
        <v>6110122</v>
      </c>
      <c r="B61" s="41" t="s">
        <v>53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8">
        <f>SUM(C61:H61)</f>
        <v>0</v>
      </c>
      <c r="J61" s="37">
        <v>0</v>
      </c>
      <c r="K61" s="37">
        <v>0</v>
      </c>
      <c r="L61" s="36">
        <f>SUM(J61:K61)</f>
        <v>0</v>
      </c>
      <c r="M61" s="35">
        <f>+I61+L61</f>
        <v>0</v>
      </c>
      <c r="N61" s="43"/>
      <c r="O61" s="26"/>
      <c r="P61" s="26"/>
      <c r="Q61" s="26"/>
      <c r="R61" s="26"/>
      <c r="S61" s="26"/>
      <c r="T61"/>
      <c r="U61"/>
      <c r="V61"/>
    </row>
    <row r="62" spans="1:22" ht="17.25" customHeight="1" x14ac:dyDescent="0.2">
      <c r="A62" s="42">
        <v>6110123</v>
      </c>
      <c r="B62" s="41" t="s">
        <v>54</v>
      </c>
      <c r="C62" s="37">
        <f>1659.35+2267.61+2200-236.53</f>
        <v>5890.43</v>
      </c>
      <c r="D62" s="37">
        <f>1659.35+2267.6+2200-236.53</f>
        <v>5890.42</v>
      </c>
      <c r="E62" s="37">
        <f>1659.35+2267.6+2200-236.53</f>
        <v>5890.42</v>
      </c>
      <c r="F62" s="37">
        <v>0</v>
      </c>
      <c r="G62" s="37">
        <f>3318.69+4535.21+4400-473.03</f>
        <v>11780.869999999999</v>
      </c>
      <c r="H62" s="37">
        <v>0</v>
      </c>
      <c r="I62" s="38">
        <f>SUM(C62:H62)</f>
        <v>29452.14</v>
      </c>
      <c r="J62" s="37">
        <v>0</v>
      </c>
      <c r="K62" s="37">
        <v>0</v>
      </c>
      <c r="L62" s="36">
        <f>SUM(J62:K62)</f>
        <v>0</v>
      </c>
      <c r="M62" s="35">
        <f>+I62+L62</f>
        <v>29452.14</v>
      </c>
      <c r="N62" s="43"/>
      <c r="O62" s="26"/>
      <c r="P62" s="26"/>
      <c r="Q62" s="26"/>
      <c r="R62" s="26"/>
      <c r="S62" s="26"/>
      <c r="T62"/>
      <c r="U62"/>
      <c r="V62"/>
    </row>
    <row r="63" spans="1:22" ht="17.25" customHeight="1" x14ac:dyDescent="0.2">
      <c r="A63" s="42">
        <v>6110124</v>
      </c>
      <c r="B63" s="41" t="s">
        <v>55</v>
      </c>
      <c r="C63" s="37">
        <f>39.38+141.24+33.36+23.45+23.86+49.88</f>
        <v>311.17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8">
        <f>SUM(C63:H63)</f>
        <v>311.17</v>
      </c>
      <c r="J63" s="37">
        <v>0</v>
      </c>
      <c r="K63" s="37">
        <v>0</v>
      </c>
      <c r="L63" s="36">
        <f>SUM(J63:K63)</f>
        <v>0</v>
      </c>
      <c r="M63" s="35">
        <f>+I63+L63</f>
        <v>311.17</v>
      </c>
      <c r="N63" s="43"/>
      <c r="O63" s="26"/>
      <c r="P63" s="26"/>
      <c r="Q63" s="26"/>
      <c r="R63" s="26"/>
      <c r="S63" s="26"/>
      <c r="T63"/>
      <c r="U63"/>
      <c r="V63"/>
    </row>
    <row r="64" spans="1:22" ht="17.25" customHeight="1" x14ac:dyDescent="0.2">
      <c r="A64" s="42">
        <v>6110159</v>
      </c>
      <c r="B64" s="41" t="s">
        <v>92</v>
      </c>
      <c r="C64" s="37">
        <f>303.26+303.26+303.26+303.26+303.26+303.26+303.26+303.26+303.26+303.26+303.26+304.14</f>
        <v>3640.0000000000005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8">
        <f>SUM(C64:H64)</f>
        <v>3640.0000000000005</v>
      </c>
      <c r="J64" s="37">
        <v>0</v>
      </c>
      <c r="K64" s="37">
        <v>0</v>
      </c>
      <c r="L64" s="36">
        <f>SUM(J64:K64)</f>
        <v>0</v>
      </c>
      <c r="M64" s="35">
        <f>+I64+L64</f>
        <v>3640.0000000000005</v>
      </c>
      <c r="N64" s="43"/>
      <c r="O64" s="26"/>
      <c r="P64" s="26"/>
      <c r="Q64" s="26"/>
      <c r="R64" s="26"/>
      <c r="S64" s="26"/>
      <c r="T64"/>
      <c r="U64"/>
      <c r="V64"/>
    </row>
    <row r="65" spans="1:22" ht="16" x14ac:dyDescent="0.2">
      <c r="A65" s="42">
        <v>6110161</v>
      </c>
      <c r="B65" s="41" t="s">
        <v>56</v>
      </c>
      <c r="C65" s="37">
        <f>1262.66-0.01+2.52-0.88+2.86-0.85+2.81-0.1+3.17-0.01+33.23-0.35+3.56-0.13+4.93-0.03+5.98-0.01+5.78+181.46+3291.52-0.83</f>
        <v>4797.2800000000007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8">
        <f>SUM(C65:H65)</f>
        <v>4797.2800000000007</v>
      </c>
      <c r="J65" s="37">
        <f>0.67+0.49</f>
        <v>1.1600000000000001</v>
      </c>
      <c r="K65" s="37">
        <v>0</v>
      </c>
      <c r="L65" s="36">
        <f>SUM(J65:K65)</f>
        <v>1.1600000000000001</v>
      </c>
      <c r="M65" s="35">
        <f>+I65+L65</f>
        <v>4798.4400000000005</v>
      </c>
      <c r="N65" s="43"/>
      <c r="O65" s="26"/>
      <c r="P65" s="26"/>
      <c r="Q65" s="26"/>
      <c r="R65" s="26"/>
      <c r="S65" s="26"/>
      <c r="T65"/>
      <c r="U65"/>
      <c r="V65"/>
    </row>
    <row r="66" spans="1:22" ht="17.25" customHeight="1" x14ac:dyDescent="0.2">
      <c r="A66" s="42">
        <v>6110161</v>
      </c>
      <c r="B66" s="41" t="s">
        <v>57</v>
      </c>
      <c r="C66" s="37">
        <v>46360.45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8">
        <f>SUM(C66:H66)</f>
        <v>46360.45</v>
      </c>
      <c r="J66" s="37">
        <v>0</v>
      </c>
      <c r="K66" s="37">
        <v>0</v>
      </c>
      <c r="L66" s="36">
        <f>SUM(J66:K66)</f>
        <v>0</v>
      </c>
      <c r="M66" s="35">
        <f>+I66+L66</f>
        <v>46360.45</v>
      </c>
      <c r="N66" s="43"/>
      <c r="O66" s="26"/>
      <c r="P66" s="26"/>
      <c r="Q66" s="26"/>
      <c r="R66" s="26"/>
      <c r="S66" s="26"/>
      <c r="T66"/>
      <c r="U66"/>
      <c r="V66"/>
    </row>
    <row r="67" spans="1:22" ht="17.25" customHeight="1" x14ac:dyDescent="0.2">
      <c r="A67" s="42">
        <v>6110169</v>
      </c>
      <c r="B67" t="s">
        <v>64</v>
      </c>
      <c r="C67" s="37">
        <f>87.5+87.5+87.5+87.5+87.5+87.5+87.5+87.5+87.5+87.5+2772.5+87.5</f>
        <v>3735</v>
      </c>
      <c r="D67" s="37">
        <f>87.5+87.5+87.5+87.5+87.5+87.5+87.5+87.5+87.5+87.5+87.5+87.5</f>
        <v>1050</v>
      </c>
      <c r="E67" s="37">
        <f>110+110+110+110+110+110+110+110+110+110+110+110</f>
        <v>1320</v>
      </c>
      <c r="F67" s="37">
        <v>0</v>
      </c>
      <c r="G67" s="37">
        <v>0</v>
      </c>
      <c r="H67" s="37">
        <v>0</v>
      </c>
      <c r="I67" s="38">
        <f>SUM(C67:H67)</f>
        <v>6105</v>
      </c>
      <c r="J67" s="37">
        <v>0</v>
      </c>
      <c r="K67" s="37">
        <v>0</v>
      </c>
      <c r="L67" s="36">
        <f>SUM(J67:K67)</f>
        <v>0</v>
      </c>
      <c r="M67" s="35">
        <f>+I67+L67</f>
        <v>6105</v>
      </c>
      <c r="N67" s="43"/>
      <c r="O67" s="26"/>
      <c r="P67" s="26"/>
      <c r="Q67" s="26"/>
      <c r="R67" s="26"/>
      <c r="S67" s="26"/>
      <c r="T67"/>
      <c r="U67"/>
      <c r="V67"/>
    </row>
    <row r="68" spans="1:22" ht="17.25" hidden="1" customHeight="1" x14ac:dyDescent="0.2">
      <c r="A68" s="42">
        <v>6110182</v>
      </c>
      <c r="B68" s="41" t="s">
        <v>3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8">
        <f>SUM(C68:H68)</f>
        <v>0</v>
      </c>
      <c r="J68" s="37">
        <v>0</v>
      </c>
      <c r="K68" s="37">
        <v>0</v>
      </c>
      <c r="L68" s="36">
        <f>SUM(J68:K68)</f>
        <v>0</v>
      </c>
      <c r="M68" s="35">
        <f>+I68+L68</f>
        <v>0</v>
      </c>
      <c r="N68" s="43"/>
      <c r="O68" s="26"/>
      <c r="P68" s="26"/>
      <c r="Q68" s="26"/>
      <c r="R68" s="26"/>
      <c r="S68" s="26"/>
      <c r="T68"/>
      <c r="U68"/>
      <c r="V68"/>
    </row>
    <row r="69" spans="1:22" ht="17.25" customHeight="1" x14ac:dyDescent="0.2">
      <c r="A69" s="42">
        <v>6110190</v>
      </c>
      <c r="B69" s="41" t="s">
        <v>63</v>
      </c>
      <c r="C69" s="37">
        <f>33505+20000</f>
        <v>53505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8">
        <f>SUM(C69:H69)</f>
        <v>53505</v>
      </c>
      <c r="J69" s="37">
        <v>0</v>
      </c>
      <c r="K69" s="37">
        <v>0</v>
      </c>
      <c r="L69" s="36">
        <f>SUM(J69:K69)</f>
        <v>0</v>
      </c>
      <c r="M69" s="35">
        <f>+I69+L69</f>
        <v>53505</v>
      </c>
      <c r="N69" s="43"/>
      <c r="O69" s="26"/>
      <c r="P69" s="26"/>
      <c r="Q69" s="26"/>
      <c r="R69" s="26"/>
      <c r="S69" s="26"/>
      <c r="T69"/>
      <c r="U69"/>
      <c r="V69"/>
    </row>
    <row r="70" spans="1:22" ht="17.25" customHeight="1" x14ac:dyDescent="0.2">
      <c r="A70" s="42">
        <v>6110199</v>
      </c>
      <c r="B70" s="41" t="s">
        <v>62</v>
      </c>
      <c r="C70" s="37">
        <f>78.14+15+1000+30.17</f>
        <v>1123.3100000000002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8">
        <f>SUM(C70:H70)</f>
        <v>1123.3100000000002</v>
      </c>
      <c r="J70" s="37">
        <v>0</v>
      </c>
      <c r="K70" s="37">
        <v>0</v>
      </c>
      <c r="L70" s="36">
        <f>SUM(J70:K70)</f>
        <v>0</v>
      </c>
      <c r="M70" s="35">
        <f>+I70+L70</f>
        <v>1123.3100000000002</v>
      </c>
      <c r="N70" s="43"/>
      <c r="O70" s="26"/>
      <c r="P70" s="26"/>
      <c r="Q70" s="26"/>
      <c r="R70" s="26"/>
      <c r="S70" s="26"/>
      <c r="T70"/>
      <c r="U70"/>
      <c r="V70"/>
    </row>
    <row r="71" spans="1:22" ht="17.25" customHeight="1" x14ac:dyDescent="0.2">
      <c r="A71" s="42">
        <v>6130132</v>
      </c>
      <c r="B71" s="41" t="s">
        <v>61</v>
      </c>
      <c r="C71" s="37">
        <f>216.77+216.77+216.77+251.37+251.37+239.01+247.25+247.25+247.2+197.77+136.02+136.02</f>
        <v>2603.5700000000002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8">
        <f>SUM(C71:H71)</f>
        <v>2603.5700000000002</v>
      </c>
      <c r="J71" s="37">
        <f>25.6+25.6+25.6+25.6+25.6+30.35+30.35+30.35+30.35+30.35+30.35+30.35</f>
        <v>340.45000000000005</v>
      </c>
      <c r="K71" s="37">
        <v>0</v>
      </c>
      <c r="L71" s="36">
        <f>SUM(J71:K71)</f>
        <v>340.45000000000005</v>
      </c>
      <c r="M71" s="35">
        <f>+I71+L71</f>
        <v>2944.0200000000004</v>
      </c>
      <c r="N71" s="43"/>
      <c r="O71" s="26"/>
      <c r="P71" s="26"/>
      <c r="Q71" s="26"/>
      <c r="R71" s="26"/>
      <c r="S71" s="26"/>
      <c r="T71"/>
      <c r="U71"/>
      <c r="V71"/>
    </row>
    <row r="72" spans="1:22" ht="17.25" customHeight="1" x14ac:dyDescent="0.2">
      <c r="A72" s="42">
        <v>6130133</v>
      </c>
      <c r="B72" s="41" t="s">
        <v>60</v>
      </c>
      <c r="C72" s="37">
        <f>12.36+4.12+4.12+4.12+4.12+4.12+4.12</f>
        <v>37.08</v>
      </c>
      <c r="D72" s="37">
        <v>0</v>
      </c>
      <c r="E72" s="37">
        <f>88.85+88.85+88.85+88.85+88.85+88.85+88.85+88.85+88.85+88.85+129.42+129.02</f>
        <v>1146.94</v>
      </c>
      <c r="F72" s="37">
        <v>0</v>
      </c>
      <c r="G72" s="37">
        <v>0</v>
      </c>
      <c r="H72" s="37">
        <v>0</v>
      </c>
      <c r="I72" s="38">
        <f>SUM(C72:H72)</f>
        <v>1184.02</v>
      </c>
      <c r="J72" s="37">
        <v>0</v>
      </c>
      <c r="K72" s="37">
        <v>0</v>
      </c>
      <c r="L72" s="36">
        <f>SUM(J72:K72)</f>
        <v>0</v>
      </c>
      <c r="M72" s="35">
        <f>+I72+L72</f>
        <v>1184.02</v>
      </c>
      <c r="N72" s="43"/>
      <c r="O72" s="26"/>
      <c r="P72" s="26"/>
      <c r="Q72" s="26"/>
      <c r="R72" s="26"/>
      <c r="S72" s="26"/>
      <c r="T72"/>
      <c r="U72"/>
      <c r="V72"/>
    </row>
    <row r="73" spans="1:22" ht="17.25" customHeight="1" x14ac:dyDescent="0.2">
      <c r="A73" s="42">
        <v>7110101</v>
      </c>
      <c r="B73" s="41" t="s">
        <v>59</v>
      </c>
      <c r="C73" s="37">
        <f>60+30</f>
        <v>90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8">
        <f>SUM(C73:H73)</f>
        <v>90</v>
      </c>
      <c r="J73" s="37">
        <v>100</v>
      </c>
      <c r="K73" s="37">
        <v>0</v>
      </c>
      <c r="L73" s="36">
        <f>SUM(J73:K73)</f>
        <v>100</v>
      </c>
      <c r="M73" s="35">
        <f>+I73+L73</f>
        <v>190</v>
      </c>
      <c r="N73" s="43"/>
      <c r="O73" s="26"/>
      <c r="P73" s="26"/>
      <c r="Q73" s="26"/>
      <c r="R73" s="26"/>
      <c r="S73" s="26"/>
      <c r="T73"/>
      <c r="U73"/>
      <c r="V73"/>
    </row>
    <row r="74" spans="1:22" ht="17.25" customHeight="1" x14ac:dyDescent="0.2">
      <c r="A74" s="42">
        <v>7110102</v>
      </c>
      <c r="B74" s="41" t="s">
        <v>93</v>
      </c>
      <c r="C74" s="37">
        <f>13.7+212.32+191.78+226.23+205.48+212.32+205.48+212.32+212.32+205.48+212.32+444.65</f>
        <v>2554.4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8">
        <f>SUM(C74:H74)</f>
        <v>2554.4</v>
      </c>
      <c r="J74" s="37">
        <f>20.94+176.94</f>
        <v>197.88</v>
      </c>
      <c r="K74" s="37">
        <v>0</v>
      </c>
      <c r="L74" s="36">
        <f>SUM(J74:K74)</f>
        <v>197.88</v>
      </c>
      <c r="M74" s="35">
        <f>+I74+L74</f>
        <v>2752.28</v>
      </c>
      <c r="O74" s="26"/>
      <c r="P74" s="26"/>
      <c r="Q74" s="26"/>
      <c r="R74" s="26"/>
      <c r="S74" s="26"/>
      <c r="T74"/>
      <c r="U74"/>
      <c r="V74"/>
    </row>
    <row r="75" spans="1:22" ht="25.5" customHeight="1" x14ac:dyDescent="0.2">
      <c r="A75" s="40">
        <v>7110199</v>
      </c>
      <c r="B75" s="39" t="s">
        <v>58</v>
      </c>
      <c r="C75" s="37">
        <v>194.54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8">
        <f>SUM(C75:H75)</f>
        <v>194.54</v>
      </c>
      <c r="J75" s="37">
        <v>0</v>
      </c>
      <c r="K75" s="37">
        <v>0</v>
      </c>
      <c r="L75" s="36">
        <f>SUM(J75:K75)</f>
        <v>0</v>
      </c>
      <c r="M75" s="35">
        <f>+I75+L75</f>
        <v>194.54</v>
      </c>
      <c r="O75" s="26"/>
      <c r="P75" s="26"/>
      <c r="Q75" s="26"/>
      <c r="R75" s="26"/>
      <c r="S75" s="26"/>
      <c r="T75"/>
      <c r="U75"/>
      <c r="V75"/>
    </row>
    <row r="76" spans="1:22" ht="17" thickBot="1" x14ac:dyDescent="0.25">
      <c r="A76" s="34"/>
      <c r="B76" s="33" t="s">
        <v>65</v>
      </c>
      <c r="C76" s="31">
        <f>SUM(C42:C75)</f>
        <v>364447.28000000009</v>
      </c>
      <c r="D76" s="31">
        <f>SUM(D42:D75)</f>
        <v>112636.49999999999</v>
      </c>
      <c r="E76" s="31">
        <f>SUM(E42:E75)</f>
        <v>126943.62</v>
      </c>
      <c r="F76" s="31">
        <f>SUM(F42:F75)</f>
        <v>0</v>
      </c>
      <c r="G76" s="31">
        <f>SUM(G42:G75)</f>
        <v>112773.32999999999</v>
      </c>
      <c r="H76" s="31">
        <f>SUM(H42:H75)</f>
        <v>66463.079999999987</v>
      </c>
      <c r="I76" s="32">
        <f>SUM(I42:I75)</f>
        <v>783263.81000000017</v>
      </c>
      <c r="J76" s="31">
        <f>SUM(J42:J75)</f>
        <v>26178.440000000002</v>
      </c>
      <c r="K76" s="31">
        <f>SUM(K42:K75)</f>
        <v>56674.94</v>
      </c>
      <c r="L76" s="30">
        <f>SUM(L42:L75)</f>
        <v>82853.38</v>
      </c>
      <c r="M76" s="29">
        <f>SUM(M42:M75)</f>
        <v>866117.19000000029</v>
      </c>
      <c r="N76" s="28"/>
      <c r="O76" s="27"/>
      <c r="P76" s="26"/>
      <c r="Q76" s="26"/>
      <c r="R76" s="26"/>
      <c r="S76" s="26"/>
      <c r="T76"/>
      <c r="U76"/>
      <c r="V76"/>
    </row>
    <row r="77" spans="1:22" ht="18" thickTop="1" thickBot="1" x14ac:dyDescent="0.25">
      <c r="A77" s="25"/>
      <c r="B77" s="24" t="s">
        <v>28</v>
      </c>
      <c r="C77" s="22">
        <f>+C19-C39-C76</f>
        <v>240830.41000000009</v>
      </c>
      <c r="D77" s="22">
        <f>+D19-D39-D76</f>
        <v>292066.20999999996</v>
      </c>
      <c r="E77" s="22">
        <f>+E19-E39-E76</f>
        <v>-60816.869999999995</v>
      </c>
      <c r="F77" s="22">
        <f>+F19-F39-F76</f>
        <v>0</v>
      </c>
      <c r="G77" s="22">
        <f>+G19-G39-G76</f>
        <v>-112773.32999999999</v>
      </c>
      <c r="H77" s="22">
        <f>+H19-H39-H76</f>
        <v>-36426.909999999989</v>
      </c>
      <c r="I77" s="23">
        <f>SUM(C77:H77)</f>
        <v>322879.51000000018</v>
      </c>
      <c r="J77" s="22">
        <f>+J19-J39-J76</f>
        <v>-144696.83000000002</v>
      </c>
      <c r="K77" s="22">
        <f>+K19-K39-K76</f>
        <v>-33622.230000000003</v>
      </c>
      <c r="L77" s="21">
        <f>+L19-L39-L76</f>
        <v>-178319.06</v>
      </c>
      <c r="M77" s="20">
        <f>+I77+L77</f>
        <v>144560.45000000019</v>
      </c>
      <c r="N77" s="19"/>
      <c r="O77"/>
      <c r="P77"/>
      <c r="Q77"/>
      <c r="R77"/>
      <c r="S77"/>
      <c r="T77"/>
      <c r="U77"/>
      <c r="V77"/>
    </row>
    <row r="78" spans="1:22" ht="16" hidden="1" thickTop="1" x14ac:dyDescent="0.2">
      <c r="C78" s="17"/>
      <c r="D78" s="17"/>
      <c r="E78" s="17"/>
      <c r="F78" s="18"/>
      <c r="G78" s="17"/>
      <c r="H78" s="17"/>
      <c r="I78" s="17"/>
      <c r="J78" s="17"/>
      <c r="K78" s="18"/>
      <c r="L78" s="18"/>
      <c r="M78" s="17"/>
      <c r="N78" s="2"/>
      <c r="O78"/>
      <c r="P78"/>
      <c r="Q78"/>
      <c r="R78"/>
      <c r="S78"/>
      <c r="T78"/>
      <c r="U78"/>
      <c r="V78"/>
    </row>
    <row r="79" spans="1:22" s="4" customFormat="1" ht="16" hidden="1" thickTop="1" x14ac:dyDescent="0.2">
      <c r="B79" s="16" t="s">
        <v>2</v>
      </c>
      <c r="C79" s="15">
        <f>((+C77+C70-C17+49.15+176.55)*0.25)</f>
        <v>60424.892500000016</v>
      </c>
      <c r="D79" s="15">
        <f>((+D77+D70-D18)*0.25)</f>
        <v>73016.552499999991</v>
      </c>
      <c r="E79" s="15">
        <f>((+E77+E70-E18)*0.25)</f>
        <v>-15204.217499999999</v>
      </c>
      <c r="F79" s="15">
        <f>((+F77+F70-F18)*0.25)</f>
        <v>0</v>
      </c>
      <c r="G79" s="15">
        <f>((+G77+G70-G18)*0.25)</f>
        <v>-28193.332499999997</v>
      </c>
      <c r="H79" s="15">
        <f>((+H77+H70-H18)*0.25)</f>
        <v>-9106.7274999999972</v>
      </c>
      <c r="I79" s="15"/>
      <c r="J79" s="15">
        <f>((+J77+J70-J18-J17)*0.25)</f>
        <v>-36618.472500000003</v>
      </c>
      <c r="K79" s="15">
        <f>((+K77+K70-K18)*0.25)</f>
        <v>-8405.5575000000008</v>
      </c>
      <c r="L79" s="15"/>
      <c r="M79" s="15">
        <f>SUM(C79:K79)</f>
        <v>35913.137500000019</v>
      </c>
      <c r="N79" s="2"/>
      <c r="O79"/>
      <c r="P79"/>
      <c r="Q79"/>
      <c r="R79"/>
      <c r="S79"/>
      <c r="T79"/>
      <c r="U79"/>
      <c r="V79"/>
    </row>
    <row r="80" spans="1:22" s="4" customFormat="1" ht="30.75" hidden="1" customHeight="1" x14ac:dyDescent="0.2">
      <c r="A80" s="14" t="s">
        <v>1</v>
      </c>
      <c r="B80" s="13"/>
      <c r="C80" s="12">
        <f>+C77-C79</f>
        <v>180405.51750000007</v>
      </c>
      <c r="D80" s="12">
        <f>+D77-D79</f>
        <v>219049.65749999997</v>
      </c>
      <c r="E80" s="12">
        <f>+E77-E79</f>
        <v>-45612.652499999997</v>
      </c>
      <c r="F80" s="12">
        <f>+F77-F79</f>
        <v>0</v>
      </c>
      <c r="G80" s="12">
        <f>+G77-G79</f>
        <v>-84579.997499999998</v>
      </c>
      <c r="H80" s="12">
        <f>+H77-H79</f>
        <v>-27320.182499999992</v>
      </c>
      <c r="I80" s="12"/>
      <c r="J80" s="12">
        <f>+J77-J79</f>
        <v>-108078.35750000001</v>
      </c>
      <c r="K80" s="12">
        <f>+K77-K79</f>
        <v>-25216.672500000001</v>
      </c>
      <c r="L80" s="12"/>
      <c r="M80" s="11">
        <f>SUM(C80:K80)</f>
        <v>108647.31250000007</v>
      </c>
      <c r="N80" s="3">
        <f>+N81*0.05</f>
        <v>6999.4625000000005</v>
      </c>
      <c r="O80"/>
      <c r="P80"/>
      <c r="Q80"/>
      <c r="R80"/>
      <c r="S80"/>
      <c r="T80"/>
      <c r="U80"/>
      <c r="V80"/>
    </row>
    <row r="81" spans="1:22" s="4" customFormat="1" ht="29.25" hidden="1" customHeight="1" x14ac:dyDescent="0.2">
      <c r="A81" s="10" t="s">
        <v>0</v>
      </c>
      <c r="B81" s="9"/>
      <c r="C81" s="8">
        <f>1-(+C39+C76+C79)/C19</f>
        <v>0.12752664871998409</v>
      </c>
      <c r="D81" s="8">
        <f>1-(+D39+D76+D79)/D19</f>
        <v>0.45368247317791066</v>
      </c>
      <c r="E81" s="8">
        <f>1-(+E39+E76+E79)/E19</f>
        <v>-0.68074054324144972</v>
      </c>
      <c r="F81" s="8" t="e">
        <f>1-(+F39+F76+F79)/F19</f>
        <v>#DIV/0!</v>
      </c>
      <c r="G81" s="8">
        <v>-1</v>
      </c>
      <c r="H81" s="8">
        <f>1-(+H39+H76+H79)/H19</f>
        <v>-0.90957610441011605</v>
      </c>
      <c r="I81" s="8"/>
      <c r="J81" s="8">
        <f>1-(+J39+J76+J79)/J19</f>
        <v>-0.72052094229144892</v>
      </c>
      <c r="K81" s="8">
        <f>1-(+K39+K76+K79)/K19</f>
        <v>-0.92561549439602042</v>
      </c>
      <c r="L81" s="8"/>
      <c r="M81" s="7">
        <f>1-(+M39+M76+M79)/M19</f>
        <v>5.0027321164536565E-2</v>
      </c>
      <c r="N81" s="3">
        <f>186349.7-46360.45</f>
        <v>139989.25</v>
      </c>
      <c r="O81"/>
      <c r="P81"/>
      <c r="Q81"/>
      <c r="R81"/>
      <c r="S81"/>
      <c r="T81"/>
      <c r="U81"/>
      <c r="V81"/>
    </row>
    <row r="82" spans="1:22" ht="16" thickTop="1" x14ac:dyDescent="0.2">
      <c r="M82" s="3">
        <f>+[1]FONDOS!$CX$97-M77</f>
        <v>-175177.23000000045</v>
      </c>
      <c r="N82" s="6"/>
      <c r="O82"/>
      <c r="P82"/>
      <c r="Q82"/>
      <c r="R82"/>
      <c r="S82"/>
      <c r="T82"/>
      <c r="U82"/>
      <c r="V82"/>
    </row>
    <row r="83" spans="1:22" x14ac:dyDescent="0.2">
      <c r="A83" s="1" t="s">
        <v>72</v>
      </c>
      <c r="N83" s="6"/>
      <c r="O83" s="2"/>
      <c r="P83" s="4"/>
      <c r="Q83" s="4"/>
      <c r="R83" s="4"/>
      <c r="S83" s="4"/>
      <c r="T83" s="4"/>
      <c r="U83" s="4"/>
    </row>
    <row r="84" spans="1:22" x14ac:dyDescent="0.2">
      <c r="O84" s="2"/>
      <c r="P84" s="4"/>
      <c r="Q84" s="4"/>
      <c r="R84" s="4"/>
      <c r="S84" s="4"/>
      <c r="T84" s="4"/>
    </row>
    <row r="85" spans="1:22" ht="16" x14ac:dyDescent="0.2">
      <c r="A85" s="75" t="s">
        <v>73</v>
      </c>
      <c r="B85" s="75"/>
      <c r="C85" s="76">
        <v>0.4</v>
      </c>
      <c r="D85" s="76">
        <v>0.3</v>
      </c>
      <c r="E85" s="76"/>
      <c r="F85" s="77"/>
      <c r="G85" s="76">
        <v>0.3</v>
      </c>
      <c r="H85" s="78"/>
      <c r="I85" s="77"/>
      <c r="J85" s="79"/>
      <c r="K85" s="79"/>
      <c r="M85" s="1"/>
    </row>
    <row r="86" spans="1:22" ht="16" x14ac:dyDescent="0.2">
      <c r="A86" s="75" t="s">
        <v>74</v>
      </c>
      <c r="B86" s="75"/>
      <c r="C86" s="80">
        <v>1</v>
      </c>
      <c r="D86" s="80"/>
      <c r="E86" s="80"/>
      <c r="F86" s="80"/>
      <c r="G86" s="80"/>
      <c r="H86" s="80"/>
      <c r="I86" s="77"/>
      <c r="J86" s="79"/>
      <c r="K86" s="79"/>
      <c r="M86" s="1"/>
    </row>
    <row r="87" spans="1:22" ht="16" x14ac:dyDescent="0.2">
      <c r="A87" s="75" t="s">
        <v>75</v>
      </c>
      <c r="B87" s="75"/>
      <c r="C87" s="80"/>
      <c r="D87" s="80">
        <v>0.3</v>
      </c>
      <c r="E87" s="80">
        <v>0.4</v>
      </c>
      <c r="F87" s="80"/>
      <c r="G87" s="80">
        <v>0.3</v>
      </c>
      <c r="H87" s="80"/>
      <c r="I87" s="77"/>
      <c r="J87" s="79"/>
      <c r="K87" s="79"/>
      <c r="M87" s="5"/>
    </row>
    <row r="88" spans="1:22" ht="16" x14ac:dyDescent="0.2">
      <c r="A88" s="75" t="s">
        <v>77</v>
      </c>
      <c r="B88" s="75"/>
      <c r="C88" s="80"/>
      <c r="D88" s="80">
        <v>0.3</v>
      </c>
      <c r="E88" s="80">
        <v>0.4</v>
      </c>
      <c r="F88" s="80">
        <f>+E88*D88/100</f>
        <v>1.1999999999999999E-3</v>
      </c>
      <c r="G88" s="80">
        <v>0.3</v>
      </c>
      <c r="H88" s="80"/>
      <c r="I88" s="77"/>
      <c r="J88" s="79"/>
      <c r="K88" s="79"/>
      <c r="M88" s="4"/>
    </row>
    <row r="89" spans="1:22" ht="16" x14ac:dyDescent="0.2">
      <c r="A89" s="75" t="s">
        <v>76</v>
      </c>
      <c r="B89" s="75"/>
      <c r="C89" s="80"/>
      <c r="D89" s="80">
        <v>0.3</v>
      </c>
      <c r="E89" s="80">
        <v>0.4</v>
      </c>
      <c r="F89" s="80">
        <f>+E89*D89/100</f>
        <v>1.1999999999999999E-3</v>
      </c>
      <c r="G89" s="80">
        <v>0.3</v>
      </c>
      <c r="H89" s="80"/>
      <c r="I89" s="77"/>
      <c r="J89" s="79"/>
      <c r="K89" s="79"/>
      <c r="M89" s="4"/>
    </row>
    <row r="90" spans="1:22" ht="16" x14ac:dyDescent="0.2">
      <c r="A90" s="75" t="s">
        <v>78</v>
      </c>
      <c r="B90" s="75"/>
      <c r="C90" s="80"/>
      <c r="D90" s="80">
        <v>0.3</v>
      </c>
      <c r="E90" s="80">
        <v>0.4</v>
      </c>
      <c r="F90" s="80">
        <f>+E90*D90/100</f>
        <v>1.1999999999999999E-3</v>
      </c>
      <c r="G90" s="80">
        <v>0.3</v>
      </c>
      <c r="H90" s="80"/>
      <c r="I90" s="77"/>
      <c r="J90" s="79"/>
      <c r="K90" s="79"/>
      <c r="M90" s="1"/>
    </row>
    <row r="91" spans="1:22" ht="16" x14ac:dyDescent="0.2">
      <c r="A91" s="75" t="s">
        <v>79</v>
      </c>
      <c r="B91" s="75"/>
      <c r="C91" s="80"/>
      <c r="D91" s="80">
        <v>1</v>
      </c>
      <c r="E91" s="80"/>
      <c r="F91" s="80">
        <f>+E91*D91/100</f>
        <v>0</v>
      </c>
      <c r="G91" s="80"/>
      <c r="H91" s="80"/>
      <c r="I91" s="77"/>
      <c r="J91" s="81"/>
      <c r="K91" s="81"/>
      <c r="M91" s="1"/>
    </row>
    <row r="92" spans="1:22" x14ac:dyDescent="0.2">
      <c r="A92" s="75" t="s">
        <v>80</v>
      </c>
      <c r="B92" s="75"/>
      <c r="C92" s="80"/>
      <c r="D92" s="80"/>
      <c r="E92" s="80"/>
      <c r="F92" s="80">
        <f>+E92*D92/100</f>
        <v>0</v>
      </c>
      <c r="G92" s="80"/>
      <c r="H92" s="80"/>
      <c r="I92" s="77"/>
      <c r="J92" s="82">
        <v>1</v>
      </c>
      <c r="K92" s="75"/>
      <c r="M92" s="1"/>
    </row>
    <row r="93" spans="1:22" x14ac:dyDescent="0.2">
      <c r="A93" s="75" t="s">
        <v>81</v>
      </c>
      <c r="B93" s="75"/>
      <c r="C93" s="80"/>
      <c r="D93" s="80"/>
      <c r="E93" s="80"/>
      <c r="F93" s="80">
        <f>+E93*D93/100</f>
        <v>0</v>
      </c>
      <c r="G93" s="80"/>
      <c r="H93" s="80"/>
      <c r="I93" s="77"/>
      <c r="J93" s="82">
        <v>1</v>
      </c>
      <c r="K93" s="75"/>
      <c r="M93" s="1"/>
    </row>
    <row r="94" spans="1:22" x14ac:dyDescent="0.2">
      <c r="A94" s="75" t="s">
        <v>82</v>
      </c>
      <c r="B94" s="75"/>
      <c r="C94" s="80"/>
      <c r="D94" s="80"/>
      <c r="E94" s="80"/>
      <c r="F94" s="80">
        <f>+E94*D94/100</f>
        <v>0</v>
      </c>
      <c r="G94" s="80"/>
      <c r="H94" s="80"/>
      <c r="I94" s="77"/>
      <c r="J94" s="82">
        <v>1</v>
      </c>
      <c r="K94" s="75"/>
      <c r="M94" s="1"/>
    </row>
    <row r="95" spans="1:22" s="2" customFormat="1" x14ac:dyDescent="0.2">
      <c r="A95" s="75" t="s">
        <v>83</v>
      </c>
      <c r="B95" s="77"/>
      <c r="C95" s="80"/>
      <c r="D95" s="80"/>
      <c r="E95" s="80"/>
      <c r="F95" s="80">
        <f>+E95*D95/100</f>
        <v>0</v>
      </c>
      <c r="G95" s="80"/>
      <c r="H95" s="80"/>
      <c r="I95" s="77"/>
      <c r="J95" s="75"/>
      <c r="K95" s="82">
        <v>1</v>
      </c>
    </row>
    <row r="96" spans="1:22" s="2" customFormat="1" x14ac:dyDescent="0.2">
      <c r="A96" s="75" t="s">
        <v>84</v>
      </c>
      <c r="B96" s="77"/>
      <c r="C96" s="80">
        <v>1</v>
      </c>
      <c r="D96" s="80"/>
      <c r="E96" s="80"/>
      <c r="F96" s="80">
        <f>SUM(F88:F95)</f>
        <v>3.5999999999999999E-3</v>
      </c>
      <c r="G96" s="80"/>
      <c r="H96" s="80"/>
      <c r="I96" s="77"/>
      <c r="J96" s="75"/>
      <c r="K96" s="75"/>
    </row>
    <row r="97" spans="1:13" s="2" customFormat="1" ht="16" x14ac:dyDescent="0.2">
      <c r="A97" s="75" t="s">
        <v>85</v>
      </c>
      <c r="B97" s="77"/>
      <c r="C97" s="80">
        <v>1</v>
      </c>
      <c r="D97" s="80"/>
      <c r="E97" s="80"/>
      <c r="F97" s="80"/>
      <c r="G97" s="80"/>
      <c r="H97" s="80"/>
      <c r="I97" s="77"/>
      <c r="J97" s="81"/>
      <c r="K97" s="81"/>
    </row>
    <row r="98" spans="1:13" ht="16" x14ac:dyDescent="0.2">
      <c r="A98" s="75" t="s">
        <v>86</v>
      </c>
      <c r="B98" s="75"/>
      <c r="C98" s="80">
        <v>1</v>
      </c>
      <c r="D98" s="80"/>
      <c r="E98" s="80"/>
      <c r="F98" s="80"/>
      <c r="G98" s="80"/>
      <c r="H98" s="80"/>
      <c r="I98" s="77"/>
      <c r="J98" s="79"/>
      <c r="K98" s="79"/>
      <c r="M98" s="1"/>
    </row>
    <row r="99" spans="1:13" ht="16" x14ac:dyDescent="0.2">
      <c r="A99" s="75" t="s">
        <v>87</v>
      </c>
      <c r="B99" s="75"/>
      <c r="C99" s="80"/>
      <c r="D99" s="80"/>
      <c r="E99" s="80"/>
      <c r="F99" s="80"/>
      <c r="G99" s="80"/>
      <c r="H99" s="80">
        <v>1</v>
      </c>
      <c r="I99" s="77"/>
      <c r="J99" s="79"/>
      <c r="K99" s="79"/>
      <c r="M99" s="1"/>
    </row>
    <row r="101" spans="1:13" x14ac:dyDescent="0.2">
      <c r="A101" s="1" t="s">
        <v>89</v>
      </c>
    </row>
  </sheetData>
  <mergeCells count="8">
    <mergeCell ref="A80:B80"/>
    <mergeCell ref="A81:B81"/>
    <mergeCell ref="F2:H2"/>
    <mergeCell ref="J2:M2"/>
    <mergeCell ref="A3:B4"/>
    <mergeCell ref="C3:I3"/>
    <mergeCell ref="J3:L3"/>
    <mergeCell ref="M3:M4"/>
  </mergeCells>
  <phoneticPr fontId="6" type="noConversion"/>
  <printOptions horizontalCentered="1"/>
  <pageMargins left="0.19685039370078741" right="0.19685039370078741" top="0.39370078740157483" bottom="0.39370078740157483" header="0.11811023622047245" footer="0.11811023622047245"/>
  <pageSetup scale="60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P&amp;L</vt:lpstr>
      <vt:lpstr>'P&amp;L'!Print_Area</vt:lpstr>
      <vt:lpstr>'P&amp;L'!Print_Titles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Analilia Silva Noguera</dc:creator>
  <cp:lastModifiedBy>Analilia Silva Noguera</cp:lastModifiedBy>
  <dcterms:created xsi:type="dcterms:W3CDTF">2024-02-13T22:04:10Z</dcterms:created>
  <dcterms:modified xsi:type="dcterms:W3CDTF">2024-02-13T23:30:26Z</dcterms:modified>
</cp:coreProperties>
</file>