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Work\DataScience\Salim\20-Jan-2020\"/>
    </mc:Choice>
  </mc:AlternateContent>
  <xr:revisionPtr revIDLastSave="0" documentId="13_ncr:1_{ABBF8525-82AC-4D4D-863C-90E7B816E0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6" i="1" l="1"/>
  <c r="G194" i="1"/>
  <c r="H194" i="1" s="1"/>
  <c r="E194" i="1"/>
  <c r="F194" i="1" s="1"/>
  <c r="C194" i="1"/>
  <c r="D194" i="1" s="1"/>
  <c r="G193" i="1"/>
  <c r="H193" i="1" s="1"/>
  <c r="F193" i="1"/>
  <c r="E193" i="1"/>
  <c r="C193" i="1"/>
  <c r="D193" i="1" s="1"/>
  <c r="G192" i="1"/>
  <c r="H192" i="1" s="1"/>
  <c r="E192" i="1"/>
  <c r="F192" i="1" s="1"/>
  <c r="D192" i="1"/>
  <c r="C192" i="1"/>
  <c r="H191" i="1"/>
  <c r="F191" i="1"/>
  <c r="D191" i="1"/>
  <c r="H190" i="1"/>
  <c r="F190" i="1"/>
  <c r="D190" i="1"/>
  <c r="H189" i="1"/>
  <c r="G189" i="1"/>
  <c r="E189" i="1"/>
  <c r="F189" i="1" s="1"/>
  <c r="D189" i="1"/>
  <c r="C189" i="1"/>
  <c r="G188" i="1"/>
  <c r="H188" i="1" s="1"/>
  <c r="E188" i="1"/>
  <c r="F188" i="1" s="1"/>
  <c r="C188" i="1"/>
  <c r="D188" i="1" s="1"/>
  <c r="H187" i="1"/>
  <c r="F187" i="1"/>
  <c r="D187" i="1"/>
  <c r="G186" i="1"/>
  <c r="H186" i="1" s="1"/>
  <c r="E186" i="1"/>
  <c r="F186" i="1" s="1"/>
  <c r="C186" i="1"/>
  <c r="D186" i="1" s="1"/>
  <c r="G185" i="1"/>
  <c r="H185" i="1" s="1"/>
  <c r="E185" i="1"/>
  <c r="F185" i="1" s="1"/>
  <c r="C185" i="1"/>
  <c r="D185" i="1" s="1"/>
  <c r="H184" i="1"/>
  <c r="F184" i="1"/>
  <c r="D184" i="1"/>
  <c r="G183" i="1"/>
  <c r="H183" i="1" s="1"/>
  <c r="E183" i="1"/>
  <c r="F183" i="1" s="1"/>
  <c r="C183" i="1"/>
  <c r="D183" i="1" s="1"/>
  <c r="G182" i="1"/>
  <c r="H182" i="1" s="1"/>
  <c r="E182" i="1"/>
  <c r="F182" i="1" s="1"/>
  <c r="C182" i="1"/>
  <c r="D182" i="1" s="1"/>
  <c r="E351" i="1"/>
  <c r="C351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G286" i="1"/>
  <c r="E286" i="1"/>
  <c r="H231" i="1"/>
  <c r="G231" i="1"/>
  <c r="E231" i="1"/>
  <c r="C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175" i="1"/>
  <c r="G99" i="1"/>
  <c r="E99" i="1"/>
  <c r="C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G87" i="1"/>
  <c r="E87" i="1"/>
  <c r="C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G72" i="1"/>
  <c r="E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G57" i="1"/>
  <c r="H56" i="1"/>
  <c r="H55" i="1"/>
  <c r="H54" i="1"/>
  <c r="H53" i="1"/>
  <c r="H52" i="1"/>
  <c r="H51" i="1"/>
  <c r="H50" i="1"/>
  <c r="H49" i="1"/>
  <c r="H48" i="1"/>
  <c r="E41" i="1"/>
  <c r="E56" i="1" s="1"/>
  <c r="F56" i="1" s="1"/>
  <c r="E40" i="1"/>
  <c r="E55" i="1" s="1"/>
  <c r="F55" i="1" s="1"/>
  <c r="E39" i="1"/>
  <c r="E54" i="1" s="1"/>
  <c r="F54" i="1" s="1"/>
  <c r="E38" i="1"/>
  <c r="E53" i="1" s="1"/>
  <c r="F53" i="1" s="1"/>
  <c r="E37" i="1"/>
  <c r="E52" i="1" s="1"/>
  <c r="F52" i="1" s="1"/>
  <c r="E36" i="1"/>
  <c r="E51" i="1" s="1"/>
  <c r="F51" i="1" s="1"/>
  <c r="E35" i="1"/>
  <c r="E50" i="1" s="1"/>
  <c r="F50" i="1" s="1"/>
  <c r="E34" i="1"/>
  <c r="E49" i="1" s="1"/>
  <c r="F49" i="1" s="1"/>
  <c r="E33" i="1"/>
  <c r="E48" i="1" s="1"/>
  <c r="E28" i="1"/>
  <c r="G27" i="1"/>
  <c r="G41" i="1" s="1"/>
  <c r="H41" i="1" s="1"/>
  <c r="F27" i="1"/>
  <c r="C27" i="1"/>
  <c r="D27" i="1" s="1"/>
  <c r="G26" i="1"/>
  <c r="G40" i="1" s="1"/>
  <c r="H40" i="1" s="1"/>
  <c r="F26" i="1"/>
  <c r="D26" i="1"/>
  <c r="C26" i="1"/>
  <c r="C40" i="1" s="1"/>
  <c r="C55" i="1" s="1"/>
  <c r="G25" i="1"/>
  <c r="G39" i="1" s="1"/>
  <c r="H39" i="1" s="1"/>
  <c r="F25" i="1"/>
  <c r="C25" i="1"/>
  <c r="C39" i="1" s="1"/>
  <c r="G24" i="1"/>
  <c r="G38" i="1" s="1"/>
  <c r="H38" i="1" s="1"/>
  <c r="F24" i="1"/>
  <c r="C24" i="1"/>
  <c r="C38" i="1" s="1"/>
  <c r="G23" i="1"/>
  <c r="H23" i="1" s="1"/>
  <c r="F23" i="1"/>
  <c r="C23" i="1"/>
  <c r="C37" i="1" s="1"/>
  <c r="G22" i="1"/>
  <c r="G36" i="1" s="1"/>
  <c r="H36" i="1" s="1"/>
  <c r="F22" i="1"/>
  <c r="C22" i="1"/>
  <c r="D22" i="1" s="1"/>
  <c r="G21" i="1"/>
  <c r="H21" i="1" s="1"/>
  <c r="F21" i="1"/>
  <c r="C21" i="1"/>
  <c r="C35" i="1" s="1"/>
  <c r="G20" i="1"/>
  <c r="H20" i="1" s="1"/>
  <c r="F20" i="1"/>
  <c r="C20" i="1"/>
  <c r="C34" i="1" s="1"/>
  <c r="G19" i="1"/>
  <c r="H19" i="1" s="1"/>
  <c r="F19" i="1"/>
  <c r="C19" i="1"/>
  <c r="D19" i="1" s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E195" i="1" l="1"/>
  <c r="F40" i="1"/>
  <c r="D24" i="1"/>
  <c r="D286" i="1"/>
  <c r="F38" i="1"/>
  <c r="H24" i="1"/>
  <c r="D23" i="1"/>
  <c r="G247" i="1"/>
  <c r="C330" i="1"/>
  <c r="C309" i="1"/>
  <c r="E309" i="1"/>
  <c r="F39" i="1"/>
  <c r="F35" i="1"/>
  <c r="E175" i="1"/>
  <c r="F34" i="1"/>
  <c r="F351" i="1"/>
  <c r="D14" i="1"/>
  <c r="F231" i="1"/>
  <c r="H99" i="1"/>
  <c r="G34" i="1"/>
  <c r="H34" i="1" s="1"/>
  <c r="F14" i="1"/>
  <c r="F72" i="1"/>
  <c r="C137" i="1"/>
  <c r="G195" i="1"/>
  <c r="H247" i="1"/>
  <c r="F286" i="1"/>
  <c r="D309" i="1"/>
  <c r="D351" i="1"/>
  <c r="H72" i="1"/>
  <c r="F28" i="1"/>
  <c r="H25" i="1"/>
  <c r="H27" i="1"/>
  <c r="C36" i="1"/>
  <c r="C51" i="1" s="1"/>
  <c r="D51" i="1" s="1"/>
  <c r="D99" i="1"/>
  <c r="G137" i="1"/>
  <c r="G156" i="1"/>
  <c r="F309" i="1"/>
  <c r="H351" i="1"/>
  <c r="H286" i="1"/>
  <c r="G28" i="1"/>
  <c r="F99" i="1"/>
  <c r="E330" i="1"/>
  <c r="D87" i="1"/>
  <c r="F87" i="1"/>
  <c r="D231" i="1"/>
  <c r="H57" i="1"/>
  <c r="H87" i="1"/>
  <c r="C195" i="1"/>
  <c r="D39" i="1"/>
  <c r="C54" i="1"/>
  <c r="H215" i="1"/>
  <c r="G215" i="1"/>
  <c r="C50" i="1"/>
  <c r="D35" i="1"/>
  <c r="C175" i="1"/>
  <c r="C70" i="1"/>
  <c r="D70" i="1" s="1"/>
  <c r="D55" i="1"/>
  <c r="D137" i="1"/>
  <c r="G175" i="1"/>
  <c r="H175" i="1"/>
  <c r="C215" i="1"/>
  <c r="F137" i="1"/>
  <c r="C156" i="1"/>
  <c r="D156" i="1"/>
  <c r="D175" i="1"/>
  <c r="H309" i="1"/>
  <c r="D330" i="1"/>
  <c r="F48" i="1"/>
  <c r="F57" i="1" s="1"/>
  <c r="E57" i="1"/>
  <c r="D215" i="1"/>
  <c r="E215" i="1"/>
  <c r="F330" i="1"/>
  <c r="D38" i="1"/>
  <c r="C53" i="1"/>
  <c r="D34" i="1"/>
  <c r="C49" i="1"/>
  <c r="D247" i="1"/>
  <c r="H330" i="1"/>
  <c r="E156" i="1"/>
  <c r="D37" i="1"/>
  <c r="C52" i="1"/>
  <c r="F247" i="1"/>
  <c r="C28" i="1"/>
  <c r="D21" i="1"/>
  <c r="H22" i="1"/>
  <c r="C33" i="1"/>
  <c r="G35" i="1"/>
  <c r="H35" i="1" s="1"/>
  <c r="C41" i="1"/>
  <c r="E42" i="1"/>
  <c r="H137" i="1"/>
  <c r="H195" i="1"/>
  <c r="C247" i="1"/>
  <c r="G309" i="1"/>
  <c r="E247" i="1"/>
  <c r="C268" i="1"/>
  <c r="D20" i="1"/>
  <c r="F33" i="1"/>
  <c r="D36" i="1"/>
  <c r="F37" i="1"/>
  <c r="D40" i="1"/>
  <c r="F41" i="1"/>
  <c r="F156" i="1"/>
  <c r="D25" i="1"/>
  <c r="H26" i="1"/>
  <c r="G33" i="1"/>
  <c r="G37" i="1"/>
  <c r="H37" i="1" s="1"/>
  <c r="E137" i="1"/>
  <c r="D195" i="1"/>
  <c r="F215" i="1"/>
  <c r="G330" i="1"/>
  <c r="F36" i="1"/>
  <c r="H156" i="1"/>
  <c r="F195" i="1"/>
  <c r="C66" i="1" l="1"/>
  <c r="D66" i="1" s="1"/>
  <c r="H28" i="1"/>
  <c r="D28" i="1"/>
  <c r="H33" i="1"/>
  <c r="H42" i="1" s="1"/>
  <c r="G42" i="1"/>
  <c r="F42" i="1"/>
  <c r="C65" i="1"/>
  <c r="D65" i="1" s="1"/>
  <c r="D50" i="1"/>
  <c r="C69" i="1"/>
  <c r="D69" i="1" s="1"/>
  <c r="D54" i="1"/>
  <c r="C67" i="1"/>
  <c r="D67" i="1" s="1"/>
  <c r="D52" i="1"/>
  <c r="C42" i="1"/>
  <c r="C48" i="1"/>
  <c r="D33" i="1"/>
  <c r="C56" i="1"/>
  <c r="D41" i="1"/>
  <c r="D49" i="1"/>
  <c r="C64" i="1"/>
  <c r="D64" i="1" s="1"/>
  <c r="D53" i="1"/>
  <c r="C68" i="1"/>
  <c r="D68" i="1" s="1"/>
  <c r="D42" i="1" l="1"/>
  <c r="C71" i="1"/>
  <c r="D71" i="1" s="1"/>
  <c r="D56" i="1"/>
  <c r="C63" i="1"/>
  <c r="D48" i="1"/>
  <c r="C57" i="1"/>
  <c r="D57" i="1" l="1"/>
  <c r="C72" i="1"/>
  <c r="D63" i="1"/>
  <c r="D72" i="1" s="1"/>
</calcChain>
</file>

<file path=xl/sharedStrings.xml><?xml version="1.0" encoding="utf-8"?>
<sst xmlns="http://schemas.openxmlformats.org/spreadsheetml/2006/main" count="495" uniqueCount="38">
  <si>
    <t>SERIES 1</t>
  </si>
  <si>
    <t>Invoice Date</t>
  </si>
  <si>
    <t>POKEMON, BOOSTER PACK GAME KARTU SET A PCK -(20097156</t>
  </si>
  <si>
    <t>POKEMON, STARTER DECK GAME KARTU BOX -(20097155</t>
  </si>
  <si>
    <t>Distribution Center</t>
  </si>
  <si>
    <t>DC BEKASI-(G105)</t>
  </si>
  <si>
    <t>DC BOGOR-(G113)</t>
  </si>
  <si>
    <t>DC BOGOR 2-(G117)</t>
  </si>
  <si>
    <t>DC JAKARTA-(G001)</t>
  </si>
  <si>
    <t>DC JAKARTA 2-(G137)</t>
  </si>
  <si>
    <t>DC PARUNG-(G107)</t>
  </si>
  <si>
    <t>DC PURWAKARTA-(G080)</t>
  </si>
  <si>
    <t>DC TANGERANG 1-(G026)</t>
  </si>
  <si>
    <t>DC TANGERANG 2-(G033)</t>
  </si>
  <si>
    <t>Total</t>
  </si>
  <si>
    <t>POKEMON, BOOSTER PACK GAME KARTU SET B PCK -(20097522</t>
  </si>
  <si>
    <t>Sales Qty</t>
  </si>
  <si>
    <t>Series 2</t>
  </si>
  <si>
    <t>POKEMON, BOOSTER PACK GAME KARTU SET A SERIES 2 PCK -(20099245</t>
  </si>
  <si>
    <t>POKEMON, BOOSTER PACK GAME KARTU SET B SERIES 2 PCK -(20099246</t>
  </si>
  <si>
    <t>POKEMON, STARTER DECK GAME KARTU SERIES 2 BOX -(20099244</t>
  </si>
  <si>
    <t>DC BANDUNG-(G027)</t>
  </si>
  <si>
    <t>Series 1</t>
  </si>
  <si>
    <t>DC GRESIK-(G305)</t>
  </si>
  <si>
    <t>DC MALANG-(G025)</t>
  </si>
  <si>
    <t>DC MEDAN-(G009)</t>
  </si>
  <si>
    <t>SEries 2</t>
  </si>
  <si>
    <t xml:space="preserve">Series 1 </t>
  </si>
  <si>
    <t>DC LEBAK-(G157)</t>
  </si>
  <si>
    <t>POKEMON, STARTER DECK GAME KARTU  BOX -(20097155</t>
  </si>
  <si>
    <t>DC PALEMBANG-(G029)</t>
  </si>
  <si>
    <t>SERIES 2</t>
  </si>
  <si>
    <t>SERIES 3</t>
  </si>
  <si>
    <t>POKEMON, BOOSTER PACK GAME KARTU SET A SERIES 3 PCK -(20101307</t>
  </si>
  <si>
    <t>POKEMON, BOOSTER PACK GAME KARTU SET B SERIES 3 PCK -(20101308</t>
  </si>
  <si>
    <t>POKEMON, STARTER DECK GAME KARTU SERIES 3 BOX -(20101305</t>
  </si>
  <si>
    <t>-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</si>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</sst>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 yyyy"/>
    <numFmt numFmtId="165" formatCode="#,##0.000"/>
  </numFmts>
  <fonts count="9">
    <font>
      <sz val="11"/>
      <color theme="1"/>
      <name val="Arial"/>
      <charset val="134"/>
    </font>
    <font>
      <sz val="11"/>
      <color rgb="FF1F497D"/>
      <name val="Calibri"/>
      <charset val="134"/>
    </font>
    <font>
      <sz val="11"/>
      <color theme="1"/>
      <name val="Calibri"/>
      <charset val="134"/>
    </font>
    <font>
      <sz val="12"/>
      <color rgb="FF222222"/>
      <name val="Helvetica Neue"/>
      <charset val="134"/>
    </font>
    <font>
      <b/>
      <sz val="10"/>
      <color rgb="FF222222"/>
      <name val="Arial"/>
      <charset val="134"/>
    </font>
    <font>
      <sz val="11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1"/>
      <color rgb="FF1F497D"/>
      <name val="Noto Sans Symbols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D5B4"/>
        <bgColor rgb="FFFCD5B4"/>
      </patternFill>
    </fill>
    <fill>
      <patternFill patternType="solid">
        <fgColor rgb="FFAED0F1"/>
        <bgColor rgb="FFAED0F1"/>
      </patternFill>
    </fill>
    <fill>
      <patternFill patternType="solid">
        <fgColor rgb="FFD6E7F8"/>
        <bgColor rgb="FFD6E7F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88BAEA"/>
      </right>
      <top style="medium">
        <color rgb="FF88BAEA"/>
      </top>
      <bottom style="medium">
        <color rgb="FF88BAEA"/>
      </bottom>
      <diagonal/>
    </border>
    <border>
      <left style="medium">
        <color rgb="FF88BAEA"/>
      </left>
      <right style="medium">
        <color rgb="FF000000"/>
      </right>
      <top/>
      <bottom style="medium">
        <color rgb="FF88BAEA"/>
      </bottom>
      <diagonal/>
    </border>
    <border>
      <left/>
      <right/>
      <top/>
      <bottom style="medium">
        <color rgb="FF88BAE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88BAEA"/>
      </right>
      <top/>
      <bottom style="medium">
        <color rgb="FF88BAEA"/>
      </bottom>
      <diagonal/>
    </border>
    <border>
      <left style="medium">
        <color rgb="FF88BAEA"/>
      </left>
      <right style="medium">
        <color rgb="FF88BAEA"/>
      </right>
      <top/>
      <bottom style="medium">
        <color rgb="FF88BAEA"/>
      </bottom>
      <diagonal/>
    </border>
    <border>
      <left style="medium">
        <color rgb="FF88BAEA"/>
      </left>
      <right style="medium">
        <color rgb="FF88BAEA"/>
      </right>
      <top/>
      <bottom/>
      <diagonal/>
    </border>
    <border>
      <left style="medium">
        <color rgb="FF88BAEA"/>
      </left>
      <right style="medium">
        <color rgb="FF88BAEA"/>
      </right>
      <top style="medium">
        <color rgb="FF88BAEA"/>
      </top>
      <bottom style="medium">
        <color rgb="FF88BAEA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0" fontId="3" fillId="2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3" fontId="4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164" fontId="7" fillId="5" borderId="0" xfId="0" applyNumberFormat="1" applyFont="1" applyFill="1" applyAlignment="1">
      <alignment vertical="center" wrapText="1"/>
    </xf>
    <xf numFmtId="0" fontId="7" fillId="5" borderId="0" xfId="0" applyFont="1" applyFill="1" applyAlignment="1"/>
    <xf numFmtId="3" fontId="7" fillId="5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7" fillId="5" borderId="0" xfId="0" applyFont="1" applyFill="1" applyAlignment="1">
      <alignment vertical="center" wrapText="1"/>
    </xf>
    <xf numFmtId="0" fontId="6" fillId="4" borderId="0" xfId="0" applyFont="1" applyFill="1" applyAlignment="1"/>
    <xf numFmtId="3" fontId="6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4" borderId="7" xfId="0" applyFont="1" applyFill="1" applyBorder="1" applyAlignment="1">
      <alignment wrapText="1"/>
    </xf>
    <xf numFmtId="3" fontId="7" fillId="5" borderId="8" xfId="0" applyNumberFormat="1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3" fontId="7" fillId="5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/>
    <xf numFmtId="4" fontId="7" fillId="5" borderId="9" xfId="0" applyNumberFormat="1" applyFont="1" applyFill="1" applyBorder="1" applyAlignment="1">
      <alignment horizontal="center"/>
    </xf>
    <xf numFmtId="0" fontId="6" fillId="4" borderId="10" xfId="0" applyFont="1" applyFill="1" applyBorder="1" applyAlignment="1"/>
    <xf numFmtId="3" fontId="6" fillId="4" borderId="9" xfId="0" applyNumberFormat="1" applyFont="1" applyFill="1" applyBorder="1" applyAlignment="1">
      <alignment horizontal="center"/>
    </xf>
    <xf numFmtId="4" fontId="6" fillId="4" borderId="9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3" fontId="7" fillId="5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3" fontId="7" fillId="5" borderId="12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 wrapText="1"/>
    </xf>
    <xf numFmtId="4" fontId="7" fillId="5" borderId="12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6" fillId="4" borderId="12" xfId="0" applyNumberFormat="1" applyFont="1" applyFill="1" applyBorder="1" applyAlignment="1">
      <alignment horizontal="center" vertical="center" wrapText="1"/>
    </xf>
    <xf numFmtId="4" fontId="6" fillId="4" borderId="12" xfId="0" applyNumberFormat="1" applyFont="1" applyFill="1" applyBorder="1" applyAlignment="1">
      <alignment horizontal="center" vertical="center" wrapText="1"/>
    </xf>
    <xf numFmtId="165" fontId="6" fillId="4" borderId="1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3" fontId="7" fillId="5" borderId="16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8"/>
  <sheetViews>
    <sheetView tabSelected="1" topLeftCell="A94" workbookViewId="0">
      <selection activeCell="E109" sqref="E109"/>
    </sheetView>
  </sheetViews>
  <sheetFormatPr defaultColWidth="12.625" defaultRowHeight="15" customHeight="1"/>
  <cols>
    <col min="1" max="1" width="10" customWidth="1"/>
    <col min="2" max="2" width="26.75" customWidth="1"/>
    <col min="3" max="3" width="20.5" customWidth="1"/>
    <col min="4" max="5" width="16.5" customWidth="1"/>
    <col min="6" max="7" width="17.25" customWidth="1"/>
    <col min="8" max="8" width="18.375" customWidth="1"/>
    <col min="9" max="12" width="7.625" customWidth="1"/>
  </cols>
  <sheetData>
    <row r="1" spans="1:8" ht="14.25" customHeight="1" thickBot="1">
      <c r="A1" s="1"/>
      <c r="B1" s="1"/>
      <c r="C1" s="2"/>
      <c r="E1" s="2"/>
      <c r="G1" s="2"/>
    </row>
    <row r="2" spans="1:8" ht="14.25" customHeight="1" thickBot="1">
      <c r="A2" s="3"/>
      <c r="B2" s="4"/>
      <c r="C2" s="47" t="s">
        <v>0</v>
      </c>
      <c r="D2" s="48"/>
      <c r="E2" s="48"/>
      <c r="F2" s="48"/>
      <c r="G2" s="5"/>
      <c r="H2" s="6"/>
    </row>
    <row r="3" spans="1:8" ht="34.5" thickBot="1">
      <c r="A3" s="7" t="s">
        <v>1</v>
      </c>
      <c r="B3" s="8"/>
      <c r="C3" s="46" t="s">
        <v>2</v>
      </c>
      <c r="D3" s="45"/>
      <c r="E3" s="46" t="s">
        <v>3</v>
      </c>
      <c r="F3" s="45"/>
      <c r="G3" s="2"/>
    </row>
    <row r="4" spans="1:8" ht="15.75" thickBot="1">
      <c r="A4" s="7"/>
      <c r="B4" s="9" t="s">
        <v>4</v>
      </c>
      <c r="C4" s="22" t="s">
        <v>16</v>
      </c>
      <c r="D4" s="10" t="s">
        <v>37</v>
      </c>
      <c r="E4" s="22" t="s">
        <v>16</v>
      </c>
      <c r="F4" s="10" t="s">
        <v>37</v>
      </c>
      <c r="G4" s="2"/>
    </row>
    <row r="5" spans="1:8" ht="14.25" customHeight="1">
      <c r="A5" s="11">
        <v>43691</v>
      </c>
      <c r="B5" s="12" t="s">
        <v>5</v>
      </c>
      <c r="C5" s="13">
        <v>1157</v>
      </c>
      <c r="D5" s="14">
        <f t="shared" ref="D5:D13" si="0">C5*13636.365</f>
        <v>15777274.305</v>
      </c>
      <c r="E5" s="13">
        <v>186</v>
      </c>
      <c r="F5" s="14">
        <f t="shared" ref="F5:F13" si="1">E5*54545.45</f>
        <v>10145453.699999999</v>
      </c>
      <c r="G5" s="2"/>
    </row>
    <row r="6" spans="1:8" ht="14.25" customHeight="1">
      <c r="A6" s="15"/>
      <c r="B6" s="12" t="s">
        <v>6</v>
      </c>
      <c r="C6" s="13">
        <v>1315</v>
      </c>
      <c r="D6" s="14">
        <f t="shared" si="0"/>
        <v>17931819.975000001</v>
      </c>
      <c r="E6" s="13">
        <v>343</v>
      </c>
      <c r="F6" s="14">
        <f t="shared" si="1"/>
        <v>18709089.349999998</v>
      </c>
      <c r="G6" s="2"/>
    </row>
    <row r="7" spans="1:8" ht="14.25" customHeight="1">
      <c r="A7" s="15"/>
      <c r="B7" s="12" t="s">
        <v>7</v>
      </c>
      <c r="C7" s="13">
        <v>1022</v>
      </c>
      <c r="D7" s="14">
        <f t="shared" si="0"/>
        <v>13936365.029999999</v>
      </c>
      <c r="E7" s="13">
        <v>348</v>
      </c>
      <c r="F7" s="14">
        <f t="shared" si="1"/>
        <v>18981816.599999998</v>
      </c>
      <c r="G7" s="2"/>
    </row>
    <row r="8" spans="1:8" ht="14.25" customHeight="1">
      <c r="A8" s="15"/>
      <c r="B8" s="12" t="s">
        <v>8</v>
      </c>
      <c r="C8" s="13">
        <v>3296</v>
      </c>
      <c r="D8" s="14">
        <f t="shared" si="0"/>
        <v>44945459.039999999</v>
      </c>
      <c r="E8" s="13">
        <v>1343</v>
      </c>
      <c r="F8" s="14">
        <f t="shared" si="1"/>
        <v>73254539.349999994</v>
      </c>
      <c r="G8" s="2"/>
    </row>
    <row r="9" spans="1:8" ht="14.25" customHeight="1">
      <c r="A9" s="15"/>
      <c r="B9" s="12" t="s">
        <v>9</v>
      </c>
      <c r="C9" s="13">
        <v>2382</v>
      </c>
      <c r="D9" s="14">
        <f t="shared" si="0"/>
        <v>32481821.43</v>
      </c>
      <c r="E9" s="13">
        <v>776</v>
      </c>
      <c r="F9" s="14">
        <f t="shared" si="1"/>
        <v>42327269.199999996</v>
      </c>
      <c r="G9" s="2"/>
    </row>
    <row r="10" spans="1:8" ht="14.25" customHeight="1">
      <c r="A10" s="15"/>
      <c r="B10" s="12" t="s">
        <v>10</v>
      </c>
      <c r="C10" s="13">
        <v>1741</v>
      </c>
      <c r="D10" s="14">
        <f t="shared" si="0"/>
        <v>23740911.465</v>
      </c>
      <c r="E10" s="13">
        <v>531</v>
      </c>
      <c r="F10" s="14">
        <f t="shared" si="1"/>
        <v>28963633.949999999</v>
      </c>
      <c r="G10" s="2"/>
    </row>
    <row r="11" spans="1:8" ht="14.25" customHeight="1">
      <c r="A11" s="15"/>
      <c r="B11" s="12" t="s">
        <v>11</v>
      </c>
      <c r="C11" s="13">
        <v>806</v>
      </c>
      <c r="D11" s="14">
        <f t="shared" si="0"/>
        <v>10990910.189999999</v>
      </c>
      <c r="E11" s="13">
        <v>170</v>
      </c>
      <c r="F11" s="14">
        <f t="shared" si="1"/>
        <v>9272726.5</v>
      </c>
      <c r="G11" s="2"/>
    </row>
    <row r="12" spans="1:8" ht="14.25" customHeight="1">
      <c r="A12" s="15"/>
      <c r="B12" s="12" t="s">
        <v>12</v>
      </c>
      <c r="C12" s="13">
        <v>1799</v>
      </c>
      <c r="D12" s="14">
        <f t="shared" si="0"/>
        <v>24531820.634999998</v>
      </c>
      <c r="E12" s="13">
        <v>390</v>
      </c>
      <c r="F12" s="14">
        <f t="shared" si="1"/>
        <v>21272725.5</v>
      </c>
      <c r="G12" s="2"/>
    </row>
    <row r="13" spans="1:8" ht="14.25" customHeight="1">
      <c r="A13" s="15"/>
      <c r="B13" s="12" t="s">
        <v>13</v>
      </c>
      <c r="C13" s="13">
        <v>2178</v>
      </c>
      <c r="D13" s="14">
        <f t="shared" si="0"/>
        <v>29700002.969999999</v>
      </c>
      <c r="E13" s="13">
        <v>776</v>
      </c>
      <c r="F13" s="14">
        <f t="shared" si="1"/>
        <v>42327269.199999996</v>
      </c>
      <c r="G13" s="2"/>
    </row>
    <row r="14" spans="1:8" ht="14.25" customHeight="1">
      <c r="A14" s="15"/>
      <c r="B14" s="16" t="s">
        <v>14</v>
      </c>
      <c r="C14" s="17">
        <v>15696</v>
      </c>
      <c r="D14" s="14">
        <f>SUM(D5:D13)</f>
        <v>214036385.03999999</v>
      </c>
      <c r="E14" s="17">
        <v>4863</v>
      </c>
      <c r="F14" s="14">
        <f>SUM(F5:F13)</f>
        <v>265254523.34999996</v>
      </c>
      <c r="G14" s="2"/>
    </row>
    <row r="15" spans="1:8" ht="14.25" customHeight="1" thickBot="1">
      <c r="A15" s="18"/>
      <c r="B15" s="18"/>
      <c r="C15" s="2"/>
      <c r="E15" s="2"/>
      <c r="G15" s="2"/>
    </row>
    <row r="16" spans="1:8" ht="14.25" customHeight="1" thickBot="1">
      <c r="A16" s="18"/>
      <c r="B16" s="18"/>
      <c r="C16" s="47" t="s">
        <v>0</v>
      </c>
      <c r="D16" s="48"/>
      <c r="E16" s="48"/>
      <c r="F16" s="48"/>
      <c r="G16" s="48"/>
      <c r="H16" s="48"/>
    </row>
    <row r="17" spans="1:8" ht="39.75" customHeight="1">
      <c r="A17" s="7" t="s">
        <v>1</v>
      </c>
      <c r="B17" s="19"/>
      <c r="C17" s="20" t="s">
        <v>2</v>
      </c>
      <c r="D17" s="21"/>
      <c r="E17" s="20" t="s">
        <v>15</v>
      </c>
      <c r="F17" s="21"/>
      <c r="G17" s="20" t="s">
        <v>3</v>
      </c>
      <c r="H17" s="21"/>
    </row>
    <row r="18" spans="1:8" ht="14.25" customHeight="1" thickBot="1">
      <c r="A18" s="7"/>
      <c r="B18" s="9" t="s">
        <v>4</v>
      </c>
      <c r="C18" s="22" t="s">
        <v>16</v>
      </c>
      <c r="D18" s="10" t="s">
        <v>37</v>
      </c>
      <c r="E18" s="22" t="s">
        <v>16</v>
      </c>
      <c r="F18" s="10" t="s">
        <v>37</v>
      </c>
      <c r="G18" s="22" t="s">
        <v>16</v>
      </c>
      <c r="H18" s="10" t="s">
        <v>37</v>
      </c>
    </row>
    <row r="19" spans="1:8" ht="14.25" customHeight="1">
      <c r="A19" s="11">
        <v>43697</v>
      </c>
      <c r="B19" s="24" t="s">
        <v>5</v>
      </c>
      <c r="C19" s="22">
        <f>2714-C5</f>
        <v>1557</v>
      </c>
      <c r="D19" s="25">
        <f t="shared" ref="D19:D27" si="2">IFERROR(C19*13636.365,0)</f>
        <v>21231820.305</v>
      </c>
      <c r="E19" s="22">
        <v>0</v>
      </c>
      <c r="F19" s="25">
        <f t="shared" ref="F19:F27" si="3">IFERROR(E19*13636.365,0)</f>
        <v>0</v>
      </c>
      <c r="G19" s="22">
        <f>486-E5</f>
        <v>300</v>
      </c>
      <c r="H19" s="25">
        <f t="shared" ref="H19:H27" si="4">IFERROR(G19*54545.45,0)</f>
        <v>16363635</v>
      </c>
    </row>
    <row r="20" spans="1:8" ht="14.25" customHeight="1">
      <c r="A20" s="15"/>
      <c r="B20" s="24" t="s">
        <v>6</v>
      </c>
      <c r="C20" s="22">
        <f>3396-C6</f>
        <v>2081</v>
      </c>
      <c r="D20" s="25">
        <f t="shared" si="2"/>
        <v>28377275.565000001</v>
      </c>
      <c r="E20" s="22">
        <v>20</v>
      </c>
      <c r="F20" s="25">
        <f t="shared" si="3"/>
        <v>272727.3</v>
      </c>
      <c r="G20" s="22">
        <f>800-E6</f>
        <v>457</v>
      </c>
      <c r="H20" s="25">
        <f t="shared" si="4"/>
        <v>24927270.649999999</v>
      </c>
    </row>
    <row r="21" spans="1:8" ht="14.25" customHeight="1">
      <c r="A21" s="15"/>
      <c r="B21" s="24" t="s">
        <v>7</v>
      </c>
      <c r="C21" s="22">
        <f>3156-C7</f>
        <v>2134</v>
      </c>
      <c r="D21" s="25">
        <f t="shared" si="2"/>
        <v>29100002.91</v>
      </c>
      <c r="E21" s="22">
        <v>21</v>
      </c>
      <c r="F21" s="25">
        <f t="shared" si="3"/>
        <v>286363.66499999998</v>
      </c>
      <c r="G21" s="22">
        <f>830-E7</f>
        <v>482</v>
      </c>
      <c r="H21" s="25">
        <f t="shared" si="4"/>
        <v>26290906.899999999</v>
      </c>
    </row>
    <row r="22" spans="1:8" ht="14.25" customHeight="1">
      <c r="A22" s="15"/>
      <c r="B22" s="24" t="s">
        <v>8</v>
      </c>
      <c r="C22" s="22">
        <f>9880-C8</f>
        <v>6584</v>
      </c>
      <c r="D22" s="25">
        <f t="shared" si="2"/>
        <v>89781827.159999996</v>
      </c>
      <c r="E22" s="22">
        <v>138</v>
      </c>
      <c r="F22" s="25">
        <f t="shared" si="3"/>
        <v>1881818.3699999999</v>
      </c>
      <c r="G22" s="22">
        <f>2728-E8</f>
        <v>1385</v>
      </c>
      <c r="H22" s="25">
        <f t="shared" si="4"/>
        <v>75545448.25</v>
      </c>
    </row>
    <row r="23" spans="1:8" ht="14.25" customHeight="1">
      <c r="A23" s="15"/>
      <c r="B23" s="24" t="s">
        <v>9</v>
      </c>
      <c r="C23" s="22">
        <f>6290-C9</f>
        <v>3908</v>
      </c>
      <c r="D23" s="25">
        <f t="shared" si="2"/>
        <v>53290914.420000002</v>
      </c>
      <c r="E23" s="22">
        <v>201</v>
      </c>
      <c r="F23" s="25">
        <f t="shared" si="3"/>
        <v>2740909.3649999998</v>
      </c>
      <c r="G23" s="22">
        <f>1681-E9</f>
        <v>905</v>
      </c>
      <c r="H23" s="25">
        <f t="shared" si="4"/>
        <v>49363632.25</v>
      </c>
    </row>
    <row r="24" spans="1:8" ht="14.25" customHeight="1">
      <c r="A24" s="15"/>
      <c r="B24" s="24" t="s">
        <v>10</v>
      </c>
      <c r="C24" s="22">
        <f>4835-C10</f>
        <v>3094</v>
      </c>
      <c r="D24" s="25">
        <f t="shared" si="2"/>
        <v>42190913.310000002</v>
      </c>
      <c r="E24" s="22">
        <v>0</v>
      </c>
      <c r="F24" s="25">
        <f t="shared" si="3"/>
        <v>0</v>
      </c>
      <c r="G24" s="22">
        <f>1070-E10</f>
        <v>539</v>
      </c>
      <c r="H24" s="25">
        <f t="shared" si="4"/>
        <v>29399997.549999997</v>
      </c>
    </row>
    <row r="25" spans="1:8" ht="14.25" customHeight="1">
      <c r="A25" s="15"/>
      <c r="B25" s="24" t="s">
        <v>11</v>
      </c>
      <c r="C25" s="22">
        <f>2353-C11</f>
        <v>1547</v>
      </c>
      <c r="D25" s="25">
        <f t="shared" si="2"/>
        <v>21095456.655000001</v>
      </c>
      <c r="E25" s="22">
        <v>0</v>
      </c>
      <c r="F25" s="25">
        <f t="shared" si="3"/>
        <v>0</v>
      </c>
      <c r="G25" s="22">
        <f>461-E11</f>
        <v>291</v>
      </c>
      <c r="H25" s="25">
        <f t="shared" si="4"/>
        <v>15872725.949999999</v>
      </c>
    </row>
    <row r="26" spans="1:8" ht="14.25" customHeight="1">
      <c r="A26" s="15"/>
      <c r="B26" s="24" t="s">
        <v>12</v>
      </c>
      <c r="C26" s="22">
        <f>4541-C12</f>
        <v>2742</v>
      </c>
      <c r="D26" s="25">
        <f t="shared" si="2"/>
        <v>37390912.829999998</v>
      </c>
      <c r="E26" s="22">
        <v>0</v>
      </c>
      <c r="F26" s="25">
        <f t="shared" si="3"/>
        <v>0</v>
      </c>
      <c r="G26" s="22">
        <f>916-E11</f>
        <v>746</v>
      </c>
      <c r="H26" s="25">
        <f t="shared" si="4"/>
        <v>40690905.699999996</v>
      </c>
    </row>
    <row r="27" spans="1:8" ht="14.25" customHeight="1">
      <c r="A27" s="15"/>
      <c r="B27" s="24" t="s">
        <v>13</v>
      </c>
      <c r="C27" s="22">
        <f>6956-C13</f>
        <v>4778</v>
      </c>
      <c r="D27" s="25">
        <f t="shared" si="2"/>
        <v>65154551.969999999</v>
      </c>
      <c r="E27" s="22">
        <v>0</v>
      </c>
      <c r="F27" s="25">
        <f t="shared" si="3"/>
        <v>0</v>
      </c>
      <c r="G27" s="22">
        <f>1650</f>
        <v>1650</v>
      </c>
      <c r="H27" s="25">
        <f t="shared" si="4"/>
        <v>89999992.5</v>
      </c>
    </row>
    <row r="28" spans="1:8" ht="14.25" customHeight="1">
      <c r="A28" s="15"/>
      <c r="B28" s="26" t="s">
        <v>14</v>
      </c>
      <c r="C28" s="27">
        <f t="shared" ref="C28:H28" si="5">SUM(C19:C27)</f>
        <v>28425</v>
      </c>
      <c r="D28" s="28">
        <f t="shared" si="5"/>
        <v>387613675.125</v>
      </c>
      <c r="E28" s="27">
        <f t="shared" si="5"/>
        <v>380</v>
      </c>
      <c r="F28" s="28">
        <f t="shared" si="5"/>
        <v>5181818.6999999993</v>
      </c>
      <c r="G28" s="27">
        <f t="shared" si="5"/>
        <v>6755</v>
      </c>
      <c r="H28" s="28">
        <f t="shared" si="5"/>
        <v>368454514.75</v>
      </c>
    </row>
    <row r="29" spans="1:8" ht="14.25" customHeight="1" thickBot="1">
      <c r="A29" s="18"/>
      <c r="B29" s="18"/>
      <c r="C29" s="2"/>
      <c r="E29" s="2"/>
      <c r="G29" s="2"/>
    </row>
    <row r="30" spans="1:8" ht="14.25" customHeight="1" thickBot="1">
      <c r="A30" s="18"/>
      <c r="B30" s="18"/>
      <c r="C30" s="47" t="s">
        <v>0</v>
      </c>
      <c r="D30" s="48"/>
      <c r="E30" s="48"/>
      <c r="F30" s="48"/>
      <c r="G30" s="48"/>
      <c r="H30" s="48"/>
    </row>
    <row r="31" spans="1:8" ht="33.75">
      <c r="A31" s="7" t="s">
        <v>1</v>
      </c>
      <c r="B31" s="19"/>
      <c r="C31" s="20" t="s">
        <v>2</v>
      </c>
      <c r="D31" s="21"/>
      <c r="E31" s="20" t="s">
        <v>15</v>
      </c>
      <c r="F31" s="21"/>
      <c r="G31" s="20" t="s">
        <v>3</v>
      </c>
      <c r="H31" s="21"/>
    </row>
    <row r="32" spans="1:8" ht="14.25" customHeight="1" thickBot="1">
      <c r="A32" s="7"/>
      <c r="B32" s="9" t="s">
        <v>4</v>
      </c>
      <c r="C32" s="22" t="s">
        <v>16</v>
      </c>
      <c r="D32" s="10" t="s">
        <v>37</v>
      </c>
      <c r="E32" s="22" t="s">
        <v>16</v>
      </c>
      <c r="F32" s="10" t="s">
        <v>37</v>
      </c>
      <c r="G32" s="22" t="s">
        <v>16</v>
      </c>
      <c r="H32" s="10" t="s">
        <v>37</v>
      </c>
    </row>
    <row r="33" spans="1:8" ht="14.25" customHeight="1">
      <c r="A33" s="11">
        <v>43733</v>
      </c>
      <c r="B33" s="24" t="s">
        <v>5</v>
      </c>
      <c r="C33" s="22">
        <f>5226-C19-C5</f>
        <v>2512</v>
      </c>
      <c r="D33" s="25">
        <f t="shared" ref="D33:D41" si="6">IFERROR(C33*13636.365,0)</f>
        <v>34254548.880000003</v>
      </c>
      <c r="E33" s="22">
        <f>5336-E19</f>
        <v>5336</v>
      </c>
      <c r="F33" s="25">
        <f t="shared" ref="F33:F41" si="7">IFERROR(E33*13636.365,0)</f>
        <v>72763643.640000001</v>
      </c>
      <c r="G33" s="22">
        <f>1304-G19-E5</f>
        <v>818</v>
      </c>
      <c r="H33" s="25">
        <f t="shared" ref="H33:H41" si="8">IFERROR(G33*54545.45,0)</f>
        <v>44618178.099999994</v>
      </c>
    </row>
    <row r="34" spans="1:8" ht="14.25" customHeight="1">
      <c r="A34" s="15"/>
      <c r="B34" s="24" t="s">
        <v>6</v>
      </c>
      <c r="C34" s="22">
        <f>7897-C20-C6</f>
        <v>4501</v>
      </c>
      <c r="D34" s="25">
        <f t="shared" si="6"/>
        <v>61377278.865000002</v>
      </c>
      <c r="E34" s="22">
        <f>7386-E20</f>
        <v>7366</v>
      </c>
      <c r="F34" s="25">
        <f t="shared" si="7"/>
        <v>100445464.59</v>
      </c>
      <c r="G34" s="22">
        <f>2066-G20-E6</f>
        <v>1266</v>
      </c>
      <c r="H34" s="25">
        <f t="shared" si="8"/>
        <v>69054539.700000003</v>
      </c>
    </row>
    <row r="35" spans="1:8" ht="14.25" customHeight="1">
      <c r="A35" s="15"/>
      <c r="B35" s="24" t="s">
        <v>7</v>
      </c>
      <c r="C35" s="22">
        <f>8194-C21-C7</f>
        <v>5038</v>
      </c>
      <c r="D35" s="25">
        <f t="shared" si="6"/>
        <v>68700006.870000005</v>
      </c>
      <c r="E35" s="22">
        <f>7707-E21</f>
        <v>7686</v>
      </c>
      <c r="F35" s="25">
        <f t="shared" si="7"/>
        <v>104809101.39</v>
      </c>
      <c r="G35" s="22">
        <f>2192-G21-E7</f>
        <v>1362</v>
      </c>
      <c r="H35" s="25">
        <f t="shared" si="8"/>
        <v>74290902.899999991</v>
      </c>
    </row>
    <row r="36" spans="1:8" ht="14.25" customHeight="1">
      <c r="A36" s="15"/>
      <c r="B36" s="24" t="s">
        <v>8</v>
      </c>
      <c r="C36" s="22">
        <f>16359-C22-C8</f>
        <v>6479</v>
      </c>
      <c r="D36" s="25">
        <f t="shared" si="6"/>
        <v>88350008.834999993</v>
      </c>
      <c r="E36" s="22">
        <f>15169-E22</f>
        <v>15031</v>
      </c>
      <c r="F36" s="25">
        <f t="shared" si="7"/>
        <v>204968202.315</v>
      </c>
      <c r="G36" s="22">
        <f>5793-G22-E8</f>
        <v>3065</v>
      </c>
      <c r="H36" s="25">
        <f t="shared" si="8"/>
        <v>167181804.25</v>
      </c>
    </row>
    <row r="37" spans="1:8" ht="14.25" customHeight="1">
      <c r="A37" s="15"/>
      <c r="B37" s="24" t="s">
        <v>9</v>
      </c>
      <c r="C37" s="22">
        <f>10743-C23-C9</f>
        <v>4453</v>
      </c>
      <c r="D37" s="25">
        <f t="shared" si="6"/>
        <v>60722733.344999999</v>
      </c>
      <c r="E37" s="22">
        <f>10584-E23</f>
        <v>10383</v>
      </c>
      <c r="F37" s="25">
        <f t="shared" si="7"/>
        <v>141586377.79499999</v>
      </c>
      <c r="G37" s="22">
        <f>3483-G23-E9</f>
        <v>1802</v>
      </c>
      <c r="H37" s="25">
        <f t="shared" si="8"/>
        <v>98290900.899999991</v>
      </c>
    </row>
    <row r="38" spans="1:8" ht="14.25" customHeight="1">
      <c r="A38" s="15"/>
      <c r="B38" s="24" t="s">
        <v>10</v>
      </c>
      <c r="C38" s="22">
        <f>9076-C24-C10</f>
        <v>4241</v>
      </c>
      <c r="D38" s="25">
        <f t="shared" si="6"/>
        <v>57831823.964999996</v>
      </c>
      <c r="E38" s="22">
        <f>8648-E24</f>
        <v>8648</v>
      </c>
      <c r="F38" s="25">
        <f t="shared" si="7"/>
        <v>117927284.52</v>
      </c>
      <c r="G38" s="22">
        <f>2321-G24-E10</f>
        <v>1251</v>
      </c>
      <c r="H38" s="25">
        <f t="shared" si="8"/>
        <v>68236357.950000003</v>
      </c>
    </row>
    <row r="39" spans="1:8" ht="14.25" customHeight="1">
      <c r="A39" s="15"/>
      <c r="B39" s="24" t="s">
        <v>11</v>
      </c>
      <c r="C39" s="22">
        <f>5684-C25-C11</f>
        <v>3331</v>
      </c>
      <c r="D39" s="25">
        <f t="shared" si="6"/>
        <v>45422731.814999998</v>
      </c>
      <c r="E39" s="22">
        <f>4684-E25</f>
        <v>4684</v>
      </c>
      <c r="F39" s="25">
        <f t="shared" si="7"/>
        <v>63872733.659999996</v>
      </c>
      <c r="G39" s="22">
        <f>1306-G25-E11</f>
        <v>845</v>
      </c>
      <c r="H39" s="25">
        <f t="shared" si="8"/>
        <v>46090905.25</v>
      </c>
    </row>
    <row r="40" spans="1:8" ht="14.25" customHeight="1">
      <c r="A40" s="15"/>
      <c r="B40" s="24" t="s">
        <v>12</v>
      </c>
      <c r="C40" s="22">
        <f>9344-C26-C12</f>
        <v>4803</v>
      </c>
      <c r="D40" s="25">
        <f t="shared" si="6"/>
        <v>65495461.094999999</v>
      </c>
      <c r="E40" s="22">
        <f>9012-E26</f>
        <v>9012</v>
      </c>
      <c r="F40" s="25">
        <f t="shared" si="7"/>
        <v>122890921.38</v>
      </c>
      <c r="G40" s="22">
        <f>2268-G26-E12</f>
        <v>1132</v>
      </c>
      <c r="H40" s="25">
        <f t="shared" si="8"/>
        <v>61745449.399999999</v>
      </c>
    </row>
    <row r="41" spans="1:8" ht="14.25" customHeight="1">
      <c r="A41" s="15"/>
      <c r="B41" s="24" t="s">
        <v>13</v>
      </c>
      <c r="C41" s="22">
        <f>14790-C27-C13</f>
        <v>7834</v>
      </c>
      <c r="D41" s="25">
        <f t="shared" si="6"/>
        <v>106827283.41</v>
      </c>
      <c r="E41" s="22">
        <f>13510-E27</f>
        <v>13510</v>
      </c>
      <c r="F41" s="25">
        <f t="shared" si="7"/>
        <v>184227291.15000001</v>
      </c>
      <c r="G41" s="22">
        <f>3640-G27-E13</f>
        <v>1214</v>
      </c>
      <c r="H41" s="25">
        <f t="shared" si="8"/>
        <v>66218176.299999997</v>
      </c>
    </row>
    <row r="42" spans="1:8" ht="14.25" customHeight="1">
      <c r="A42" s="15"/>
      <c r="B42" s="26" t="s">
        <v>14</v>
      </c>
      <c r="C42" s="27">
        <f t="shared" ref="C42:H42" si="9">SUM(C33:C41)</f>
        <v>43192</v>
      </c>
      <c r="D42" s="28">
        <f t="shared" si="9"/>
        <v>588981877.07999992</v>
      </c>
      <c r="E42" s="27">
        <f t="shared" si="9"/>
        <v>81656</v>
      </c>
      <c r="F42" s="28">
        <f t="shared" si="9"/>
        <v>1113491020.4400001</v>
      </c>
      <c r="G42" s="27">
        <f t="shared" si="9"/>
        <v>12755</v>
      </c>
      <c r="H42" s="28">
        <f t="shared" si="9"/>
        <v>695727214.74999988</v>
      </c>
    </row>
    <row r="43" spans="1:8" ht="14.25" customHeight="1">
      <c r="A43" s="18"/>
      <c r="B43" s="18"/>
      <c r="C43" s="2"/>
      <c r="E43" s="2"/>
      <c r="G43" s="2"/>
    </row>
    <row r="44" spans="1:8" ht="14.25" customHeight="1" thickBot="1">
      <c r="A44" s="18"/>
      <c r="B44" s="18"/>
      <c r="C44" s="2"/>
      <c r="E44" s="2"/>
      <c r="G44" s="2"/>
    </row>
    <row r="45" spans="1:8" ht="14.25" customHeight="1" thickBot="1">
      <c r="A45" s="18"/>
      <c r="B45" s="18"/>
      <c r="C45" s="47" t="s">
        <v>0</v>
      </c>
      <c r="D45" s="48"/>
      <c r="E45" s="48"/>
      <c r="F45" s="48"/>
      <c r="G45" s="48"/>
      <c r="H45" s="48"/>
    </row>
    <row r="46" spans="1:8" ht="33.75">
      <c r="A46" s="7" t="s">
        <v>1</v>
      </c>
      <c r="B46" s="19"/>
      <c r="C46" s="20" t="s">
        <v>2</v>
      </c>
      <c r="D46" s="21"/>
      <c r="E46" s="20" t="s">
        <v>15</v>
      </c>
      <c r="F46" s="21"/>
      <c r="G46" s="20" t="s">
        <v>3</v>
      </c>
      <c r="H46" s="21"/>
    </row>
    <row r="47" spans="1:8" ht="14.25" customHeight="1" thickBot="1">
      <c r="A47" s="7"/>
      <c r="B47" s="9" t="s">
        <v>4</v>
      </c>
      <c r="C47" s="22" t="s">
        <v>16</v>
      </c>
      <c r="D47" s="10" t="s">
        <v>37</v>
      </c>
      <c r="E47" s="22" t="s">
        <v>16</v>
      </c>
      <c r="F47" s="10" t="s">
        <v>37</v>
      </c>
      <c r="G47" s="22" t="s">
        <v>16</v>
      </c>
      <c r="H47" s="10" t="s">
        <v>37</v>
      </c>
    </row>
    <row r="48" spans="1:8" ht="14.25" customHeight="1">
      <c r="A48" s="11">
        <v>43749</v>
      </c>
      <c r="B48" s="24" t="s">
        <v>5</v>
      </c>
      <c r="C48" s="22">
        <f>5226-C33-C19-C5</f>
        <v>0</v>
      </c>
      <c r="D48" s="25">
        <f t="shared" ref="D48:D56" si="10">IFERROR(C48*13636.365,0)</f>
        <v>0</v>
      </c>
      <c r="E48" s="22">
        <f>5336-E33</f>
        <v>0</v>
      </c>
      <c r="F48" s="25">
        <f t="shared" ref="F48:F56" si="11">IFERROR(E48*13636.365,0)</f>
        <v>0</v>
      </c>
      <c r="G48" s="22">
        <v>0</v>
      </c>
      <c r="H48" s="25">
        <f t="shared" ref="H48:H56" si="12">IFERROR(G48*54545.45,0)</f>
        <v>0</v>
      </c>
    </row>
    <row r="49" spans="1:8" ht="14.25" customHeight="1">
      <c r="A49" s="15"/>
      <c r="B49" s="24" t="s">
        <v>6</v>
      </c>
      <c r="C49" s="22">
        <f>8884-C34-C20-C6</f>
        <v>987</v>
      </c>
      <c r="D49" s="25">
        <f t="shared" si="10"/>
        <v>13459092.254999999</v>
      </c>
      <c r="E49" s="22">
        <f>8687-E34-E20</f>
        <v>1301</v>
      </c>
      <c r="F49" s="25">
        <f t="shared" si="11"/>
        <v>17740910.864999998</v>
      </c>
      <c r="G49" s="22">
        <v>302</v>
      </c>
      <c r="H49" s="25">
        <f t="shared" si="12"/>
        <v>16472725.899999999</v>
      </c>
    </row>
    <row r="50" spans="1:8" ht="14.25" customHeight="1">
      <c r="A50" s="15"/>
      <c r="B50" s="24" t="s">
        <v>7</v>
      </c>
      <c r="C50" s="22">
        <f>9089-C35-C21-C7</f>
        <v>895</v>
      </c>
      <c r="D50" s="25">
        <f t="shared" si="10"/>
        <v>12204546.674999999</v>
      </c>
      <c r="E50" s="22">
        <f>9056-E35-E21</f>
        <v>1349</v>
      </c>
      <c r="F50" s="25">
        <f t="shared" si="11"/>
        <v>18395456.384999998</v>
      </c>
      <c r="G50" s="22">
        <v>235</v>
      </c>
      <c r="H50" s="25">
        <f t="shared" si="12"/>
        <v>12818180.75</v>
      </c>
    </row>
    <row r="51" spans="1:8" ht="14.25" customHeight="1">
      <c r="A51" s="15"/>
      <c r="B51" s="24" t="s">
        <v>8</v>
      </c>
      <c r="C51" s="22">
        <f>16584-C36-C22-C8</f>
        <v>225</v>
      </c>
      <c r="D51" s="25">
        <f t="shared" si="10"/>
        <v>3068182.125</v>
      </c>
      <c r="E51" s="22">
        <f>15340-E36-E22</f>
        <v>171</v>
      </c>
      <c r="F51" s="25">
        <f t="shared" si="11"/>
        <v>2331818.415</v>
      </c>
      <c r="G51" s="22">
        <v>248</v>
      </c>
      <c r="H51" s="25">
        <f t="shared" si="12"/>
        <v>13527271.6</v>
      </c>
    </row>
    <row r="52" spans="1:8" ht="14.25" customHeight="1">
      <c r="A52" s="15"/>
      <c r="B52" s="24" t="s">
        <v>9</v>
      </c>
      <c r="C52" s="22">
        <f>10979-C37-C23-C9</f>
        <v>236</v>
      </c>
      <c r="D52" s="25">
        <f t="shared" si="10"/>
        <v>3218182.14</v>
      </c>
      <c r="E52" s="22">
        <f>11062-E37-E23</f>
        <v>478</v>
      </c>
      <c r="F52" s="25">
        <f t="shared" si="11"/>
        <v>6518182.4699999997</v>
      </c>
      <c r="G52" s="22">
        <v>258</v>
      </c>
      <c r="H52" s="25">
        <f t="shared" si="12"/>
        <v>14072726.1</v>
      </c>
    </row>
    <row r="53" spans="1:8" ht="14.25" customHeight="1">
      <c r="A53" s="15"/>
      <c r="B53" s="24" t="s">
        <v>10</v>
      </c>
      <c r="C53" s="22">
        <f>9476-C38-C24-C10</f>
        <v>400</v>
      </c>
      <c r="D53" s="25">
        <f t="shared" si="10"/>
        <v>5454546</v>
      </c>
      <c r="E53" s="22">
        <f>9310-E38-E24</f>
        <v>662</v>
      </c>
      <c r="F53" s="25">
        <f t="shared" si="11"/>
        <v>9027273.629999999</v>
      </c>
      <c r="G53" s="22">
        <v>205</v>
      </c>
      <c r="H53" s="25">
        <f t="shared" si="12"/>
        <v>11181817.25</v>
      </c>
    </row>
    <row r="54" spans="1:8" ht="14.25" customHeight="1">
      <c r="A54" s="15"/>
      <c r="B54" s="24" t="s">
        <v>11</v>
      </c>
      <c r="C54" s="22">
        <f>5684-C39-C25-C11</f>
        <v>0</v>
      </c>
      <c r="D54" s="25">
        <f t="shared" si="10"/>
        <v>0</v>
      </c>
      <c r="E54" s="22">
        <f>4684-E39-E25</f>
        <v>0</v>
      </c>
      <c r="F54" s="25">
        <f t="shared" si="11"/>
        <v>0</v>
      </c>
      <c r="G54" s="22">
        <v>0</v>
      </c>
      <c r="H54" s="25">
        <f t="shared" si="12"/>
        <v>0</v>
      </c>
    </row>
    <row r="55" spans="1:8" ht="14.25" customHeight="1">
      <c r="A55" s="15"/>
      <c r="B55" s="24" t="s">
        <v>12</v>
      </c>
      <c r="C55" s="22">
        <f>10153-C40-C26-C12</f>
        <v>809</v>
      </c>
      <c r="D55" s="25">
        <f t="shared" si="10"/>
        <v>11031819.285</v>
      </c>
      <c r="E55" s="22">
        <f>9894-E40-E26</f>
        <v>882</v>
      </c>
      <c r="F55" s="25">
        <f t="shared" si="11"/>
        <v>12027273.93</v>
      </c>
      <c r="G55" s="22">
        <v>276</v>
      </c>
      <c r="H55" s="25">
        <f t="shared" si="12"/>
        <v>15054544.199999999</v>
      </c>
    </row>
    <row r="56" spans="1:8" ht="14.25" customHeight="1">
      <c r="A56" s="15"/>
      <c r="B56" s="24" t="s">
        <v>13</v>
      </c>
      <c r="C56" s="22">
        <f>15425-C41-C27-C13</f>
        <v>635</v>
      </c>
      <c r="D56" s="25">
        <f t="shared" si="10"/>
        <v>8659091.7750000004</v>
      </c>
      <c r="E56" s="22">
        <f>14599-E41-E27</f>
        <v>1089</v>
      </c>
      <c r="F56" s="25">
        <f t="shared" si="11"/>
        <v>14850001.484999999</v>
      </c>
      <c r="G56" s="22">
        <v>376</v>
      </c>
      <c r="H56" s="25">
        <f t="shared" si="12"/>
        <v>20509089.199999999</v>
      </c>
    </row>
    <row r="57" spans="1:8" ht="14.25" customHeight="1">
      <c r="A57" s="15"/>
      <c r="B57" s="26" t="s">
        <v>14</v>
      </c>
      <c r="C57" s="27">
        <f t="shared" ref="C57:H57" si="13">SUM(C48:C56)</f>
        <v>4187</v>
      </c>
      <c r="D57" s="28">
        <f t="shared" si="13"/>
        <v>57095460.255000003</v>
      </c>
      <c r="E57" s="27">
        <f t="shared" si="13"/>
        <v>5932</v>
      </c>
      <c r="F57" s="28">
        <f t="shared" si="13"/>
        <v>80890917.180000007</v>
      </c>
      <c r="G57" s="27">
        <f t="shared" si="13"/>
        <v>1900</v>
      </c>
      <c r="H57" s="28">
        <f t="shared" si="13"/>
        <v>103636355</v>
      </c>
    </row>
    <row r="58" spans="1:8" ht="14.25" customHeight="1">
      <c r="A58" s="18"/>
      <c r="B58" s="18"/>
      <c r="C58" s="2"/>
      <c r="E58" s="2"/>
      <c r="G58" s="2"/>
    </row>
    <row r="59" spans="1:8" ht="14.25" customHeight="1" thickBot="1">
      <c r="A59" s="18"/>
      <c r="B59" s="18"/>
      <c r="C59" s="2"/>
      <c r="E59" s="2"/>
      <c r="G59" s="2"/>
    </row>
    <row r="60" spans="1:8" ht="14.25" customHeight="1" thickBot="1">
      <c r="A60" s="18"/>
      <c r="B60" s="18"/>
      <c r="C60" s="47" t="s">
        <v>0</v>
      </c>
      <c r="D60" s="48"/>
      <c r="E60" s="48"/>
      <c r="F60" s="48"/>
      <c r="G60" s="48"/>
      <c r="H60" s="48"/>
    </row>
    <row r="61" spans="1:8" ht="33.75">
      <c r="A61" s="7" t="s">
        <v>1</v>
      </c>
      <c r="B61" s="19"/>
      <c r="C61" s="20" t="s">
        <v>2</v>
      </c>
      <c r="D61" s="21"/>
      <c r="E61" s="20" t="s">
        <v>15</v>
      </c>
      <c r="F61" s="21"/>
      <c r="G61" s="20" t="s">
        <v>3</v>
      </c>
      <c r="H61" s="21"/>
    </row>
    <row r="62" spans="1:8" ht="14.25" customHeight="1" thickBot="1">
      <c r="A62" s="7"/>
      <c r="B62" s="9" t="s">
        <v>4</v>
      </c>
      <c r="C62" s="22" t="s">
        <v>16</v>
      </c>
      <c r="D62" s="10" t="s">
        <v>37</v>
      </c>
      <c r="E62" s="22" t="s">
        <v>16</v>
      </c>
      <c r="F62" s="10" t="s">
        <v>37</v>
      </c>
      <c r="G62" s="22" t="s">
        <v>16</v>
      </c>
      <c r="H62" s="10" t="s">
        <v>37</v>
      </c>
    </row>
    <row r="63" spans="1:8" ht="14.25" customHeight="1">
      <c r="A63" s="11">
        <v>43757</v>
      </c>
      <c r="B63" s="24" t="s">
        <v>5</v>
      </c>
      <c r="C63" s="22">
        <f>5226-C48-C33-C19-C5</f>
        <v>0</v>
      </c>
      <c r="D63" s="25">
        <f t="shared" ref="D63:D71" si="14">IFERROR(C63*13636.365,0)</f>
        <v>0</v>
      </c>
      <c r="E63" s="22">
        <v>0</v>
      </c>
      <c r="F63" s="25">
        <f t="shared" ref="F63:F71" si="15">IFERROR(E63*13636.365,0)</f>
        <v>0</v>
      </c>
      <c r="G63" s="22">
        <v>0</v>
      </c>
      <c r="H63" s="25">
        <f t="shared" ref="H63:H71" si="16">IFERROR(G63*54545.45,0)</f>
        <v>0</v>
      </c>
    </row>
    <row r="64" spans="1:8" ht="14.25" customHeight="1">
      <c r="A64" s="15"/>
      <c r="B64" s="24" t="s">
        <v>6</v>
      </c>
      <c r="C64" s="22">
        <f>9117-C49-C34-C20-C6</f>
        <v>233</v>
      </c>
      <c r="D64" s="25">
        <f t="shared" si="14"/>
        <v>3177273.0449999999</v>
      </c>
      <c r="E64" s="22">
        <v>1477</v>
      </c>
      <c r="F64" s="25">
        <f t="shared" si="15"/>
        <v>20140911.105</v>
      </c>
      <c r="G64" s="22">
        <v>92</v>
      </c>
      <c r="H64" s="25">
        <f t="shared" si="16"/>
        <v>5018181.3999999994</v>
      </c>
    </row>
    <row r="65" spans="1:8" ht="14.25" customHeight="1">
      <c r="A65" s="15"/>
      <c r="B65" s="24" t="s">
        <v>7</v>
      </c>
      <c r="C65" s="22">
        <f>9418-C50-C35-C21</f>
        <v>1351</v>
      </c>
      <c r="D65" s="25">
        <f t="shared" si="14"/>
        <v>18422729.114999998</v>
      </c>
      <c r="E65" s="22">
        <v>2562</v>
      </c>
      <c r="F65" s="25">
        <f t="shared" si="15"/>
        <v>34936367.130000003</v>
      </c>
      <c r="G65" s="22">
        <v>112</v>
      </c>
      <c r="H65" s="25">
        <f t="shared" si="16"/>
        <v>6109090.3999999994</v>
      </c>
    </row>
    <row r="66" spans="1:8" ht="14.25" customHeight="1">
      <c r="A66" s="15"/>
      <c r="B66" s="24" t="s">
        <v>8</v>
      </c>
      <c r="C66" s="22">
        <f>18054-C51-C36-C22-C8</f>
        <v>1470</v>
      </c>
      <c r="D66" s="25">
        <f t="shared" si="14"/>
        <v>20045456.550000001</v>
      </c>
      <c r="E66" s="22">
        <v>3806</v>
      </c>
      <c r="F66" s="25">
        <f t="shared" si="15"/>
        <v>51900005.189999998</v>
      </c>
      <c r="G66" s="22">
        <v>357</v>
      </c>
      <c r="H66" s="25">
        <f t="shared" si="16"/>
        <v>19472725.649999999</v>
      </c>
    </row>
    <row r="67" spans="1:8" ht="14.25" customHeight="1">
      <c r="A67" s="15"/>
      <c r="B67" s="24" t="s">
        <v>9</v>
      </c>
      <c r="C67" s="22">
        <f>11062-C52-C37-C23-C9</f>
        <v>83</v>
      </c>
      <c r="D67" s="25">
        <f t="shared" si="14"/>
        <v>1131818.2949999999</v>
      </c>
      <c r="E67" s="22">
        <v>5913</v>
      </c>
      <c r="F67" s="25">
        <f t="shared" si="15"/>
        <v>80631826.245000005</v>
      </c>
      <c r="G67" s="22">
        <v>64</v>
      </c>
      <c r="H67" s="25">
        <f t="shared" si="16"/>
        <v>3490908.8</v>
      </c>
    </row>
    <row r="68" spans="1:8" ht="14.25" customHeight="1">
      <c r="A68" s="15"/>
      <c r="B68" s="24" t="s">
        <v>10</v>
      </c>
      <c r="C68" s="22">
        <f>9557-C53-C38-C24-C10</f>
        <v>81</v>
      </c>
      <c r="D68" s="25">
        <f t="shared" si="14"/>
        <v>1104545.5649999999</v>
      </c>
      <c r="E68" s="22">
        <v>3606</v>
      </c>
      <c r="F68" s="25">
        <f t="shared" si="15"/>
        <v>49172732.189999998</v>
      </c>
      <c r="G68" s="22">
        <v>76</v>
      </c>
      <c r="H68" s="25">
        <f t="shared" si="16"/>
        <v>4145454.1999999997</v>
      </c>
    </row>
    <row r="69" spans="1:8" ht="14.25" customHeight="1">
      <c r="A69" s="15"/>
      <c r="B69" s="24" t="s">
        <v>11</v>
      </c>
      <c r="C69" s="22">
        <f>5684-C54-C39-C25-C11</f>
        <v>0</v>
      </c>
      <c r="D69" s="25">
        <f t="shared" si="14"/>
        <v>0</v>
      </c>
      <c r="E69" s="22">
        <v>2321</v>
      </c>
      <c r="F69" s="25">
        <f t="shared" si="15"/>
        <v>31650003.164999999</v>
      </c>
      <c r="G69" s="22">
        <v>0</v>
      </c>
      <c r="H69" s="25">
        <f t="shared" si="16"/>
        <v>0</v>
      </c>
    </row>
    <row r="70" spans="1:8" ht="14.25" customHeight="1">
      <c r="A70" s="15"/>
      <c r="B70" s="24" t="s">
        <v>12</v>
      </c>
      <c r="C70" s="22">
        <f>10294-C55-C40-C12</f>
        <v>2883</v>
      </c>
      <c r="D70" s="25">
        <f t="shared" si="14"/>
        <v>39313640.295000002</v>
      </c>
      <c r="E70" s="22">
        <v>1601</v>
      </c>
      <c r="F70" s="25">
        <f t="shared" si="15"/>
        <v>21831820.364999998</v>
      </c>
      <c r="G70" s="22">
        <v>48</v>
      </c>
      <c r="H70" s="25">
        <f t="shared" si="16"/>
        <v>2618181.5999999996</v>
      </c>
    </row>
    <row r="71" spans="1:8" ht="14.25" customHeight="1">
      <c r="A71" s="15"/>
      <c r="B71" s="24" t="s">
        <v>13</v>
      </c>
      <c r="C71" s="22">
        <f>15572-C56-C41-C27-C13</f>
        <v>147</v>
      </c>
      <c r="D71" s="25">
        <f t="shared" si="14"/>
        <v>2004545.655</v>
      </c>
      <c r="E71" s="22">
        <v>2543</v>
      </c>
      <c r="F71" s="25">
        <f t="shared" si="15"/>
        <v>34677276.195</v>
      </c>
      <c r="G71" s="22">
        <v>75</v>
      </c>
      <c r="H71" s="25">
        <f t="shared" si="16"/>
        <v>4090908.75</v>
      </c>
    </row>
    <row r="72" spans="1:8" ht="14.25" customHeight="1">
      <c r="A72" s="15"/>
      <c r="B72" s="26" t="s">
        <v>14</v>
      </c>
      <c r="C72" s="27">
        <f t="shared" ref="C72:H72" si="17">SUM(C63:C71)</f>
        <v>6248</v>
      </c>
      <c r="D72" s="28">
        <f t="shared" si="17"/>
        <v>85200008.519999996</v>
      </c>
      <c r="E72" s="27">
        <f t="shared" si="17"/>
        <v>23829</v>
      </c>
      <c r="F72" s="28">
        <f t="shared" si="17"/>
        <v>324940941.58499998</v>
      </c>
      <c r="G72" s="27">
        <f t="shared" si="17"/>
        <v>824</v>
      </c>
      <c r="H72" s="28">
        <f t="shared" si="17"/>
        <v>44945450.799999997</v>
      </c>
    </row>
    <row r="73" spans="1:8" ht="14.25" customHeight="1">
      <c r="A73" s="18"/>
      <c r="B73" s="18"/>
      <c r="C73" s="2"/>
      <c r="E73" s="2"/>
      <c r="G73" s="2"/>
    </row>
    <row r="74" spans="1:8" ht="14.25" customHeight="1" thickBot="1">
      <c r="A74" s="18"/>
      <c r="B74" s="18"/>
      <c r="C74" s="2"/>
      <c r="E74" s="2"/>
      <c r="G74" s="2"/>
    </row>
    <row r="75" spans="1:8" ht="14.25" customHeight="1" thickBot="1">
      <c r="A75" s="18"/>
      <c r="B75" s="18"/>
      <c r="C75" s="47" t="s">
        <v>0</v>
      </c>
      <c r="D75" s="48"/>
      <c r="E75" s="48"/>
      <c r="F75" s="48"/>
      <c r="G75" s="48"/>
      <c r="H75" s="48"/>
    </row>
    <row r="76" spans="1:8" ht="33.75">
      <c r="A76" s="7" t="s">
        <v>1</v>
      </c>
      <c r="B76" s="19"/>
      <c r="C76" s="20" t="s">
        <v>2</v>
      </c>
      <c r="D76" s="21"/>
      <c r="E76" s="20" t="s">
        <v>15</v>
      </c>
      <c r="F76" s="21"/>
      <c r="G76" s="20" t="s">
        <v>3</v>
      </c>
      <c r="H76" s="21"/>
    </row>
    <row r="77" spans="1:8" ht="14.25" customHeight="1" thickBot="1">
      <c r="A77" s="7"/>
      <c r="B77" s="9" t="s">
        <v>4</v>
      </c>
      <c r="C77" s="22" t="s">
        <v>16</v>
      </c>
      <c r="D77" s="10" t="s">
        <v>37</v>
      </c>
      <c r="E77" s="22" t="s">
        <v>16</v>
      </c>
      <c r="F77" s="10" t="s">
        <v>37</v>
      </c>
      <c r="G77" s="22" t="s">
        <v>16</v>
      </c>
      <c r="H77" s="10" t="s">
        <v>37</v>
      </c>
    </row>
    <row r="78" spans="1:8" ht="14.25" customHeight="1">
      <c r="A78" s="11">
        <v>43768</v>
      </c>
      <c r="B78" s="24" t="s">
        <v>5</v>
      </c>
      <c r="C78" s="22">
        <v>0</v>
      </c>
      <c r="D78" s="25">
        <f t="shared" ref="D78:D86" si="18">IFERROR(C78*13636.365,0)</f>
        <v>0</v>
      </c>
      <c r="E78" s="22">
        <v>0</v>
      </c>
      <c r="F78" s="25">
        <f t="shared" ref="F78:F86" si="19">IFERROR(E78*13636.365,0)</f>
        <v>0</v>
      </c>
      <c r="G78" s="22">
        <v>0</v>
      </c>
      <c r="H78" s="25">
        <f t="shared" ref="H78:H86" si="20">IFERROR(G78*54545.45,0)</f>
        <v>0</v>
      </c>
    </row>
    <row r="79" spans="1:8" ht="14.25" customHeight="1">
      <c r="A79" s="15"/>
      <c r="B79" s="24" t="s">
        <v>6</v>
      </c>
      <c r="C79" s="22">
        <v>189</v>
      </c>
      <c r="D79" s="25">
        <f t="shared" si="18"/>
        <v>2577272.9849999999</v>
      </c>
      <c r="E79" s="22">
        <v>169</v>
      </c>
      <c r="F79" s="25">
        <f t="shared" si="19"/>
        <v>2304545.6850000001</v>
      </c>
      <c r="G79" s="22">
        <v>95</v>
      </c>
      <c r="H79" s="25">
        <f t="shared" si="20"/>
        <v>5181817.75</v>
      </c>
    </row>
    <row r="80" spans="1:8" ht="14.25" customHeight="1">
      <c r="A80" s="15"/>
      <c r="B80" s="24" t="s">
        <v>7</v>
      </c>
      <c r="C80" s="22">
        <v>222</v>
      </c>
      <c r="D80" s="25">
        <f t="shared" si="18"/>
        <v>3027273.03</v>
      </c>
      <c r="E80" s="22">
        <v>182</v>
      </c>
      <c r="F80" s="25">
        <f t="shared" si="19"/>
        <v>2481818.4300000002</v>
      </c>
      <c r="G80" s="22">
        <v>88</v>
      </c>
      <c r="H80" s="25">
        <f t="shared" si="20"/>
        <v>4799999.5999999996</v>
      </c>
    </row>
    <row r="81" spans="1:8" ht="14.25" customHeight="1">
      <c r="A81" s="15"/>
      <c r="B81" s="24" t="s">
        <v>8</v>
      </c>
      <c r="C81" s="22">
        <v>695</v>
      </c>
      <c r="D81" s="25">
        <f t="shared" si="18"/>
        <v>9477273.6750000007</v>
      </c>
      <c r="E81" s="22">
        <v>1410</v>
      </c>
      <c r="F81" s="25">
        <f t="shared" si="19"/>
        <v>19227274.649999999</v>
      </c>
      <c r="G81" s="22">
        <v>266</v>
      </c>
      <c r="H81" s="25">
        <f t="shared" si="20"/>
        <v>14509089.699999999</v>
      </c>
    </row>
    <row r="82" spans="1:8" ht="14.25" customHeight="1">
      <c r="A82" s="15"/>
      <c r="B82" s="24" t="s">
        <v>9</v>
      </c>
      <c r="C82" s="22">
        <v>54</v>
      </c>
      <c r="D82" s="25">
        <f t="shared" si="18"/>
        <v>736363.71</v>
      </c>
      <c r="E82" s="22">
        <v>44</v>
      </c>
      <c r="F82" s="25">
        <f t="shared" si="19"/>
        <v>600000.05999999994</v>
      </c>
      <c r="G82" s="22">
        <v>33</v>
      </c>
      <c r="H82" s="25">
        <f t="shared" si="20"/>
        <v>1799999.8499999999</v>
      </c>
    </row>
    <row r="83" spans="1:8" ht="14.25" customHeight="1">
      <c r="A83" s="15"/>
      <c r="B83" s="24" t="s">
        <v>10</v>
      </c>
      <c r="C83" s="22">
        <v>60</v>
      </c>
      <c r="D83" s="25">
        <f t="shared" si="18"/>
        <v>818181.9</v>
      </c>
      <c r="E83" s="22">
        <v>113</v>
      </c>
      <c r="F83" s="25">
        <f t="shared" si="19"/>
        <v>1540909.2449999999</v>
      </c>
      <c r="G83" s="22">
        <v>35</v>
      </c>
      <c r="H83" s="25">
        <f t="shared" si="20"/>
        <v>1909090.75</v>
      </c>
    </row>
    <row r="84" spans="1:8" ht="14.25" customHeight="1">
      <c r="A84" s="15"/>
      <c r="B84" s="24" t="s">
        <v>11</v>
      </c>
      <c r="C84" s="22">
        <v>0</v>
      </c>
      <c r="D84" s="25">
        <f t="shared" si="18"/>
        <v>0</v>
      </c>
      <c r="E84" s="22">
        <v>0</v>
      </c>
      <c r="F84" s="25">
        <f t="shared" si="19"/>
        <v>0</v>
      </c>
      <c r="G84" s="22">
        <v>0</v>
      </c>
      <c r="H84" s="25">
        <f t="shared" si="20"/>
        <v>0</v>
      </c>
    </row>
    <row r="85" spans="1:8" ht="14.25" customHeight="1">
      <c r="A85" s="15"/>
      <c r="B85" s="24" t="s">
        <v>12</v>
      </c>
      <c r="C85" s="22">
        <v>78</v>
      </c>
      <c r="D85" s="25">
        <f t="shared" si="18"/>
        <v>1063636.47</v>
      </c>
      <c r="E85" s="22">
        <v>87</v>
      </c>
      <c r="F85" s="25">
        <f t="shared" si="19"/>
        <v>1186363.7549999999</v>
      </c>
      <c r="G85" s="22">
        <v>46</v>
      </c>
      <c r="H85" s="25">
        <f t="shared" si="20"/>
        <v>2509090.6999999997</v>
      </c>
    </row>
    <row r="86" spans="1:8" ht="14.25" customHeight="1">
      <c r="A86" s="15"/>
      <c r="B86" s="24" t="s">
        <v>13</v>
      </c>
      <c r="C86" s="22">
        <v>166</v>
      </c>
      <c r="D86" s="25">
        <f t="shared" si="18"/>
        <v>2263636.59</v>
      </c>
      <c r="E86" s="22">
        <v>187</v>
      </c>
      <c r="F86" s="25">
        <f t="shared" si="19"/>
        <v>2550000.2549999999</v>
      </c>
      <c r="G86" s="22">
        <v>89</v>
      </c>
      <c r="H86" s="25">
        <f t="shared" si="20"/>
        <v>4854545.05</v>
      </c>
    </row>
    <row r="87" spans="1:8" ht="14.25" customHeight="1">
      <c r="A87" s="15"/>
      <c r="B87" s="26" t="s">
        <v>14</v>
      </c>
      <c r="C87" s="27">
        <f t="shared" ref="C87:H87" si="21">SUM(C78:C86)</f>
        <v>1464</v>
      </c>
      <c r="D87" s="27">
        <f t="shared" si="21"/>
        <v>19963638.360000003</v>
      </c>
      <c r="E87" s="27">
        <f t="shared" si="21"/>
        <v>2192</v>
      </c>
      <c r="F87" s="27">
        <f t="shared" si="21"/>
        <v>29890912.079999998</v>
      </c>
      <c r="G87" s="27">
        <f t="shared" si="21"/>
        <v>652</v>
      </c>
      <c r="H87" s="27">
        <f t="shared" si="21"/>
        <v>35563633.399999999</v>
      </c>
    </row>
    <row r="88" spans="1:8" ht="14.25" customHeight="1">
      <c r="A88" s="18"/>
      <c r="B88" s="18"/>
      <c r="C88" s="2"/>
      <c r="E88" s="2"/>
      <c r="G88" s="2"/>
    </row>
    <row r="89" spans="1:8" ht="14.25" customHeight="1" thickBot="1">
      <c r="A89" s="18"/>
      <c r="B89" s="18"/>
      <c r="C89" s="2"/>
      <c r="E89" s="2"/>
      <c r="G89" s="2"/>
    </row>
    <row r="90" spans="1:8" ht="14.25" customHeight="1" thickBot="1">
      <c r="A90" s="18"/>
      <c r="B90" s="18"/>
      <c r="C90" s="47" t="s">
        <v>17</v>
      </c>
      <c r="D90" s="48"/>
      <c r="E90" s="48"/>
      <c r="F90" s="48"/>
      <c r="G90" s="48"/>
      <c r="H90" s="48"/>
    </row>
    <row r="91" spans="1:8" ht="45">
      <c r="A91" s="7" t="s">
        <v>1</v>
      </c>
      <c r="B91" s="19"/>
      <c r="C91" s="20" t="s">
        <v>18</v>
      </c>
      <c r="D91" s="21"/>
      <c r="E91" s="20" t="s">
        <v>19</v>
      </c>
      <c r="F91" s="21"/>
      <c r="G91" s="20" t="s">
        <v>20</v>
      </c>
      <c r="H91" s="21"/>
    </row>
    <row r="92" spans="1:8" ht="14.25" customHeight="1" thickBot="1">
      <c r="A92" s="7"/>
      <c r="B92" s="9" t="s">
        <v>4</v>
      </c>
      <c r="C92" s="22" t="s">
        <v>16</v>
      </c>
      <c r="D92" s="10" t="s">
        <v>37</v>
      </c>
      <c r="E92" s="22" t="s">
        <v>16</v>
      </c>
      <c r="F92" s="10" t="s">
        <v>37</v>
      </c>
      <c r="G92" s="22" t="s">
        <v>16</v>
      </c>
      <c r="H92" s="10" t="s">
        <v>37</v>
      </c>
    </row>
    <row r="93" spans="1:8" ht="14.25" customHeight="1">
      <c r="A93" s="11">
        <v>43768</v>
      </c>
      <c r="B93" s="24" t="s">
        <v>21</v>
      </c>
      <c r="C93" s="22">
        <v>360</v>
      </c>
      <c r="D93" s="25">
        <f t="shared" ref="D93:D98" si="22">IFERROR(C93*13636.365,0)</f>
        <v>4909091.4000000004</v>
      </c>
      <c r="E93" s="22">
        <v>305</v>
      </c>
      <c r="F93" s="25">
        <f t="shared" ref="F93:F98" si="23">IFERROR(E93*13636.365,0)</f>
        <v>4159091.3249999997</v>
      </c>
      <c r="G93" s="22">
        <v>106</v>
      </c>
      <c r="H93" s="25">
        <f t="shared" ref="H93:H98" si="24">IFERROR(G93*54545.45,0)</f>
        <v>5781817.6999999993</v>
      </c>
    </row>
    <row r="94" spans="1:8" ht="14.25" customHeight="1">
      <c r="A94" s="15"/>
      <c r="B94" s="24" t="s">
        <v>8</v>
      </c>
      <c r="C94" s="22">
        <v>5149</v>
      </c>
      <c r="D94" s="25">
        <f t="shared" si="22"/>
        <v>70213643.385000005</v>
      </c>
      <c r="E94" s="22">
        <v>4096</v>
      </c>
      <c r="F94" s="25">
        <f t="shared" si="23"/>
        <v>55854551.039999999</v>
      </c>
      <c r="G94" s="22">
        <v>572</v>
      </c>
      <c r="H94" s="25">
        <f t="shared" si="24"/>
        <v>31199997.399999999</v>
      </c>
    </row>
    <row r="95" spans="1:8" ht="14.25" customHeight="1">
      <c r="A95" s="15"/>
      <c r="B95" s="24" t="s">
        <v>9</v>
      </c>
      <c r="C95" s="22">
        <v>2481</v>
      </c>
      <c r="D95" s="25">
        <f t="shared" si="22"/>
        <v>33831821.564999998</v>
      </c>
      <c r="E95" s="22">
        <v>2090</v>
      </c>
      <c r="F95" s="25">
        <f t="shared" si="23"/>
        <v>28500002.849999998</v>
      </c>
      <c r="G95" s="22">
        <v>369</v>
      </c>
      <c r="H95" s="25">
        <f t="shared" si="24"/>
        <v>20127271.050000001</v>
      </c>
    </row>
    <row r="96" spans="1:8" ht="14.25" customHeight="1">
      <c r="A96" s="15"/>
      <c r="B96" s="24" t="s">
        <v>10</v>
      </c>
      <c r="C96" s="22">
        <v>2358</v>
      </c>
      <c r="D96" s="25">
        <f t="shared" si="22"/>
        <v>32154548.669999998</v>
      </c>
      <c r="E96" s="22">
        <v>2042</v>
      </c>
      <c r="F96" s="25">
        <f t="shared" si="23"/>
        <v>27845457.329999998</v>
      </c>
      <c r="G96" s="22">
        <v>353</v>
      </c>
      <c r="H96" s="25">
        <f t="shared" si="24"/>
        <v>19254543.849999998</v>
      </c>
    </row>
    <row r="97" spans="1:8" ht="14.25" customHeight="1">
      <c r="A97" s="15"/>
      <c r="B97" s="24" t="s">
        <v>12</v>
      </c>
      <c r="C97" s="22">
        <v>935</v>
      </c>
      <c r="D97" s="25">
        <f t="shared" si="22"/>
        <v>12750001.275</v>
      </c>
      <c r="E97" s="22">
        <v>725</v>
      </c>
      <c r="F97" s="25">
        <f t="shared" si="23"/>
        <v>9886364.625</v>
      </c>
      <c r="G97" s="22">
        <v>203</v>
      </c>
      <c r="H97" s="25">
        <f t="shared" si="24"/>
        <v>11072726.35</v>
      </c>
    </row>
    <row r="98" spans="1:8" ht="14.25" customHeight="1">
      <c r="A98" s="15"/>
      <c r="B98" s="24" t="s">
        <v>13</v>
      </c>
      <c r="C98" s="22">
        <v>1234</v>
      </c>
      <c r="D98" s="25">
        <f t="shared" si="22"/>
        <v>16827274.41</v>
      </c>
      <c r="E98" s="22">
        <v>3035</v>
      </c>
      <c r="F98" s="25">
        <f t="shared" si="23"/>
        <v>41386367.774999999</v>
      </c>
      <c r="G98" s="22">
        <v>458</v>
      </c>
      <c r="H98" s="25">
        <f t="shared" si="24"/>
        <v>24981816.099999998</v>
      </c>
    </row>
    <row r="99" spans="1:8" ht="14.25" customHeight="1">
      <c r="A99" s="15"/>
      <c r="B99" s="26" t="s">
        <v>14</v>
      </c>
      <c r="C99" s="27">
        <f t="shared" ref="C99:H99" si="25">SUM(C93:C98)</f>
        <v>12517</v>
      </c>
      <c r="D99" s="27">
        <f t="shared" si="25"/>
        <v>170686380.70500001</v>
      </c>
      <c r="E99" s="27">
        <f t="shared" si="25"/>
        <v>12293</v>
      </c>
      <c r="F99" s="27">
        <f t="shared" si="25"/>
        <v>167631834.94499999</v>
      </c>
      <c r="G99" s="27">
        <f t="shared" si="25"/>
        <v>2061</v>
      </c>
      <c r="H99" s="27">
        <f t="shared" si="25"/>
        <v>112418172.44999997</v>
      </c>
    </row>
    <row r="100" spans="1:8" ht="14.25" customHeight="1">
      <c r="A100" s="18"/>
      <c r="B100" s="18"/>
      <c r="C100" s="2"/>
      <c r="E100" s="2"/>
      <c r="G100" s="2"/>
    </row>
    <row r="101" spans="1:8" ht="14.25" customHeight="1" thickBot="1">
      <c r="A101" s="18"/>
      <c r="B101" s="18"/>
      <c r="C101" s="2"/>
      <c r="E101" s="2"/>
      <c r="G101" s="2"/>
    </row>
    <row r="102" spans="1:8" ht="14.25" customHeight="1" thickBot="1">
      <c r="A102" s="18"/>
      <c r="B102" s="18"/>
      <c r="C102" s="47" t="s">
        <v>22</v>
      </c>
      <c r="D102" s="48"/>
      <c r="E102" s="48"/>
      <c r="F102" s="48"/>
      <c r="G102" s="48"/>
      <c r="H102" s="48"/>
    </row>
    <row r="103" spans="1:8" ht="33.75">
      <c r="A103" s="7" t="s">
        <v>1</v>
      </c>
      <c r="B103" s="19"/>
      <c r="C103" s="20" t="s">
        <v>2</v>
      </c>
      <c r="D103" s="21"/>
      <c r="E103" s="20" t="s">
        <v>15</v>
      </c>
      <c r="F103" s="21"/>
      <c r="G103" s="20" t="s">
        <v>3</v>
      </c>
      <c r="H103" s="21"/>
    </row>
    <row r="104" spans="1:8" ht="14.25" customHeight="1" thickBot="1">
      <c r="A104" s="7"/>
      <c r="B104" s="9" t="s">
        <v>4</v>
      </c>
      <c r="C104" s="22" t="s">
        <v>16</v>
      </c>
      <c r="D104" s="25" t="s">
        <v>37</v>
      </c>
      <c r="E104" s="22" t="s">
        <v>16</v>
      </c>
      <c r="F104" s="25" t="s">
        <v>37</v>
      </c>
      <c r="G104" s="22" t="s">
        <v>16</v>
      </c>
      <c r="H104" s="25" t="s">
        <v>37</v>
      </c>
    </row>
    <row r="105" spans="1:8" ht="14.25" customHeight="1">
      <c r="A105" s="11">
        <v>43779</v>
      </c>
      <c r="B105" s="24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t="14.25" customHeight="1">
      <c r="A106" s="15"/>
      <c r="B106" s="24" t="s">
        <v>11</v>
      </c>
      <c r="C106" s="22">
        <v>0</v>
      </c>
      <c r="D106" s="25">
        <v>0</v>
      </c>
      <c r="E106" s="22">
        <v>0</v>
      </c>
      <c r="F106" s="25">
        <v>0</v>
      </c>
      <c r="G106" s="22">
        <v>0</v>
      </c>
      <c r="H106" s="25">
        <v>0</v>
      </c>
    </row>
    <row r="107" spans="1:8" ht="14.25" customHeight="1">
      <c r="A107" s="15"/>
      <c r="B107" s="24" t="s">
        <v>21</v>
      </c>
      <c r="C107" s="22">
        <v>0</v>
      </c>
      <c r="D107" s="25">
        <v>0</v>
      </c>
      <c r="E107" s="22">
        <v>0</v>
      </c>
      <c r="F107" s="25">
        <v>0</v>
      </c>
      <c r="G107" s="22">
        <v>0</v>
      </c>
      <c r="H107" s="25">
        <v>0</v>
      </c>
    </row>
    <row r="108" spans="1:8" ht="14.25" customHeight="1">
      <c r="A108" s="15"/>
      <c r="B108" s="24" t="s">
        <v>6</v>
      </c>
      <c r="C108" s="22">
        <v>162</v>
      </c>
      <c r="D108" s="25">
        <v>2209091.13</v>
      </c>
      <c r="E108" s="22">
        <v>178</v>
      </c>
      <c r="F108" s="25">
        <v>2427272.9699999997</v>
      </c>
      <c r="G108" s="22">
        <v>76</v>
      </c>
      <c r="H108" s="25">
        <v>4145454.1999999997</v>
      </c>
    </row>
    <row r="109" spans="1:8" ht="14.25" customHeight="1">
      <c r="A109" s="15"/>
      <c r="B109" s="24" t="s">
        <v>7</v>
      </c>
      <c r="C109" s="22">
        <v>173</v>
      </c>
      <c r="D109" s="25">
        <v>2359091.145</v>
      </c>
      <c r="E109" s="22">
        <v>163</v>
      </c>
      <c r="F109" s="25">
        <v>2222727.4950000001</v>
      </c>
      <c r="G109" s="22">
        <v>89</v>
      </c>
      <c r="H109" s="25">
        <v>4854545.05</v>
      </c>
    </row>
    <row r="110" spans="1:8" ht="14.25" customHeight="1">
      <c r="A110" s="15"/>
      <c r="B110" s="24" t="s">
        <v>23</v>
      </c>
      <c r="C110" s="22">
        <v>0</v>
      </c>
      <c r="D110" s="25">
        <v>0</v>
      </c>
      <c r="E110" s="22">
        <v>0</v>
      </c>
      <c r="F110" s="25">
        <v>0</v>
      </c>
      <c r="G110" s="22">
        <v>0</v>
      </c>
      <c r="H110" s="25">
        <v>0</v>
      </c>
    </row>
    <row r="111" spans="1:8" ht="14.25" customHeight="1">
      <c r="A111" s="15"/>
      <c r="B111" s="24" t="s">
        <v>8</v>
      </c>
      <c r="C111" s="22">
        <v>231</v>
      </c>
      <c r="D111" s="25">
        <v>3150000.3149999999</v>
      </c>
      <c r="E111" s="22">
        <v>774</v>
      </c>
      <c r="F111" s="25">
        <v>10554546.51</v>
      </c>
      <c r="G111" s="22">
        <v>232</v>
      </c>
      <c r="H111" s="25">
        <v>12654544.399999999</v>
      </c>
    </row>
    <row r="112" spans="1:8" ht="14.25" customHeight="1">
      <c r="A112" s="15"/>
      <c r="B112" s="24" t="s">
        <v>9</v>
      </c>
      <c r="C112" s="22">
        <v>58</v>
      </c>
      <c r="D112" s="25">
        <v>790909.17</v>
      </c>
      <c r="E112" s="22">
        <v>22</v>
      </c>
      <c r="F112" s="25">
        <v>300000.02999999997</v>
      </c>
      <c r="G112" s="22">
        <v>40</v>
      </c>
      <c r="H112" s="25">
        <v>2181818</v>
      </c>
    </row>
    <row r="113" spans="1:8" ht="14.25" customHeight="1">
      <c r="A113" s="15"/>
      <c r="B113" s="24" t="s">
        <v>24</v>
      </c>
      <c r="C113" s="22">
        <v>0</v>
      </c>
      <c r="D113" s="25">
        <v>0</v>
      </c>
      <c r="E113" s="22">
        <v>0</v>
      </c>
      <c r="F113" s="25">
        <v>0</v>
      </c>
      <c r="G113" s="22">
        <v>0</v>
      </c>
      <c r="H113" s="25">
        <v>0</v>
      </c>
    </row>
    <row r="114" spans="1:8" ht="14.25" customHeight="1">
      <c r="A114" s="15"/>
      <c r="B114" s="24" t="s">
        <v>25</v>
      </c>
      <c r="C114" s="22">
        <v>0</v>
      </c>
      <c r="D114" s="25">
        <v>0</v>
      </c>
      <c r="E114" s="22">
        <v>0</v>
      </c>
      <c r="F114" s="25">
        <v>0</v>
      </c>
      <c r="G114" s="22">
        <v>0</v>
      </c>
      <c r="H114" s="25">
        <v>0</v>
      </c>
    </row>
    <row r="115" spans="1:8" ht="14.25" customHeight="1">
      <c r="A115" s="15"/>
      <c r="B115" s="24" t="s">
        <v>10</v>
      </c>
      <c r="C115" s="22">
        <v>31</v>
      </c>
      <c r="D115" s="25">
        <v>422727.315</v>
      </c>
      <c r="E115" s="22">
        <v>33</v>
      </c>
      <c r="F115" s="25">
        <v>450000.04499999998</v>
      </c>
      <c r="G115" s="22">
        <v>33</v>
      </c>
      <c r="H115" s="25">
        <v>1799999.8499999999</v>
      </c>
    </row>
    <row r="116" spans="1:8" ht="14.25" customHeight="1">
      <c r="A116" s="15"/>
      <c r="B116" s="24" t="s">
        <v>12</v>
      </c>
      <c r="C116" s="22">
        <v>67</v>
      </c>
      <c r="D116" s="25">
        <v>913636.45499999996</v>
      </c>
      <c r="E116" s="22">
        <v>61</v>
      </c>
      <c r="F116" s="25">
        <v>831818.26500000001</v>
      </c>
      <c r="G116" s="22">
        <v>41</v>
      </c>
      <c r="H116" s="25">
        <v>2236363.4499999997</v>
      </c>
    </row>
    <row r="117" spans="1:8" ht="14.25" customHeight="1">
      <c r="A117" s="15"/>
      <c r="B117" s="24" t="s">
        <v>13</v>
      </c>
      <c r="C117" s="22">
        <v>89</v>
      </c>
      <c r="D117" s="25">
        <v>1213636.4849999999</v>
      </c>
      <c r="E117" s="22">
        <v>71</v>
      </c>
      <c r="F117" s="25">
        <v>968181.91500000004</v>
      </c>
      <c r="G117" s="22">
        <v>55</v>
      </c>
      <c r="H117" s="25">
        <v>2999999.75</v>
      </c>
    </row>
    <row r="118" spans="1:8" ht="14.25" customHeight="1">
      <c r="A118" s="18"/>
      <c r="B118" s="29" t="s">
        <v>14</v>
      </c>
      <c r="C118" s="17">
        <v>89</v>
      </c>
      <c r="D118" s="17">
        <v>1213636.4849999999</v>
      </c>
      <c r="E118" s="17">
        <v>71</v>
      </c>
      <c r="F118" s="17">
        <v>968181.91500000004</v>
      </c>
      <c r="G118" s="17">
        <v>55</v>
      </c>
      <c r="H118" s="17">
        <v>2999999.75</v>
      </c>
    </row>
    <row r="119" spans="1:8" ht="14.25" customHeight="1">
      <c r="A119" s="18"/>
      <c r="B119" s="18"/>
      <c r="C119" s="2"/>
      <c r="E119" s="2"/>
      <c r="G119" s="2"/>
    </row>
    <row r="120" spans="1:8" ht="14.25" customHeight="1" thickBot="1">
      <c r="A120" s="18"/>
      <c r="B120" s="18"/>
      <c r="C120" s="2"/>
      <c r="E120" s="2"/>
      <c r="G120" s="2"/>
    </row>
    <row r="121" spans="1:8" ht="14.25" customHeight="1" thickBot="1">
      <c r="A121" s="18"/>
      <c r="B121" s="18"/>
      <c r="C121" s="47" t="s">
        <v>17</v>
      </c>
      <c r="D121" s="48"/>
      <c r="E121" s="48"/>
      <c r="F121" s="48"/>
      <c r="G121" s="48"/>
      <c r="H121" s="48"/>
    </row>
    <row r="122" spans="1:8" ht="45">
      <c r="A122" s="7" t="s">
        <v>1</v>
      </c>
      <c r="B122" s="19"/>
      <c r="C122" s="20" t="s">
        <v>18</v>
      </c>
      <c r="D122" s="21"/>
      <c r="E122" s="20" t="s">
        <v>19</v>
      </c>
      <c r="F122" s="21"/>
      <c r="G122" s="20" t="s">
        <v>20</v>
      </c>
      <c r="H122" s="21"/>
    </row>
    <row r="123" spans="1:8" ht="14.25" customHeight="1" thickBot="1">
      <c r="A123" s="7"/>
      <c r="B123" s="9" t="s">
        <v>4</v>
      </c>
      <c r="C123" s="22" t="s">
        <v>16</v>
      </c>
      <c r="D123" s="23" t="s">
        <v>37</v>
      </c>
      <c r="E123" s="22" t="s">
        <v>16</v>
      </c>
      <c r="F123" s="23" t="s">
        <v>37</v>
      </c>
      <c r="G123" s="22" t="s">
        <v>16</v>
      </c>
      <c r="H123" s="23" t="s">
        <v>37</v>
      </c>
    </row>
    <row r="124" spans="1:8" ht="14.25" customHeight="1">
      <c r="A124" s="11">
        <v>43779</v>
      </c>
      <c r="B124" s="24" t="s">
        <v>5</v>
      </c>
      <c r="C124" s="22"/>
      <c r="D124" s="25">
        <v>0</v>
      </c>
      <c r="E124" s="22"/>
      <c r="F124" s="25">
        <v>0</v>
      </c>
      <c r="G124" s="22"/>
      <c r="H124" s="25">
        <v>0</v>
      </c>
    </row>
    <row r="125" spans="1:8" ht="14.25" customHeight="1">
      <c r="A125" s="15"/>
      <c r="B125" s="24" t="s">
        <v>11</v>
      </c>
      <c r="C125" s="22"/>
      <c r="D125" s="25">
        <v>0</v>
      </c>
      <c r="E125" s="22"/>
      <c r="F125" s="25">
        <v>0</v>
      </c>
      <c r="G125" s="22"/>
      <c r="H125" s="25">
        <v>0</v>
      </c>
    </row>
    <row r="126" spans="1:8" ht="14.25" customHeight="1">
      <c r="A126" s="15"/>
      <c r="B126" s="24" t="s">
        <v>21</v>
      </c>
      <c r="C126" s="22">
        <v>1319</v>
      </c>
      <c r="D126" s="25">
        <v>17986365.434999999</v>
      </c>
      <c r="E126" s="22">
        <v>1251</v>
      </c>
      <c r="F126" s="25">
        <v>17059092.614999998</v>
      </c>
      <c r="G126" s="22">
        <v>378</v>
      </c>
      <c r="H126" s="25">
        <v>20618180.099999998</v>
      </c>
    </row>
    <row r="127" spans="1:8" ht="14.25" customHeight="1">
      <c r="A127" s="15"/>
      <c r="B127" s="24" t="s">
        <v>6</v>
      </c>
      <c r="C127" s="22"/>
      <c r="D127" s="25">
        <v>0</v>
      </c>
      <c r="E127" s="22"/>
      <c r="F127" s="25">
        <v>0</v>
      </c>
      <c r="G127" s="22"/>
      <c r="H127" s="25">
        <v>0</v>
      </c>
    </row>
    <row r="128" spans="1:8" ht="14.25" customHeight="1">
      <c r="A128" s="15"/>
      <c r="B128" s="24" t="s">
        <v>7</v>
      </c>
      <c r="C128" s="22"/>
      <c r="D128" s="25">
        <v>0</v>
      </c>
      <c r="E128" s="22"/>
      <c r="F128" s="25">
        <v>0</v>
      </c>
      <c r="G128" s="22"/>
      <c r="H128" s="25">
        <v>0</v>
      </c>
    </row>
    <row r="129" spans="1:8" ht="14.25" customHeight="1">
      <c r="A129" s="15"/>
      <c r="B129" s="24" t="s">
        <v>23</v>
      </c>
      <c r="C129" s="22">
        <v>677</v>
      </c>
      <c r="D129" s="25">
        <v>9231819.1050000004</v>
      </c>
      <c r="E129" s="22">
        <v>659</v>
      </c>
      <c r="F129" s="25">
        <v>8986364.5350000001</v>
      </c>
      <c r="G129" s="22">
        <v>244</v>
      </c>
      <c r="H129" s="25">
        <v>13309089.799999999</v>
      </c>
    </row>
    <row r="130" spans="1:8" ht="14.25" customHeight="1">
      <c r="A130" s="15"/>
      <c r="B130" s="24" t="s">
        <v>8</v>
      </c>
      <c r="C130" s="22">
        <v>4248</v>
      </c>
      <c r="D130" s="25">
        <v>57927278.519999996</v>
      </c>
      <c r="E130" s="22">
        <v>3511</v>
      </c>
      <c r="F130" s="25">
        <v>47877277.515000001</v>
      </c>
      <c r="G130" s="22">
        <v>270</v>
      </c>
      <c r="H130" s="25">
        <v>14727271.5</v>
      </c>
    </row>
    <row r="131" spans="1:8" ht="14.25" customHeight="1">
      <c r="A131" s="15"/>
      <c r="B131" s="24" t="s">
        <v>9</v>
      </c>
      <c r="C131" s="22">
        <v>2086</v>
      </c>
      <c r="D131" s="25">
        <v>28445457.390000001</v>
      </c>
      <c r="E131" s="22">
        <v>1757</v>
      </c>
      <c r="F131" s="25">
        <v>23959093.305</v>
      </c>
      <c r="G131" s="22">
        <v>148</v>
      </c>
      <c r="H131" s="25">
        <v>8072726.5999999996</v>
      </c>
    </row>
    <row r="132" spans="1:8" ht="14.25" customHeight="1">
      <c r="A132" s="15"/>
      <c r="B132" s="24" t="s">
        <v>24</v>
      </c>
      <c r="C132" s="22">
        <v>15</v>
      </c>
      <c r="D132" s="25">
        <v>204545.47500000001</v>
      </c>
      <c r="E132" s="22">
        <v>75</v>
      </c>
      <c r="F132" s="25">
        <v>1022727.375</v>
      </c>
      <c r="G132" s="22">
        <v>9</v>
      </c>
      <c r="H132" s="25">
        <v>490909.05</v>
      </c>
    </row>
    <row r="133" spans="1:8" ht="14.25" customHeight="1">
      <c r="A133" s="15"/>
      <c r="B133" s="24" t="s">
        <v>25</v>
      </c>
      <c r="C133" s="22">
        <v>130</v>
      </c>
      <c r="D133" s="25">
        <v>1772727.45</v>
      </c>
      <c r="E133" s="22">
        <v>468</v>
      </c>
      <c r="F133" s="25">
        <v>6381818.8200000003</v>
      </c>
      <c r="G133" s="22">
        <v>210</v>
      </c>
      <c r="H133" s="25">
        <v>11454544.5</v>
      </c>
    </row>
    <row r="134" spans="1:8" ht="14.25" customHeight="1">
      <c r="A134" s="15"/>
      <c r="B134" s="24" t="s">
        <v>10</v>
      </c>
      <c r="C134" s="22">
        <v>1802</v>
      </c>
      <c r="D134" s="25">
        <v>24572729.73</v>
      </c>
      <c r="E134" s="22">
        <v>1549</v>
      </c>
      <c r="F134" s="25">
        <v>21122729.384999998</v>
      </c>
      <c r="G134" s="22">
        <v>223</v>
      </c>
      <c r="H134" s="25">
        <v>12163635.35</v>
      </c>
    </row>
    <row r="135" spans="1:8" ht="14.25" customHeight="1">
      <c r="A135" s="15"/>
      <c r="B135" s="24" t="s">
        <v>12</v>
      </c>
      <c r="C135" s="22">
        <v>702</v>
      </c>
      <c r="D135" s="25">
        <v>9572728.2300000004</v>
      </c>
      <c r="E135" s="22">
        <v>600</v>
      </c>
      <c r="F135" s="25">
        <v>8181819</v>
      </c>
      <c r="G135" s="22">
        <v>89</v>
      </c>
      <c r="H135" s="25">
        <v>4854545.05</v>
      </c>
    </row>
    <row r="136" spans="1:8" ht="14.25" customHeight="1">
      <c r="A136" s="15"/>
      <c r="B136" s="24" t="s">
        <v>13</v>
      </c>
      <c r="C136" s="22">
        <v>2680</v>
      </c>
      <c r="D136" s="25">
        <v>36545458.200000003</v>
      </c>
      <c r="E136" s="22">
        <v>2372</v>
      </c>
      <c r="F136" s="25">
        <v>32345457.780000001</v>
      </c>
      <c r="G136" s="22">
        <v>195</v>
      </c>
      <c r="H136" s="25">
        <v>10636362.75</v>
      </c>
    </row>
    <row r="137" spans="1:8" ht="14.25" customHeight="1">
      <c r="A137" s="18"/>
      <c r="B137" s="29" t="s">
        <v>14</v>
      </c>
      <c r="C137" s="17">
        <f t="shared" ref="C137:H137" si="26">SUM(C124:C136)</f>
        <v>13659</v>
      </c>
      <c r="D137" s="17">
        <f t="shared" si="26"/>
        <v>186259109.53499997</v>
      </c>
      <c r="E137" s="17">
        <f t="shared" si="26"/>
        <v>12242</v>
      </c>
      <c r="F137" s="17">
        <f t="shared" si="26"/>
        <v>166936380.32999998</v>
      </c>
      <c r="G137" s="17">
        <f t="shared" si="26"/>
        <v>1766</v>
      </c>
      <c r="H137" s="17">
        <f t="shared" si="26"/>
        <v>96327264.699999988</v>
      </c>
    </row>
    <row r="138" spans="1:8" ht="14.25" customHeight="1">
      <c r="A138" s="18"/>
      <c r="B138" s="18"/>
      <c r="C138" s="2"/>
      <c r="E138" s="2"/>
      <c r="G138" s="2"/>
    </row>
    <row r="139" spans="1:8" ht="14.25" customHeight="1" thickBot="1">
      <c r="A139" s="18"/>
      <c r="C139" s="2"/>
      <c r="E139" s="2"/>
      <c r="G139" s="2"/>
    </row>
    <row r="140" spans="1:8" ht="14.25" customHeight="1" thickBot="1">
      <c r="A140" s="18"/>
      <c r="B140" s="18"/>
      <c r="C140" s="47" t="s">
        <v>22</v>
      </c>
      <c r="D140" s="48"/>
      <c r="E140" s="48"/>
      <c r="F140" s="48"/>
      <c r="G140" s="48"/>
      <c r="H140" s="48"/>
    </row>
    <row r="141" spans="1:8" ht="33.75">
      <c r="A141" s="7" t="s">
        <v>1</v>
      </c>
      <c r="B141" s="19"/>
      <c r="C141" s="20" t="s">
        <v>2</v>
      </c>
      <c r="D141" s="21"/>
      <c r="E141" s="20" t="s">
        <v>15</v>
      </c>
      <c r="F141" s="21"/>
      <c r="G141" s="20" t="s">
        <v>3</v>
      </c>
      <c r="H141" s="21"/>
    </row>
    <row r="142" spans="1:8" ht="14.25" customHeight="1" thickBot="1">
      <c r="A142" s="7"/>
      <c r="B142" s="9" t="s">
        <v>4</v>
      </c>
      <c r="C142" s="22" t="s">
        <v>16</v>
      </c>
      <c r="D142" s="23" t="s">
        <v>37</v>
      </c>
      <c r="E142" s="22" t="s">
        <v>16</v>
      </c>
      <c r="F142" s="23" t="s">
        <v>37</v>
      </c>
      <c r="G142" s="22" t="s">
        <v>16</v>
      </c>
      <c r="H142" s="23" t="s">
        <v>37</v>
      </c>
    </row>
    <row r="143" spans="1:8" ht="14.25" customHeight="1">
      <c r="A143" s="11">
        <v>43787</v>
      </c>
      <c r="B143" s="24" t="s">
        <v>5</v>
      </c>
      <c r="C143" s="22">
        <v>0</v>
      </c>
      <c r="D143" s="25">
        <v>0</v>
      </c>
      <c r="E143" s="22">
        <v>0</v>
      </c>
      <c r="F143" s="25">
        <v>0</v>
      </c>
      <c r="G143" s="22">
        <v>0</v>
      </c>
      <c r="H143" s="25">
        <v>0</v>
      </c>
    </row>
    <row r="144" spans="1:8" ht="14.25" customHeight="1">
      <c r="A144" s="15"/>
      <c r="B144" s="24" t="s">
        <v>11</v>
      </c>
      <c r="C144" s="22">
        <v>0</v>
      </c>
      <c r="D144" s="25">
        <v>0</v>
      </c>
      <c r="E144" s="22">
        <v>0</v>
      </c>
      <c r="F144" s="25">
        <v>0</v>
      </c>
      <c r="G144" s="22">
        <v>0</v>
      </c>
      <c r="H144" s="25">
        <v>0</v>
      </c>
    </row>
    <row r="145" spans="1:8" ht="14.25" customHeight="1">
      <c r="A145" s="15"/>
      <c r="B145" s="24" t="s">
        <v>21</v>
      </c>
      <c r="C145" s="22"/>
      <c r="D145" s="25">
        <v>0</v>
      </c>
      <c r="E145" s="22">
        <v>0</v>
      </c>
      <c r="F145" s="25">
        <v>0</v>
      </c>
      <c r="G145" s="22">
        <v>0</v>
      </c>
      <c r="H145" s="25">
        <v>0</v>
      </c>
    </row>
    <row r="146" spans="1:8" ht="14.25" customHeight="1">
      <c r="A146" s="15"/>
      <c r="B146" s="24" t="s">
        <v>6</v>
      </c>
      <c r="C146" s="22">
        <v>96</v>
      </c>
      <c r="D146" s="25">
        <v>1309091.04</v>
      </c>
      <c r="E146" s="22">
        <v>71</v>
      </c>
      <c r="F146" s="25">
        <v>968181.91500000004</v>
      </c>
      <c r="G146" s="22">
        <v>37</v>
      </c>
      <c r="H146" s="25">
        <v>2018181.65</v>
      </c>
    </row>
    <row r="147" spans="1:8" ht="14.25" customHeight="1">
      <c r="A147" s="15"/>
      <c r="B147" s="24" t="s">
        <v>7</v>
      </c>
      <c r="C147" s="22">
        <v>155</v>
      </c>
      <c r="D147" s="25">
        <v>2113636.5750000002</v>
      </c>
      <c r="E147" s="22">
        <v>117</v>
      </c>
      <c r="F147" s="25">
        <v>1595454.7050000001</v>
      </c>
      <c r="G147" s="22">
        <v>46</v>
      </c>
      <c r="H147" s="25">
        <v>2509090.6999999997</v>
      </c>
    </row>
    <row r="148" spans="1:8" ht="14.25" customHeight="1">
      <c r="A148" s="15"/>
      <c r="B148" s="24" t="s">
        <v>23</v>
      </c>
      <c r="C148" s="22"/>
      <c r="D148" s="25">
        <v>0</v>
      </c>
      <c r="E148" s="22"/>
      <c r="F148" s="25">
        <v>0</v>
      </c>
      <c r="G148" s="22"/>
      <c r="H148" s="25">
        <v>0</v>
      </c>
    </row>
    <row r="149" spans="1:8" ht="14.25" customHeight="1">
      <c r="A149" s="15"/>
      <c r="B149" s="24" t="s">
        <v>8</v>
      </c>
      <c r="C149" s="22">
        <v>145</v>
      </c>
      <c r="D149" s="25">
        <v>1977272.925</v>
      </c>
      <c r="E149" s="22">
        <v>320</v>
      </c>
      <c r="F149" s="25">
        <v>4363636.8</v>
      </c>
      <c r="G149" s="22">
        <v>184</v>
      </c>
      <c r="H149" s="25">
        <v>10036362.799999999</v>
      </c>
    </row>
    <row r="150" spans="1:8" ht="14.25" customHeight="1">
      <c r="A150" s="15"/>
      <c r="B150" s="24" t="s">
        <v>9</v>
      </c>
      <c r="C150" s="22">
        <v>14</v>
      </c>
      <c r="D150" s="25">
        <v>190909.11</v>
      </c>
      <c r="E150" s="22">
        <v>4</v>
      </c>
      <c r="F150" s="25">
        <v>54545.46</v>
      </c>
      <c r="G150" s="22">
        <v>16</v>
      </c>
      <c r="H150" s="25">
        <v>872727.2</v>
      </c>
    </row>
    <row r="151" spans="1:8" ht="14.25" customHeight="1">
      <c r="A151" s="15"/>
      <c r="B151" s="24" t="s">
        <v>24</v>
      </c>
      <c r="C151" s="22">
        <v>0</v>
      </c>
      <c r="D151" s="25">
        <v>0</v>
      </c>
      <c r="E151" s="22"/>
      <c r="F151" s="25">
        <v>0</v>
      </c>
      <c r="G151" s="22"/>
      <c r="H151" s="25">
        <v>0</v>
      </c>
    </row>
    <row r="152" spans="1:8" ht="14.25" customHeight="1">
      <c r="A152" s="15"/>
      <c r="B152" s="24" t="s">
        <v>25</v>
      </c>
      <c r="C152" s="22">
        <v>0</v>
      </c>
      <c r="D152" s="25">
        <v>0</v>
      </c>
      <c r="E152" s="22"/>
      <c r="F152" s="25">
        <v>0</v>
      </c>
      <c r="G152" s="22"/>
      <c r="H152" s="25">
        <v>0</v>
      </c>
    </row>
    <row r="153" spans="1:8" ht="14.25" customHeight="1">
      <c r="A153" s="15"/>
      <c r="B153" s="24" t="s">
        <v>10</v>
      </c>
      <c r="C153" s="22">
        <v>23</v>
      </c>
      <c r="D153" s="25">
        <v>313636.39500000002</v>
      </c>
      <c r="E153" s="22">
        <v>19</v>
      </c>
      <c r="F153" s="25">
        <v>259090.935</v>
      </c>
      <c r="G153" s="22">
        <v>14</v>
      </c>
      <c r="H153" s="25">
        <v>763636.29999999993</v>
      </c>
    </row>
    <row r="154" spans="1:8" ht="14.25" customHeight="1">
      <c r="A154" s="15"/>
      <c r="B154" s="24" t="s">
        <v>12</v>
      </c>
      <c r="C154" s="22">
        <v>33</v>
      </c>
      <c r="D154" s="25">
        <v>450000.04499999998</v>
      </c>
      <c r="E154" s="22">
        <v>43</v>
      </c>
      <c r="F154" s="25">
        <v>586363.69499999995</v>
      </c>
      <c r="G154" s="22">
        <v>2708</v>
      </c>
      <c r="H154" s="25">
        <v>147709078.59999999</v>
      </c>
    </row>
    <row r="155" spans="1:8" ht="14.25" customHeight="1">
      <c r="A155" s="15"/>
      <c r="B155" s="24" t="s">
        <v>13</v>
      </c>
      <c r="C155" s="22">
        <v>44</v>
      </c>
      <c r="D155" s="25">
        <v>600000.05999999994</v>
      </c>
      <c r="E155" s="22">
        <v>20</v>
      </c>
      <c r="F155" s="25">
        <v>272727.3</v>
      </c>
      <c r="G155" s="22">
        <v>24</v>
      </c>
      <c r="H155" s="25">
        <v>1309090.7999999998</v>
      </c>
    </row>
    <row r="156" spans="1:8" ht="14.25" customHeight="1">
      <c r="A156" s="18"/>
      <c r="B156" s="29" t="s">
        <v>14</v>
      </c>
      <c r="C156" s="17">
        <f t="shared" ref="C156:H156" si="27">SUM(C143:C155)</f>
        <v>510</v>
      </c>
      <c r="D156" s="17">
        <f t="shared" si="27"/>
        <v>6954546.1499999994</v>
      </c>
      <c r="E156" s="17">
        <f t="shared" si="27"/>
        <v>594</v>
      </c>
      <c r="F156" s="17">
        <f t="shared" si="27"/>
        <v>8100000.8099999996</v>
      </c>
      <c r="G156" s="17">
        <f t="shared" si="27"/>
        <v>3029</v>
      </c>
      <c r="H156" s="17">
        <f t="shared" si="27"/>
        <v>165218168.05000001</v>
      </c>
    </row>
    <row r="157" spans="1:8" ht="14.25" customHeight="1">
      <c r="A157" s="18"/>
      <c r="B157" s="18"/>
      <c r="C157" s="2"/>
      <c r="E157" s="2"/>
      <c r="G157" s="2"/>
    </row>
    <row r="158" spans="1:8" ht="14.25" customHeight="1" thickBot="1">
      <c r="A158" s="18"/>
      <c r="B158" s="18"/>
      <c r="C158" s="2"/>
      <c r="E158" s="2"/>
      <c r="G158" s="2"/>
    </row>
    <row r="159" spans="1:8" ht="14.25" customHeight="1" thickBot="1">
      <c r="A159" s="18"/>
      <c r="B159" s="18"/>
      <c r="C159" s="47" t="s">
        <v>26</v>
      </c>
      <c r="D159" s="48"/>
      <c r="E159" s="48"/>
      <c r="F159" s="48"/>
      <c r="G159" s="48"/>
      <c r="H159" s="48"/>
    </row>
    <row r="160" spans="1:8" ht="45">
      <c r="A160" s="7" t="s">
        <v>1</v>
      </c>
      <c r="B160" s="19"/>
      <c r="C160" s="20" t="s">
        <v>18</v>
      </c>
      <c r="D160" s="21"/>
      <c r="E160" s="20" t="s">
        <v>19</v>
      </c>
      <c r="F160" s="21"/>
      <c r="G160" s="20" t="s">
        <v>20</v>
      </c>
      <c r="H160" s="21"/>
    </row>
    <row r="161" spans="1:8" ht="14.25" customHeight="1" thickBot="1">
      <c r="A161" s="7"/>
      <c r="B161" s="9" t="s">
        <v>4</v>
      </c>
      <c r="C161" s="22" t="s">
        <v>16</v>
      </c>
      <c r="D161" s="23" t="s">
        <v>37</v>
      </c>
      <c r="E161" s="22" t="s">
        <v>16</v>
      </c>
      <c r="F161" s="23" t="s">
        <v>37</v>
      </c>
      <c r="G161" s="22" t="s">
        <v>16</v>
      </c>
      <c r="H161" s="23" t="s">
        <v>37</v>
      </c>
    </row>
    <row r="162" spans="1:8" ht="14.25" customHeight="1">
      <c r="A162" s="11">
        <v>43787</v>
      </c>
      <c r="B162" s="24" t="s">
        <v>5</v>
      </c>
      <c r="C162" s="22">
        <v>0</v>
      </c>
      <c r="D162" s="25">
        <v>0</v>
      </c>
      <c r="E162" s="22">
        <v>0</v>
      </c>
      <c r="F162" s="25">
        <v>0</v>
      </c>
      <c r="G162" s="22"/>
      <c r="H162" s="25">
        <v>0</v>
      </c>
    </row>
    <row r="163" spans="1:8" ht="14.25" customHeight="1">
      <c r="A163" s="15"/>
      <c r="B163" s="24" t="s">
        <v>11</v>
      </c>
      <c r="C163" s="22">
        <v>0</v>
      </c>
      <c r="D163" s="25">
        <v>0</v>
      </c>
      <c r="E163" s="22">
        <v>0</v>
      </c>
      <c r="F163">
        <v>0</v>
      </c>
      <c r="G163" s="22"/>
      <c r="H163" s="25">
        <v>0</v>
      </c>
    </row>
    <row r="164" spans="1:8" ht="14.25" customHeight="1">
      <c r="A164" s="15"/>
      <c r="B164" s="24" t="s">
        <v>21</v>
      </c>
      <c r="C164" s="22">
        <v>675</v>
      </c>
      <c r="D164" s="25">
        <v>9204546.375</v>
      </c>
      <c r="E164" s="22">
        <v>694</v>
      </c>
      <c r="F164">
        <v>9463637.3100000005</v>
      </c>
      <c r="G164" s="22">
        <v>152</v>
      </c>
      <c r="H164" s="25">
        <v>8290908.3999999994</v>
      </c>
    </row>
    <row r="165" spans="1:8" ht="14.25" customHeight="1">
      <c r="A165" s="15"/>
      <c r="B165" s="24" t="s">
        <v>6</v>
      </c>
      <c r="C165" s="22">
        <v>0</v>
      </c>
      <c r="D165" s="25">
        <v>0</v>
      </c>
      <c r="E165" s="22"/>
      <c r="F165">
        <v>0</v>
      </c>
      <c r="G165" s="22"/>
      <c r="H165" s="25">
        <v>0</v>
      </c>
    </row>
    <row r="166" spans="1:8" ht="14.25" customHeight="1">
      <c r="A166" s="15"/>
      <c r="B166" s="24" t="s">
        <v>7</v>
      </c>
      <c r="C166" s="22">
        <v>0</v>
      </c>
      <c r="D166" s="25">
        <v>0</v>
      </c>
      <c r="E166" s="22"/>
      <c r="F166">
        <v>0</v>
      </c>
      <c r="G166" s="22"/>
      <c r="H166" s="25">
        <v>0</v>
      </c>
    </row>
    <row r="167" spans="1:8" ht="14.25" customHeight="1">
      <c r="A167" s="15"/>
      <c r="B167" s="24" t="s">
        <v>23</v>
      </c>
      <c r="C167" s="22">
        <v>622</v>
      </c>
      <c r="D167" s="25">
        <v>8481819.0299999993</v>
      </c>
      <c r="E167" s="22">
        <v>604</v>
      </c>
      <c r="F167">
        <v>8236364.46</v>
      </c>
      <c r="G167" s="22">
        <v>103</v>
      </c>
      <c r="H167" s="25">
        <v>5618181.3499999996</v>
      </c>
    </row>
    <row r="168" spans="1:8" ht="14.25" customHeight="1">
      <c r="A168" s="15"/>
      <c r="B168" s="24" t="s">
        <v>8</v>
      </c>
      <c r="C168" s="22">
        <v>1817</v>
      </c>
      <c r="D168" s="25">
        <v>24777275.204999998</v>
      </c>
      <c r="E168" s="22">
        <v>2082</v>
      </c>
      <c r="F168">
        <v>28390911.93</v>
      </c>
      <c r="G168" s="22">
        <v>75</v>
      </c>
      <c r="H168" s="25">
        <v>4090908.75</v>
      </c>
    </row>
    <row r="169" spans="1:8" ht="14.25" customHeight="1">
      <c r="A169" s="15"/>
      <c r="B169" s="24" t="s">
        <v>9</v>
      </c>
      <c r="C169" s="22">
        <v>1447</v>
      </c>
      <c r="D169" s="25">
        <v>19731820.155000001</v>
      </c>
      <c r="E169" s="22">
        <v>4933</v>
      </c>
      <c r="F169">
        <v>67268188.549999997</v>
      </c>
      <c r="G169" s="22">
        <v>63</v>
      </c>
      <c r="H169" s="25">
        <v>3436363.3499999996</v>
      </c>
    </row>
    <row r="170" spans="1:8" ht="14.25" customHeight="1">
      <c r="A170" s="15"/>
      <c r="B170" s="24" t="s">
        <v>24</v>
      </c>
      <c r="C170" s="22">
        <v>127</v>
      </c>
      <c r="D170" s="25">
        <v>1731818.355</v>
      </c>
      <c r="E170" s="22">
        <v>99</v>
      </c>
      <c r="F170">
        <v>1350000.135</v>
      </c>
      <c r="G170" s="22">
        <v>15</v>
      </c>
      <c r="H170" s="25">
        <v>818181.75</v>
      </c>
    </row>
    <row r="171" spans="1:8" ht="14.25" customHeight="1">
      <c r="A171" s="15"/>
      <c r="B171" s="24" t="s">
        <v>25</v>
      </c>
      <c r="C171" s="22">
        <v>368</v>
      </c>
      <c r="D171" s="25">
        <v>5018182.32</v>
      </c>
      <c r="E171" s="22">
        <v>363</v>
      </c>
      <c r="F171">
        <v>4950000.4950000001</v>
      </c>
      <c r="G171" s="22">
        <v>168</v>
      </c>
      <c r="H171" s="25">
        <v>9163635.5999999996</v>
      </c>
    </row>
    <row r="172" spans="1:8" ht="14.25" customHeight="1">
      <c r="A172" s="15"/>
      <c r="B172" s="24" t="s">
        <v>10</v>
      </c>
      <c r="C172" s="22">
        <v>1025</v>
      </c>
      <c r="D172" s="25">
        <v>13977274.125</v>
      </c>
      <c r="E172" s="22">
        <v>838</v>
      </c>
      <c r="F172">
        <v>11427273.869999999</v>
      </c>
      <c r="G172" s="22">
        <v>55</v>
      </c>
      <c r="H172" s="25">
        <v>2999999.75</v>
      </c>
    </row>
    <row r="173" spans="1:8" ht="14.25" customHeight="1">
      <c r="A173" s="15"/>
      <c r="B173" s="24" t="s">
        <v>12</v>
      </c>
      <c r="C173" s="22">
        <v>356</v>
      </c>
      <c r="D173" s="25">
        <v>4854545.9399999995</v>
      </c>
      <c r="E173" s="22">
        <v>322</v>
      </c>
      <c r="F173">
        <v>4390909.53</v>
      </c>
      <c r="G173" s="22">
        <v>23</v>
      </c>
      <c r="H173" s="25">
        <v>1254545.3499999999</v>
      </c>
    </row>
    <row r="174" spans="1:8" ht="14.25" customHeight="1">
      <c r="A174" s="15"/>
      <c r="B174" s="24" t="s">
        <v>13</v>
      </c>
      <c r="C174" s="22">
        <v>1094</v>
      </c>
      <c r="D174" s="25">
        <v>14918183.310000001</v>
      </c>
      <c r="E174" s="22">
        <v>1020</v>
      </c>
      <c r="F174">
        <v>13909092.300000001</v>
      </c>
      <c r="G174" s="22">
        <v>44</v>
      </c>
      <c r="H174" s="25">
        <v>2399999.7999999998</v>
      </c>
    </row>
    <row r="175" spans="1:8" ht="14.25" customHeight="1">
      <c r="A175" s="18"/>
      <c r="B175" s="29" t="s">
        <v>14</v>
      </c>
      <c r="C175" s="17">
        <f t="shared" ref="C175:H175" si="28">SUM(C162:C174)</f>
        <v>7531</v>
      </c>
      <c r="D175" s="17">
        <f t="shared" si="28"/>
        <v>102695464.815</v>
      </c>
      <c r="E175" s="17">
        <f t="shared" si="28"/>
        <v>10955</v>
      </c>
      <c r="F175" s="17">
        <f t="shared" si="28"/>
        <v>149386378.58000001</v>
      </c>
      <c r="G175" s="17">
        <f t="shared" si="28"/>
        <v>698</v>
      </c>
      <c r="H175" s="17">
        <f t="shared" si="28"/>
        <v>38072724.100000001</v>
      </c>
    </row>
    <row r="176" spans="1:8" ht="14.25" customHeight="1">
      <c r="A176" s="18"/>
      <c r="B176" s="18"/>
      <c r="C176" s="2"/>
      <c r="E176" s="2"/>
      <c r="G176" s="2"/>
    </row>
    <row r="177" spans="1:8" ht="14.25" customHeight="1">
      <c r="A177" s="18"/>
      <c r="B177" s="18"/>
      <c r="C177" s="2"/>
      <c r="E177" s="2"/>
      <c r="G177" s="2"/>
    </row>
    <row r="178" spans="1:8" ht="14.25" customHeight="1" thickBot="1">
      <c r="A178" s="18"/>
      <c r="B178" s="18"/>
      <c r="C178" s="2"/>
      <c r="E178" s="2"/>
      <c r="G178" s="2"/>
    </row>
    <row r="179" spans="1:8" ht="14.25" customHeight="1" thickBot="1">
      <c r="A179" s="18"/>
      <c r="B179" s="18"/>
      <c r="C179" s="47" t="s">
        <v>27</v>
      </c>
      <c r="D179" s="48"/>
      <c r="E179" s="48"/>
      <c r="F179" s="48"/>
      <c r="G179" s="48"/>
      <c r="H179" s="48"/>
    </row>
    <row r="180" spans="1:8" ht="33.75">
      <c r="A180" s="7" t="s">
        <v>1</v>
      </c>
      <c r="B180" s="19"/>
      <c r="C180" s="20" t="s">
        <v>2</v>
      </c>
      <c r="D180" s="21"/>
      <c r="E180" s="20" t="s">
        <v>15</v>
      </c>
      <c r="F180" s="21"/>
      <c r="G180" s="20" t="s">
        <v>3</v>
      </c>
      <c r="H180" s="21"/>
    </row>
    <row r="181" spans="1:8" ht="14.25" customHeight="1" thickBot="1">
      <c r="A181" s="7"/>
      <c r="B181" s="9" t="s">
        <v>4</v>
      </c>
      <c r="C181" s="22" t="s">
        <v>16</v>
      </c>
      <c r="D181" s="23" t="s">
        <v>37</v>
      </c>
      <c r="E181" s="22" t="s">
        <v>16</v>
      </c>
      <c r="F181" s="23" t="s">
        <v>37</v>
      </c>
      <c r="G181" s="22" t="s">
        <v>16</v>
      </c>
      <c r="H181" s="23" t="s">
        <v>37</v>
      </c>
    </row>
    <row r="182" spans="1:8" ht="14.25" customHeight="1">
      <c r="A182" s="11">
        <v>43794</v>
      </c>
      <c r="B182" s="24" t="s">
        <v>5</v>
      </c>
      <c r="C182" s="22">
        <f>5226-J182</f>
        <v>5226</v>
      </c>
      <c r="D182" s="25">
        <f t="shared" ref="D182:D194" si="29">IFERROR(C182*13636.365,0)</f>
        <v>71263643.489999995</v>
      </c>
      <c r="E182" s="22">
        <f>5336-K182</f>
        <v>5336</v>
      </c>
      <c r="F182" s="25">
        <f t="shared" ref="F182:F194" si="30">IFERROR(E182*13636.365,0)</f>
        <v>72763643.640000001</v>
      </c>
      <c r="G182" s="22">
        <f>1304-L182</f>
        <v>1304</v>
      </c>
      <c r="H182" s="25">
        <f t="shared" ref="H182:H194" si="31">IFERROR(G182*54545.45,0)</f>
        <v>71127266.799999997</v>
      </c>
    </row>
    <row r="183" spans="1:8" ht="14.25" customHeight="1">
      <c r="A183" s="15"/>
      <c r="B183" s="24" t="s">
        <v>11</v>
      </c>
      <c r="C183" s="22">
        <f>5684-J183</f>
        <v>5684</v>
      </c>
      <c r="D183" s="25">
        <f t="shared" si="29"/>
        <v>77509098.659999996</v>
      </c>
      <c r="E183" s="22">
        <f>4684-K183</f>
        <v>4684</v>
      </c>
      <c r="F183" s="25">
        <f t="shared" si="30"/>
        <v>63872733.659999996</v>
      </c>
      <c r="G183" s="22">
        <f>1306-L183</f>
        <v>1306</v>
      </c>
      <c r="H183" s="25">
        <f t="shared" si="31"/>
        <v>71236357.700000003</v>
      </c>
    </row>
    <row r="184" spans="1:8" ht="14.25" customHeight="1">
      <c r="A184" s="15"/>
      <c r="B184" s="24" t="s">
        <v>21</v>
      </c>
      <c r="C184" s="22">
        <v>0</v>
      </c>
      <c r="D184" s="25">
        <f t="shared" si="29"/>
        <v>0</v>
      </c>
      <c r="E184" s="22">
        <v>0</v>
      </c>
      <c r="F184" s="25">
        <f t="shared" si="30"/>
        <v>0</v>
      </c>
      <c r="G184" s="22">
        <v>0</v>
      </c>
      <c r="H184" s="25">
        <f t="shared" si="31"/>
        <v>0</v>
      </c>
    </row>
    <row r="185" spans="1:8" ht="14.25" customHeight="1">
      <c r="A185" s="15"/>
      <c r="B185" s="24" t="s">
        <v>6</v>
      </c>
      <c r="C185" s="22">
        <f>9646-J185</f>
        <v>9646</v>
      </c>
      <c r="D185" s="25">
        <f t="shared" si="29"/>
        <v>131536376.78999999</v>
      </c>
      <c r="E185" s="22">
        <f>9351-K185</f>
        <v>9351</v>
      </c>
      <c r="F185" s="25">
        <f t="shared" si="30"/>
        <v>127513649.11499999</v>
      </c>
      <c r="G185" s="22">
        <f>2706-L185</f>
        <v>2706</v>
      </c>
      <c r="H185" s="25">
        <f t="shared" si="31"/>
        <v>147599987.69999999</v>
      </c>
    </row>
    <row r="186" spans="1:8" ht="14.25" customHeight="1">
      <c r="A186" s="15"/>
      <c r="B186" s="24" t="s">
        <v>7</v>
      </c>
      <c r="C186" s="22">
        <f>10055-J186</f>
        <v>10055</v>
      </c>
      <c r="D186" s="25">
        <f t="shared" si="29"/>
        <v>137113650.07499999</v>
      </c>
      <c r="E186" s="22">
        <f>10103-K186</f>
        <v>10103</v>
      </c>
      <c r="F186" s="25">
        <f t="shared" si="30"/>
        <v>137768195.595</v>
      </c>
      <c r="G186" s="22">
        <f>2800-L186</f>
        <v>2800</v>
      </c>
      <c r="H186" s="25">
        <f t="shared" si="31"/>
        <v>152727260</v>
      </c>
    </row>
    <row r="187" spans="1:8" ht="14.25" customHeight="1">
      <c r="A187" s="15"/>
      <c r="B187" s="24" t="s">
        <v>23</v>
      </c>
      <c r="C187" s="22"/>
      <c r="D187" s="25">
        <f t="shared" si="29"/>
        <v>0</v>
      </c>
      <c r="E187" s="22">
        <v>0</v>
      </c>
      <c r="F187" s="25">
        <f t="shared" si="30"/>
        <v>0</v>
      </c>
      <c r="G187" s="22">
        <v>0</v>
      </c>
      <c r="H187" s="25">
        <f t="shared" si="31"/>
        <v>0</v>
      </c>
    </row>
    <row r="188" spans="1:8" ht="14.25" customHeight="1">
      <c r="A188" s="15"/>
      <c r="B188" s="24" t="s">
        <v>8</v>
      </c>
      <c r="C188" s="22">
        <f>19216-J188</f>
        <v>19216</v>
      </c>
      <c r="D188" s="25">
        <f t="shared" si="29"/>
        <v>262036389.84</v>
      </c>
      <c r="E188" s="22">
        <f>19646-K188</f>
        <v>19646</v>
      </c>
      <c r="F188" s="25">
        <f t="shared" si="30"/>
        <v>267900026.78999999</v>
      </c>
      <c r="G188" s="22">
        <f>7235-L188</f>
        <v>7235</v>
      </c>
      <c r="H188" s="25">
        <f t="shared" si="31"/>
        <v>394636330.75</v>
      </c>
    </row>
    <row r="189" spans="1:8" ht="14.25" customHeight="1">
      <c r="A189" s="15"/>
      <c r="B189" s="24" t="s">
        <v>9</v>
      </c>
      <c r="C189" s="22">
        <f>11221-J189</f>
        <v>11221</v>
      </c>
      <c r="D189" s="25">
        <f t="shared" si="29"/>
        <v>153013651.66499999</v>
      </c>
      <c r="E189" s="22">
        <f>11256-K189</f>
        <v>11256</v>
      </c>
      <c r="F189" s="25">
        <f t="shared" si="30"/>
        <v>153490924.44</v>
      </c>
      <c r="G189" s="22">
        <f>3912-L189</f>
        <v>3912</v>
      </c>
      <c r="H189" s="25">
        <f t="shared" si="31"/>
        <v>213381800.39999998</v>
      </c>
    </row>
    <row r="190" spans="1:8" ht="14.25" customHeight="1">
      <c r="A190" s="15"/>
      <c r="B190" s="24" t="s">
        <v>24</v>
      </c>
      <c r="C190" s="22"/>
      <c r="D190" s="25">
        <f t="shared" si="29"/>
        <v>0</v>
      </c>
      <c r="E190" s="22"/>
      <c r="F190" s="25">
        <f t="shared" si="30"/>
        <v>0</v>
      </c>
      <c r="G190" s="22">
        <v>0</v>
      </c>
      <c r="H190" s="25">
        <f t="shared" si="31"/>
        <v>0</v>
      </c>
    </row>
    <row r="191" spans="1:8" ht="14.25" customHeight="1">
      <c r="A191" s="15"/>
      <c r="B191" s="24" t="s">
        <v>25</v>
      </c>
      <c r="C191" s="22"/>
      <c r="D191" s="25">
        <f t="shared" si="29"/>
        <v>0</v>
      </c>
      <c r="E191" s="22"/>
      <c r="F191" s="25">
        <f t="shared" si="30"/>
        <v>0</v>
      </c>
      <c r="G191" s="22">
        <v>0</v>
      </c>
      <c r="H191" s="25">
        <f t="shared" si="31"/>
        <v>0</v>
      </c>
    </row>
    <row r="192" spans="1:8" ht="14.25" customHeight="1">
      <c r="A192" s="15"/>
      <c r="B192" s="24" t="s">
        <v>10</v>
      </c>
      <c r="C192" s="22">
        <f>9698-J192</f>
        <v>9698</v>
      </c>
      <c r="D192" s="25">
        <f t="shared" si="29"/>
        <v>132245467.77</v>
      </c>
      <c r="E192" s="22">
        <f>9624-K192</f>
        <v>9624</v>
      </c>
      <c r="F192" s="25">
        <f t="shared" si="30"/>
        <v>131236376.75999999</v>
      </c>
      <c r="G192" s="22">
        <f>2699-L192</f>
        <v>2699</v>
      </c>
      <c r="H192" s="25">
        <f t="shared" si="31"/>
        <v>147218169.54999998</v>
      </c>
    </row>
    <row r="193" spans="1:8" ht="14.25" customHeight="1">
      <c r="A193" s="15"/>
      <c r="B193" s="24" t="s">
        <v>12</v>
      </c>
      <c r="C193" s="22">
        <f>10505-J193</f>
        <v>10505</v>
      </c>
      <c r="D193" s="25">
        <f t="shared" si="29"/>
        <v>143250014.32499999</v>
      </c>
      <c r="E193" s="22">
        <f>10402-K193</f>
        <v>10402</v>
      </c>
      <c r="F193" s="25">
        <f t="shared" si="30"/>
        <v>141845468.72999999</v>
      </c>
      <c r="G193" s="22">
        <f>2736-L193</f>
        <v>2736</v>
      </c>
      <c r="H193" s="25">
        <f t="shared" si="31"/>
        <v>149236351.19999999</v>
      </c>
    </row>
    <row r="194" spans="1:8" ht="14.25" customHeight="1">
      <c r="A194" s="15"/>
      <c r="B194" s="24" t="s">
        <v>13</v>
      </c>
      <c r="C194" s="22">
        <f>15914-J194</f>
        <v>15914</v>
      </c>
      <c r="D194" s="25">
        <f t="shared" si="29"/>
        <v>217009112.60999998</v>
      </c>
      <c r="E194" s="22">
        <f>15164-K194</f>
        <v>15164</v>
      </c>
      <c r="F194" s="25">
        <f t="shared" si="30"/>
        <v>206781838.85999998</v>
      </c>
      <c r="G194" s="22">
        <f>4287-L194</f>
        <v>4287</v>
      </c>
      <c r="H194" s="25">
        <f t="shared" si="31"/>
        <v>233836344.14999998</v>
      </c>
    </row>
    <row r="195" spans="1:8" ht="14.25" customHeight="1">
      <c r="A195" s="18"/>
      <c r="B195" s="29" t="s">
        <v>14</v>
      </c>
      <c r="C195" s="17">
        <f t="shared" ref="C195:H195" si="32">SUM(C182:C194)</f>
        <v>97165</v>
      </c>
      <c r="D195" s="17">
        <f t="shared" si="32"/>
        <v>1324977405.2249997</v>
      </c>
      <c r="E195" s="17">
        <f t="shared" si="32"/>
        <v>95566</v>
      </c>
      <c r="F195" s="17">
        <f t="shared" si="32"/>
        <v>1303172857.5899999</v>
      </c>
      <c r="G195" s="17">
        <f t="shared" si="32"/>
        <v>28985</v>
      </c>
      <c r="H195" s="17">
        <f t="shared" si="32"/>
        <v>1580999868.25</v>
      </c>
    </row>
    <row r="196" spans="1:8" ht="14.25" customHeight="1">
      <c r="A196" s="18"/>
      <c r="B196" s="18"/>
      <c r="C196" s="2"/>
      <c r="E196" s="2"/>
      <c r="G196" s="2"/>
    </row>
    <row r="197" spans="1:8" ht="14.25" customHeight="1">
      <c r="A197" s="18"/>
      <c r="B197" s="18"/>
      <c r="C197" s="2"/>
      <c r="E197" s="2"/>
      <c r="G197" s="2"/>
    </row>
    <row r="198" spans="1:8" ht="14.25" customHeight="1" thickBot="1">
      <c r="A198" s="18"/>
      <c r="B198" s="18"/>
      <c r="C198" s="2"/>
      <c r="E198" s="2"/>
      <c r="G198" s="2"/>
    </row>
    <row r="199" spans="1:8" ht="14.25" customHeight="1" thickBot="1">
      <c r="A199" s="18"/>
      <c r="B199" s="18"/>
      <c r="C199" s="47" t="s">
        <v>17</v>
      </c>
      <c r="D199" s="48"/>
      <c r="E199" s="48"/>
      <c r="F199" s="48"/>
      <c r="G199" s="48"/>
      <c r="H199" s="48"/>
    </row>
    <row r="200" spans="1:8" ht="45">
      <c r="A200" s="7" t="s">
        <v>1</v>
      </c>
      <c r="B200" s="19"/>
      <c r="C200" s="20" t="s">
        <v>18</v>
      </c>
      <c r="D200" s="21"/>
      <c r="E200" s="20" t="s">
        <v>19</v>
      </c>
      <c r="F200" s="21"/>
      <c r="G200" s="20" t="s">
        <v>20</v>
      </c>
      <c r="H200" s="21"/>
    </row>
    <row r="201" spans="1:8" ht="14.25" customHeight="1" thickBot="1">
      <c r="A201" s="7"/>
      <c r="B201" s="9" t="s">
        <v>4</v>
      </c>
      <c r="C201" s="22" t="s">
        <v>16</v>
      </c>
      <c r="D201" s="23" t="s">
        <v>37</v>
      </c>
      <c r="E201" s="22" t="s">
        <v>16</v>
      </c>
      <c r="F201" s="23" t="s">
        <v>37</v>
      </c>
      <c r="G201" s="22" t="s">
        <v>16</v>
      </c>
      <c r="H201" s="23" t="s">
        <v>37</v>
      </c>
    </row>
    <row r="202" spans="1:8" ht="14.25" customHeight="1">
      <c r="A202" s="11">
        <v>43794</v>
      </c>
      <c r="B202" s="24" t="s">
        <v>5</v>
      </c>
      <c r="C202" s="22">
        <v>0</v>
      </c>
      <c r="D202" s="25">
        <v>0</v>
      </c>
      <c r="E202" s="22">
        <v>0</v>
      </c>
      <c r="F202" s="25">
        <v>0</v>
      </c>
      <c r="G202" s="22"/>
      <c r="H202" s="25">
        <v>0</v>
      </c>
    </row>
    <row r="203" spans="1:8" ht="14.25" customHeight="1">
      <c r="A203" s="15"/>
      <c r="B203" s="24" t="s">
        <v>11</v>
      </c>
      <c r="C203" s="22">
        <v>0</v>
      </c>
      <c r="D203" s="25">
        <v>0</v>
      </c>
      <c r="E203" s="22">
        <v>0</v>
      </c>
      <c r="F203" s="25">
        <v>0</v>
      </c>
      <c r="G203" s="22"/>
      <c r="H203" s="25">
        <v>0</v>
      </c>
    </row>
    <row r="204" spans="1:8" ht="14.25" customHeight="1">
      <c r="A204" s="15"/>
      <c r="B204" s="24" t="s">
        <v>21</v>
      </c>
      <c r="C204" s="22">
        <v>542</v>
      </c>
      <c r="D204" s="25">
        <v>7390909.8300000001</v>
      </c>
      <c r="E204" s="22">
        <v>485</v>
      </c>
      <c r="F204" s="25">
        <v>6613637.0249999994</v>
      </c>
      <c r="G204" s="22">
        <v>83</v>
      </c>
      <c r="H204" s="25">
        <v>4527272.3499999996</v>
      </c>
    </row>
    <row r="205" spans="1:8" ht="14.25" customHeight="1">
      <c r="A205" s="15"/>
      <c r="B205" s="24" t="s">
        <v>6</v>
      </c>
      <c r="C205" s="22">
        <v>0</v>
      </c>
      <c r="D205" s="25">
        <v>0</v>
      </c>
      <c r="E205" s="22">
        <v>0</v>
      </c>
      <c r="F205" s="25">
        <v>0</v>
      </c>
      <c r="G205" s="22"/>
      <c r="H205" s="25">
        <v>0</v>
      </c>
    </row>
    <row r="206" spans="1:8" ht="14.25" customHeight="1">
      <c r="A206" s="15"/>
      <c r="B206" s="24" t="s">
        <v>7</v>
      </c>
      <c r="C206" s="22">
        <v>0</v>
      </c>
      <c r="D206" s="25">
        <v>0</v>
      </c>
      <c r="E206" s="22">
        <v>0</v>
      </c>
      <c r="F206" s="25">
        <v>0</v>
      </c>
      <c r="G206" s="22"/>
      <c r="H206" s="25">
        <v>0</v>
      </c>
    </row>
    <row r="207" spans="1:8" ht="14.25" customHeight="1">
      <c r="A207" s="15"/>
      <c r="B207" s="24" t="s">
        <v>23</v>
      </c>
      <c r="C207" s="22">
        <v>519</v>
      </c>
      <c r="D207" s="25">
        <v>7077273.4349999996</v>
      </c>
      <c r="E207" s="22">
        <v>523</v>
      </c>
      <c r="F207" s="25">
        <v>7131818.8949999996</v>
      </c>
      <c r="G207" s="22">
        <v>63</v>
      </c>
      <c r="H207" s="25">
        <v>3436363.3499999996</v>
      </c>
    </row>
    <row r="208" spans="1:8" ht="14.25" customHeight="1">
      <c r="A208" s="15"/>
      <c r="B208" s="24" t="s">
        <v>8</v>
      </c>
      <c r="C208" s="22">
        <v>710</v>
      </c>
      <c r="D208" s="25">
        <v>9681819.1500000004</v>
      </c>
      <c r="E208" s="22">
        <v>991</v>
      </c>
      <c r="F208" s="25">
        <v>13513637.715</v>
      </c>
      <c r="G208" s="22">
        <v>48</v>
      </c>
      <c r="H208" s="25">
        <v>2618181.5999999996</v>
      </c>
    </row>
    <row r="209" spans="1:8" ht="14.25" customHeight="1">
      <c r="A209" s="15"/>
      <c r="B209" s="24" t="s">
        <v>9</v>
      </c>
      <c r="C209" s="22">
        <v>819</v>
      </c>
      <c r="D209" s="25">
        <v>11168182.935000001</v>
      </c>
      <c r="E209" s="22">
        <v>681</v>
      </c>
      <c r="F209" s="25">
        <v>9286364.5649999995</v>
      </c>
      <c r="G209" s="22">
        <v>46</v>
      </c>
      <c r="H209" s="25">
        <v>2509090.6999999997</v>
      </c>
    </row>
    <row r="210" spans="1:8" ht="14.25" customHeight="1">
      <c r="A210" s="15"/>
      <c r="B210" s="24" t="s">
        <v>24</v>
      </c>
      <c r="C210" s="22">
        <v>216</v>
      </c>
      <c r="D210" s="25">
        <v>2945454.84</v>
      </c>
      <c r="E210" s="22">
        <v>241</v>
      </c>
      <c r="F210" s="25">
        <v>3286363.9649999999</v>
      </c>
      <c r="G210" s="22">
        <v>84</v>
      </c>
      <c r="H210" s="25">
        <v>4581817.8</v>
      </c>
    </row>
    <row r="211" spans="1:8" ht="14.25" customHeight="1">
      <c r="A211" s="15"/>
      <c r="B211" s="24" t="s">
        <v>25</v>
      </c>
      <c r="C211" s="22">
        <v>239</v>
      </c>
      <c r="D211" s="25">
        <v>3259091.2349999999</v>
      </c>
      <c r="E211" s="22">
        <v>263</v>
      </c>
      <c r="F211" s="25">
        <v>3586363.9950000001</v>
      </c>
      <c r="G211" s="22">
        <v>125</v>
      </c>
      <c r="H211" s="25">
        <v>6818181.25</v>
      </c>
    </row>
    <row r="212" spans="1:8" ht="14.25" customHeight="1">
      <c r="A212" s="15"/>
      <c r="B212" s="24" t="s">
        <v>10</v>
      </c>
      <c r="C212" s="22">
        <v>819</v>
      </c>
      <c r="D212" s="25">
        <v>11168182.935000001</v>
      </c>
      <c r="E212" s="22">
        <v>5138</v>
      </c>
      <c r="F212" s="25">
        <v>70063643.370000005</v>
      </c>
      <c r="G212" s="22">
        <v>53</v>
      </c>
      <c r="H212" s="25">
        <v>2890908.8499999996</v>
      </c>
    </row>
    <row r="213" spans="1:8" ht="14.25" customHeight="1">
      <c r="A213" s="15"/>
      <c r="B213" s="24" t="s">
        <v>12</v>
      </c>
      <c r="C213" s="22">
        <v>207</v>
      </c>
      <c r="D213" s="25">
        <v>2822727.5550000002</v>
      </c>
      <c r="E213" s="22">
        <v>180</v>
      </c>
      <c r="F213" s="25">
        <v>2454545.7000000002</v>
      </c>
      <c r="G213" s="22">
        <v>31</v>
      </c>
      <c r="H213" s="25">
        <v>1690908.95</v>
      </c>
    </row>
    <row r="214" spans="1:8" ht="14.25" customHeight="1">
      <c r="A214" s="15"/>
      <c r="B214" s="24" t="s">
        <v>13</v>
      </c>
      <c r="C214" s="22">
        <v>808</v>
      </c>
      <c r="D214" s="25">
        <v>11018182.92</v>
      </c>
      <c r="E214" s="22">
        <v>751</v>
      </c>
      <c r="F214" s="25">
        <v>10240910.115</v>
      </c>
      <c r="G214" s="22">
        <v>23</v>
      </c>
      <c r="H214" s="25">
        <v>1254545.3499999999</v>
      </c>
    </row>
    <row r="215" spans="1:8" ht="14.25" customHeight="1">
      <c r="A215" s="18"/>
      <c r="B215" s="29" t="s">
        <v>14</v>
      </c>
      <c r="C215" s="17">
        <f t="shared" ref="C215:H215" si="33">SUM(C202:C214)</f>
        <v>4879</v>
      </c>
      <c r="D215" s="17">
        <f t="shared" si="33"/>
        <v>66531824.835000001</v>
      </c>
      <c r="E215" s="17">
        <f t="shared" si="33"/>
        <v>9253</v>
      </c>
      <c r="F215" s="17">
        <f t="shared" si="33"/>
        <v>126177285.345</v>
      </c>
      <c r="G215" s="17">
        <f t="shared" si="33"/>
        <v>556</v>
      </c>
      <c r="H215" s="17">
        <f t="shared" si="33"/>
        <v>30327270.199999999</v>
      </c>
    </row>
    <row r="216" spans="1:8" ht="14.25" customHeight="1">
      <c r="A216" s="18"/>
      <c r="B216" s="18"/>
      <c r="C216" s="2"/>
      <c r="E216" s="2"/>
      <c r="G216" s="2"/>
    </row>
    <row r="217" spans="1:8" ht="14.25" customHeight="1" thickBot="1">
      <c r="A217" s="18"/>
      <c r="B217" s="18"/>
      <c r="C217" s="2"/>
      <c r="E217" s="2"/>
      <c r="G217" s="2"/>
    </row>
    <row r="218" spans="1:8" ht="14.25" customHeight="1" thickBot="1">
      <c r="A218" s="18"/>
      <c r="B218" s="18"/>
      <c r="C218" s="47" t="s">
        <v>22</v>
      </c>
      <c r="D218" s="48"/>
      <c r="E218" s="48"/>
      <c r="F218" s="48"/>
      <c r="G218" s="48"/>
      <c r="H218" s="48"/>
    </row>
    <row r="219" spans="1:8" ht="33.75">
      <c r="A219" s="7" t="s">
        <v>1</v>
      </c>
      <c r="B219" s="19"/>
      <c r="C219" s="20" t="s">
        <v>2</v>
      </c>
      <c r="D219" s="21"/>
      <c r="E219" s="20" t="s">
        <v>15</v>
      </c>
      <c r="F219" s="21"/>
      <c r="G219" s="20" t="s">
        <v>3</v>
      </c>
      <c r="H219" s="21"/>
    </row>
    <row r="220" spans="1:8" ht="14.25" customHeight="1" thickBot="1">
      <c r="A220" s="7"/>
      <c r="B220" s="9" t="s">
        <v>4</v>
      </c>
      <c r="C220" s="22" t="s">
        <v>16</v>
      </c>
      <c r="D220" s="23" t="s">
        <v>37</v>
      </c>
      <c r="E220" s="22" t="s">
        <v>16</v>
      </c>
      <c r="F220" s="23" t="s">
        <v>37</v>
      </c>
      <c r="G220" s="22" t="s">
        <v>16</v>
      </c>
      <c r="H220" s="23" t="s">
        <v>37</v>
      </c>
    </row>
    <row r="221" spans="1:8" ht="14.25" customHeight="1">
      <c r="A221" s="11">
        <v>43807</v>
      </c>
      <c r="B221" s="24" t="s">
        <v>5</v>
      </c>
      <c r="C221" s="22">
        <v>0</v>
      </c>
      <c r="D221" s="25">
        <f t="shared" ref="D221:D230" si="34">IFERROR(C221*13636.365,0)</f>
        <v>0</v>
      </c>
      <c r="E221" s="22">
        <v>0</v>
      </c>
      <c r="F221" s="25">
        <f t="shared" ref="F221:F230" si="35">IFERROR(E221*13636.365,0)</f>
        <v>0</v>
      </c>
      <c r="G221" s="22">
        <v>0</v>
      </c>
      <c r="H221" s="25">
        <v>0</v>
      </c>
    </row>
    <row r="222" spans="1:8" ht="14.25" customHeight="1">
      <c r="A222" s="15"/>
      <c r="B222" s="24" t="s">
        <v>11</v>
      </c>
      <c r="C222" s="22">
        <v>0</v>
      </c>
      <c r="D222" s="25">
        <f t="shared" si="34"/>
        <v>0</v>
      </c>
      <c r="E222" s="22">
        <v>0</v>
      </c>
      <c r="F222" s="25">
        <f t="shared" si="35"/>
        <v>0</v>
      </c>
      <c r="G222" s="22">
        <v>0</v>
      </c>
      <c r="H222">
        <v>0</v>
      </c>
    </row>
    <row r="223" spans="1:8" ht="14.25" customHeight="1">
      <c r="A223" s="15"/>
      <c r="B223" s="24" t="s">
        <v>6</v>
      </c>
      <c r="C223" s="22">
        <v>70</v>
      </c>
      <c r="D223" s="25">
        <f t="shared" si="34"/>
        <v>954545.54999999993</v>
      </c>
      <c r="E223" s="22">
        <v>79</v>
      </c>
      <c r="F223" s="25">
        <f t="shared" si="35"/>
        <v>1077272.835</v>
      </c>
      <c r="G223" s="22">
        <v>84</v>
      </c>
      <c r="H223">
        <v>4581817.8</v>
      </c>
    </row>
    <row r="224" spans="1:8" ht="14.25" customHeight="1">
      <c r="A224" s="15"/>
      <c r="B224" s="24" t="s">
        <v>7</v>
      </c>
      <c r="C224" s="22">
        <v>99</v>
      </c>
      <c r="D224" s="25">
        <f t="shared" si="34"/>
        <v>1350000.135</v>
      </c>
      <c r="E224" s="22">
        <v>92</v>
      </c>
      <c r="F224" s="25">
        <f t="shared" si="35"/>
        <v>1254545.58</v>
      </c>
      <c r="G224" s="22">
        <v>95</v>
      </c>
      <c r="H224">
        <v>5181817.75</v>
      </c>
    </row>
    <row r="225" spans="1:8" ht="14.25" customHeight="1">
      <c r="A225" s="15"/>
      <c r="B225" s="24" t="s">
        <v>8</v>
      </c>
      <c r="C225" s="22">
        <v>195</v>
      </c>
      <c r="D225" s="25">
        <f t="shared" si="34"/>
        <v>2659091.1749999998</v>
      </c>
      <c r="E225" s="22">
        <v>297</v>
      </c>
      <c r="F225" s="25">
        <f t="shared" si="35"/>
        <v>4050000.4049999998</v>
      </c>
      <c r="G225" s="22">
        <v>251</v>
      </c>
      <c r="H225">
        <v>13690907.949999999</v>
      </c>
    </row>
    <row r="226" spans="1:8" ht="14.25" customHeight="1">
      <c r="A226" s="15"/>
      <c r="B226" s="24" t="s">
        <v>9</v>
      </c>
      <c r="C226" s="22">
        <v>49</v>
      </c>
      <c r="D226" s="25">
        <f t="shared" si="34"/>
        <v>668181.88500000001</v>
      </c>
      <c r="E226" s="22">
        <v>11</v>
      </c>
      <c r="F226" s="25">
        <f t="shared" si="35"/>
        <v>150000.01499999998</v>
      </c>
      <c r="G226" s="22">
        <v>39</v>
      </c>
      <c r="H226">
        <v>2127272.5499999998</v>
      </c>
    </row>
    <row r="227" spans="1:8" ht="14.25" customHeight="1">
      <c r="A227" s="15"/>
      <c r="B227" s="24" t="s">
        <v>28</v>
      </c>
      <c r="C227" s="22">
        <v>23</v>
      </c>
      <c r="D227" s="25">
        <f t="shared" si="34"/>
        <v>313636.39500000002</v>
      </c>
      <c r="E227" s="22">
        <v>21</v>
      </c>
      <c r="F227" s="25">
        <f t="shared" si="35"/>
        <v>286363.66499999998</v>
      </c>
      <c r="G227" s="22">
        <v>21</v>
      </c>
      <c r="H227">
        <v>1145454.45</v>
      </c>
    </row>
    <row r="228" spans="1:8" ht="14.25" customHeight="1">
      <c r="A228" s="15"/>
      <c r="B228" s="24" t="s">
        <v>10</v>
      </c>
      <c r="C228" s="22">
        <v>62</v>
      </c>
      <c r="D228" s="25">
        <f t="shared" si="34"/>
        <v>845454.63</v>
      </c>
      <c r="E228" s="22">
        <v>43</v>
      </c>
      <c r="F228" s="25">
        <f t="shared" si="35"/>
        <v>586363.69499999995</v>
      </c>
      <c r="G228" s="22">
        <v>62</v>
      </c>
      <c r="H228">
        <v>3381817.9</v>
      </c>
    </row>
    <row r="229" spans="1:8" ht="14.25" customHeight="1">
      <c r="A229" s="15"/>
      <c r="B229" s="24" t="s">
        <v>12</v>
      </c>
      <c r="C229" s="22">
        <v>40</v>
      </c>
      <c r="D229" s="25">
        <f t="shared" si="34"/>
        <v>545454.6</v>
      </c>
      <c r="E229" s="22">
        <v>46</v>
      </c>
      <c r="F229" s="25">
        <f t="shared" si="35"/>
        <v>627272.79</v>
      </c>
      <c r="G229" s="22">
        <v>31</v>
      </c>
      <c r="H229">
        <v>1690908.95</v>
      </c>
    </row>
    <row r="230" spans="1:8" ht="14.25" customHeight="1">
      <c r="A230" s="15"/>
      <c r="B230" s="24" t="s">
        <v>13</v>
      </c>
      <c r="C230" s="22">
        <v>32</v>
      </c>
      <c r="D230" s="25">
        <f t="shared" si="34"/>
        <v>436363.68</v>
      </c>
      <c r="E230" s="22">
        <v>15226</v>
      </c>
      <c r="F230" s="25">
        <f t="shared" si="35"/>
        <v>207627293.49000001</v>
      </c>
      <c r="G230" s="22">
        <v>41</v>
      </c>
      <c r="H230">
        <v>2236363.4500000002</v>
      </c>
    </row>
    <row r="231" spans="1:8" ht="14.25" customHeight="1">
      <c r="A231" s="15"/>
      <c r="B231" s="29" t="s">
        <v>14</v>
      </c>
      <c r="C231" s="17">
        <f t="shared" ref="C231:H231" si="36">SUM(C221:C230)</f>
        <v>570</v>
      </c>
      <c r="D231" s="17">
        <f t="shared" si="36"/>
        <v>7772728.049999998</v>
      </c>
      <c r="E231" s="17">
        <f t="shared" si="36"/>
        <v>15815</v>
      </c>
      <c r="F231" s="17">
        <f t="shared" si="36"/>
        <v>215659112.47500002</v>
      </c>
      <c r="G231" s="17">
        <f t="shared" si="36"/>
        <v>624</v>
      </c>
      <c r="H231" s="17">
        <f t="shared" si="36"/>
        <v>34036360.799999997</v>
      </c>
    </row>
    <row r="232" spans="1:8" ht="14.25" customHeight="1">
      <c r="A232" s="18"/>
      <c r="B232" s="18"/>
      <c r="C232" s="2"/>
      <c r="E232" s="2"/>
      <c r="G232" s="2"/>
    </row>
    <row r="233" spans="1:8" ht="14.25" customHeight="1" thickBot="1">
      <c r="A233" s="18"/>
      <c r="B233" s="18"/>
      <c r="C233" s="2"/>
      <c r="E233" s="2"/>
      <c r="G233" s="2"/>
    </row>
    <row r="234" spans="1:8" ht="14.25" customHeight="1" thickBot="1">
      <c r="A234" s="18"/>
      <c r="B234" s="18"/>
      <c r="C234" s="47" t="s">
        <v>17</v>
      </c>
      <c r="D234" s="48"/>
      <c r="E234" s="48"/>
      <c r="F234" s="48"/>
      <c r="G234" s="48"/>
      <c r="H234" s="48"/>
    </row>
    <row r="235" spans="1:8" ht="45">
      <c r="A235" s="7" t="s">
        <v>1</v>
      </c>
      <c r="B235" s="19"/>
      <c r="C235" s="20" t="s">
        <v>18</v>
      </c>
      <c r="D235" s="21"/>
      <c r="E235" s="20" t="s">
        <v>19</v>
      </c>
      <c r="F235" s="21"/>
      <c r="G235" s="20" t="s">
        <v>20</v>
      </c>
      <c r="H235" s="21"/>
    </row>
    <row r="236" spans="1:8" ht="14.25" customHeight="1" thickBot="1">
      <c r="A236" s="7"/>
      <c r="B236" s="9" t="s">
        <v>4</v>
      </c>
      <c r="C236" s="22" t="s">
        <v>16</v>
      </c>
      <c r="D236" s="23" t="s">
        <v>37</v>
      </c>
      <c r="E236" s="22" t="s">
        <v>16</v>
      </c>
      <c r="F236" s="23" t="s">
        <v>37</v>
      </c>
      <c r="G236" s="22" t="s">
        <v>16</v>
      </c>
      <c r="H236" s="23" t="s">
        <v>37</v>
      </c>
    </row>
    <row r="237" spans="1:8" ht="14.25" customHeight="1">
      <c r="A237" s="11">
        <v>43807</v>
      </c>
      <c r="B237" s="24" t="s">
        <v>21</v>
      </c>
      <c r="C237" s="22">
        <v>1019</v>
      </c>
      <c r="D237" s="25">
        <v>13895455.935000001</v>
      </c>
      <c r="E237" s="22">
        <v>943</v>
      </c>
      <c r="F237" s="25">
        <v>12859092.195</v>
      </c>
      <c r="G237" s="22">
        <v>98</v>
      </c>
      <c r="H237" s="25">
        <v>5345454.0999999996</v>
      </c>
    </row>
    <row r="238" spans="1:8" ht="14.25" customHeight="1">
      <c r="A238" s="15"/>
      <c r="B238" s="24" t="s">
        <v>23</v>
      </c>
      <c r="C238" s="22">
        <v>900</v>
      </c>
      <c r="D238" s="25">
        <v>12272728.5</v>
      </c>
      <c r="E238" s="22">
        <v>895</v>
      </c>
      <c r="F238" s="25">
        <v>12204546.674999999</v>
      </c>
      <c r="G238" s="22">
        <v>108</v>
      </c>
      <c r="H238" s="25">
        <v>5890908.5999999996</v>
      </c>
    </row>
    <row r="239" spans="1:8" ht="14.25" customHeight="1">
      <c r="A239" s="15"/>
      <c r="B239" s="24" t="s">
        <v>8</v>
      </c>
      <c r="C239" s="22">
        <v>935</v>
      </c>
      <c r="D239" s="25">
        <v>12750001.275</v>
      </c>
      <c r="E239" s="22">
        <v>1196</v>
      </c>
      <c r="F239" s="25">
        <v>16309092.539999999</v>
      </c>
      <c r="G239" s="22">
        <v>60</v>
      </c>
      <c r="H239" s="25">
        <v>3272727</v>
      </c>
    </row>
    <row r="240" spans="1:8" ht="14.25" customHeight="1">
      <c r="A240" s="15"/>
      <c r="B240" s="24" t="s">
        <v>9</v>
      </c>
      <c r="C240" s="22">
        <v>873</v>
      </c>
      <c r="D240" s="25">
        <v>11904546.645</v>
      </c>
      <c r="E240" s="22">
        <v>1277</v>
      </c>
      <c r="F240" s="25">
        <v>17413638.105</v>
      </c>
      <c r="G240" s="22">
        <v>58</v>
      </c>
      <c r="H240" s="25">
        <v>3163636.0999999996</v>
      </c>
    </row>
    <row r="241" spans="1:8" ht="14.25" customHeight="1">
      <c r="A241" s="15"/>
      <c r="B241" s="24" t="s">
        <v>28</v>
      </c>
      <c r="C241" s="22">
        <v>543</v>
      </c>
      <c r="D241" s="25">
        <v>7404546.1950000003</v>
      </c>
      <c r="E241" s="22">
        <v>625</v>
      </c>
      <c r="F241" s="25">
        <v>8522728.125</v>
      </c>
      <c r="G241" s="22">
        <v>135</v>
      </c>
      <c r="H241" s="25">
        <v>7363635.75</v>
      </c>
    </row>
    <row r="242" spans="1:8" ht="14.25" customHeight="1">
      <c r="A242" s="15"/>
      <c r="B242" s="24" t="s">
        <v>24</v>
      </c>
      <c r="C242" s="22">
        <v>371</v>
      </c>
      <c r="D242" s="25">
        <v>5059091.415</v>
      </c>
      <c r="E242" s="22">
        <v>378</v>
      </c>
      <c r="F242" s="25">
        <v>5154545.97</v>
      </c>
      <c r="G242" s="22">
        <v>93</v>
      </c>
      <c r="H242" s="25">
        <v>5072726.8499999996</v>
      </c>
    </row>
    <row r="243" spans="1:8" ht="14.25" customHeight="1">
      <c r="A243" s="15"/>
      <c r="B243" s="24" t="s">
        <v>25</v>
      </c>
      <c r="C243" s="22">
        <v>1097</v>
      </c>
      <c r="D243" s="25">
        <v>14959092.404999999</v>
      </c>
      <c r="E243" s="22">
        <v>402</v>
      </c>
      <c r="F243" s="25">
        <v>5481818.7299999995</v>
      </c>
      <c r="G243" s="22">
        <v>166</v>
      </c>
      <c r="H243" s="25">
        <v>9054544.6999999993</v>
      </c>
    </row>
    <row r="244" spans="1:8" ht="14.25" customHeight="1">
      <c r="A244" s="15"/>
      <c r="B244" s="24" t="s">
        <v>10</v>
      </c>
      <c r="C244" s="22">
        <v>1011</v>
      </c>
      <c r="D244" s="25">
        <v>13786365.015000001</v>
      </c>
      <c r="E244" s="22">
        <v>1166</v>
      </c>
      <c r="F244" s="25">
        <v>15900001.59</v>
      </c>
      <c r="G244" s="22">
        <v>81</v>
      </c>
      <c r="H244" s="25">
        <v>4418181.45</v>
      </c>
    </row>
    <row r="245" spans="1:8" ht="14.25" customHeight="1">
      <c r="A245" s="15"/>
      <c r="B245" s="24" t="s">
        <v>12</v>
      </c>
      <c r="C245" s="22">
        <v>425</v>
      </c>
      <c r="D245" s="25">
        <v>5795455.125</v>
      </c>
      <c r="E245" s="22">
        <v>366</v>
      </c>
      <c r="F245" s="25">
        <v>4990909.59</v>
      </c>
      <c r="G245" s="22">
        <v>29</v>
      </c>
      <c r="H245" s="25">
        <v>1581818.0499999998</v>
      </c>
    </row>
    <row r="246" spans="1:8" ht="14.25" customHeight="1">
      <c r="A246" s="15"/>
      <c r="B246" s="24" t="s">
        <v>13</v>
      </c>
      <c r="C246" s="22">
        <v>1341</v>
      </c>
      <c r="D246" s="25">
        <v>18286365.465</v>
      </c>
      <c r="E246" s="22">
        <v>1143</v>
      </c>
      <c r="F246" s="25">
        <v>15586365.195</v>
      </c>
      <c r="G246" s="22">
        <v>61</v>
      </c>
      <c r="H246" s="25">
        <v>3327272.4499999997</v>
      </c>
    </row>
    <row r="247" spans="1:8" ht="14.25" customHeight="1">
      <c r="A247" s="15"/>
      <c r="B247" s="29" t="s">
        <v>14</v>
      </c>
      <c r="C247" s="17">
        <f t="shared" ref="C247:H247" si="37">SUM(C237:C246)</f>
        <v>8515</v>
      </c>
      <c r="D247" s="17">
        <f t="shared" si="37"/>
        <v>116113647.97500001</v>
      </c>
      <c r="E247" s="17">
        <f t="shared" si="37"/>
        <v>8391</v>
      </c>
      <c r="F247" s="17">
        <f t="shared" si="37"/>
        <v>114422738.715</v>
      </c>
      <c r="G247" s="17">
        <f t="shared" si="37"/>
        <v>889</v>
      </c>
      <c r="H247" s="17">
        <f t="shared" si="37"/>
        <v>48490905.049999997</v>
      </c>
    </row>
    <row r="248" spans="1:8" ht="14.25" customHeight="1">
      <c r="A248" s="18"/>
      <c r="B248" s="18"/>
      <c r="C248" s="2"/>
      <c r="E248" s="2"/>
      <c r="G248" s="2"/>
    </row>
    <row r="249" spans="1:8" ht="14.25" customHeight="1">
      <c r="A249" s="18"/>
      <c r="B249" s="18"/>
      <c r="C249" s="2"/>
      <c r="E249" s="2"/>
      <c r="G249" s="2"/>
    </row>
    <row r="250" spans="1:8" ht="14.25" customHeight="1">
      <c r="A250" s="18"/>
      <c r="B250" s="18"/>
      <c r="C250" s="2"/>
      <c r="E250" s="2"/>
      <c r="G250" s="2"/>
    </row>
    <row r="251" spans="1:8" ht="14.25" customHeight="1">
      <c r="A251" s="18"/>
      <c r="B251" s="18"/>
      <c r="C251" s="2"/>
      <c r="E251" s="2"/>
      <c r="G251" s="2"/>
    </row>
    <row r="252" spans="1:8" ht="14.25" customHeight="1">
      <c r="A252" s="18"/>
      <c r="B252" s="18"/>
      <c r="C252" s="2"/>
      <c r="E252" s="2"/>
      <c r="G252" s="2"/>
    </row>
    <row r="253" spans="1:8" ht="14.25" customHeight="1">
      <c r="A253" s="18"/>
      <c r="B253" s="18"/>
      <c r="C253" s="2"/>
      <c r="E253" s="2"/>
      <c r="G253" s="2"/>
    </row>
    <row r="254" spans="1:8" ht="14.25" customHeight="1" thickBot="1">
      <c r="A254" s="18"/>
      <c r="B254" s="18"/>
      <c r="C254" s="2"/>
      <c r="E254" s="2"/>
      <c r="G254" s="2"/>
    </row>
    <row r="255" spans="1:8" ht="14.25" customHeight="1" thickBot="1">
      <c r="A255" s="18"/>
      <c r="B255" s="18"/>
      <c r="C255" s="47" t="s">
        <v>22</v>
      </c>
      <c r="D255" s="48"/>
      <c r="E255" s="48"/>
      <c r="F255" s="48"/>
      <c r="G255" s="48"/>
      <c r="H255" s="48"/>
    </row>
    <row r="256" spans="1:8" ht="33.75">
      <c r="A256" s="7" t="s">
        <v>1</v>
      </c>
      <c r="B256" s="19"/>
      <c r="C256" s="20" t="s">
        <v>2</v>
      </c>
      <c r="D256" s="21"/>
      <c r="E256" s="20" t="s">
        <v>15</v>
      </c>
      <c r="F256" s="21"/>
      <c r="G256" s="20" t="s">
        <v>3</v>
      </c>
      <c r="H256" s="21"/>
    </row>
    <row r="257" spans="1:8" ht="14.25" customHeight="1" thickBot="1">
      <c r="A257" s="7"/>
      <c r="B257" s="9" t="s">
        <v>4</v>
      </c>
      <c r="C257" s="22" t="s">
        <v>16</v>
      </c>
      <c r="D257" s="23" t="s">
        <v>37</v>
      </c>
      <c r="E257" s="22" t="s">
        <v>16</v>
      </c>
      <c r="F257" s="23" t="s">
        <v>37</v>
      </c>
      <c r="G257" s="22" t="s">
        <v>16</v>
      </c>
      <c r="H257" s="23" t="s">
        <v>37</v>
      </c>
    </row>
    <row r="258" spans="1:8" ht="14.25" customHeight="1">
      <c r="A258" s="11">
        <v>43814</v>
      </c>
      <c r="B258" s="24" t="s">
        <v>5</v>
      </c>
      <c r="C258" s="22">
        <v>0</v>
      </c>
      <c r="D258" s="25">
        <v>0</v>
      </c>
      <c r="E258" s="22">
        <v>0</v>
      </c>
      <c r="F258" s="25">
        <v>0</v>
      </c>
      <c r="G258" s="22">
        <v>0</v>
      </c>
      <c r="H258" s="25">
        <v>0</v>
      </c>
    </row>
    <row r="259" spans="1:8" ht="14.25" customHeight="1">
      <c r="A259" s="15"/>
      <c r="B259" s="24" t="s">
        <v>11</v>
      </c>
      <c r="C259" s="22">
        <v>0</v>
      </c>
      <c r="D259" s="25">
        <v>0</v>
      </c>
      <c r="E259" s="22">
        <v>0</v>
      </c>
      <c r="F259" s="25">
        <v>0</v>
      </c>
      <c r="G259" s="22">
        <v>0</v>
      </c>
      <c r="H259" s="25">
        <v>0</v>
      </c>
    </row>
    <row r="260" spans="1:8" ht="14.25" customHeight="1">
      <c r="A260" s="15"/>
      <c r="B260" s="24" t="s">
        <v>6</v>
      </c>
      <c r="C260" s="22">
        <v>53</v>
      </c>
      <c r="D260" s="25">
        <v>722727.34499999997</v>
      </c>
      <c r="E260" s="22">
        <v>25</v>
      </c>
      <c r="F260" s="25">
        <v>340909.125</v>
      </c>
      <c r="G260" s="22">
        <v>37</v>
      </c>
      <c r="H260" s="25">
        <v>2018181.65</v>
      </c>
    </row>
    <row r="261" spans="1:8" ht="14.25" customHeight="1">
      <c r="A261" s="15"/>
      <c r="B261" s="24" t="s">
        <v>7</v>
      </c>
      <c r="C261" s="22">
        <v>56</v>
      </c>
      <c r="D261" s="25">
        <v>763636.44</v>
      </c>
      <c r="E261" s="22">
        <v>30</v>
      </c>
      <c r="F261" s="25">
        <v>409090.95</v>
      </c>
      <c r="G261" s="22">
        <v>34</v>
      </c>
      <c r="H261" s="25">
        <v>1854545.2999999998</v>
      </c>
    </row>
    <row r="262" spans="1:8" ht="14.25" customHeight="1">
      <c r="A262" s="15"/>
      <c r="B262" s="24" t="s">
        <v>8</v>
      </c>
      <c r="C262" s="22">
        <v>79</v>
      </c>
      <c r="D262" s="25">
        <v>1077272.835</v>
      </c>
      <c r="E262" s="22">
        <v>92</v>
      </c>
      <c r="F262" s="25">
        <v>1254545.58</v>
      </c>
      <c r="G262" s="22">
        <v>96</v>
      </c>
      <c r="H262" s="25">
        <v>5236363.1999999993</v>
      </c>
    </row>
    <row r="263" spans="1:8" ht="14.25" customHeight="1">
      <c r="A263" s="15"/>
      <c r="B263" s="24" t="s">
        <v>9</v>
      </c>
      <c r="C263" s="22">
        <v>27</v>
      </c>
      <c r="D263" s="25">
        <v>368181.85499999998</v>
      </c>
      <c r="E263" s="22">
        <v>14</v>
      </c>
      <c r="F263" s="25">
        <v>190909.11</v>
      </c>
      <c r="G263" s="22">
        <v>22</v>
      </c>
      <c r="H263" s="25">
        <v>1199999.8999999999</v>
      </c>
    </row>
    <row r="264" spans="1:8" ht="14.25" customHeight="1">
      <c r="A264" s="15"/>
      <c r="B264" s="24" t="s">
        <v>28</v>
      </c>
      <c r="C264" s="22">
        <v>25</v>
      </c>
      <c r="D264" s="25">
        <v>340909.125</v>
      </c>
      <c r="E264" s="22">
        <v>35</v>
      </c>
      <c r="F264" s="25">
        <v>477272.77499999997</v>
      </c>
      <c r="G264" s="22">
        <v>13</v>
      </c>
      <c r="H264" s="25">
        <v>709090.85</v>
      </c>
    </row>
    <row r="265" spans="1:8" ht="14.25" customHeight="1">
      <c r="A265" s="15"/>
      <c r="B265" s="24" t="s">
        <v>10</v>
      </c>
      <c r="C265" s="22">
        <v>42</v>
      </c>
      <c r="D265" s="25">
        <v>572727.32999999996</v>
      </c>
      <c r="E265" s="22">
        <v>20</v>
      </c>
      <c r="F265" s="25">
        <v>272727.3</v>
      </c>
      <c r="G265" s="22">
        <v>27</v>
      </c>
      <c r="H265" s="25">
        <v>1472727.15</v>
      </c>
    </row>
    <row r="266" spans="1:8" ht="14.25" customHeight="1">
      <c r="A266" s="15"/>
      <c r="B266" s="24" t="s">
        <v>12</v>
      </c>
      <c r="C266" s="22">
        <v>35</v>
      </c>
      <c r="D266" s="25">
        <v>477272.77499999997</v>
      </c>
      <c r="E266" s="22">
        <v>31</v>
      </c>
      <c r="F266" s="25">
        <v>422727.315</v>
      </c>
      <c r="G266" s="22">
        <v>14</v>
      </c>
      <c r="H266" s="25">
        <v>763636.29999999993</v>
      </c>
    </row>
    <row r="267" spans="1:8" ht="14.25" customHeight="1">
      <c r="A267" s="15"/>
      <c r="B267" s="24" t="s">
        <v>13</v>
      </c>
      <c r="C267" s="22">
        <v>39</v>
      </c>
      <c r="D267" s="25">
        <v>531818.23499999999</v>
      </c>
      <c r="E267" s="22">
        <v>42</v>
      </c>
      <c r="F267" s="25">
        <v>572727.32999999996</v>
      </c>
      <c r="G267" s="22">
        <v>30</v>
      </c>
      <c r="H267" s="25">
        <v>1636363.5</v>
      </c>
    </row>
    <row r="268" spans="1:8" ht="14.25" customHeight="1">
      <c r="A268" s="15"/>
      <c r="B268" s="29" t="s">
        <v>14</v>
      </c>
      <c r="C268" s="17">
        <f>SUM(C258:C267)</f>
        <v>356</v>
      </c>
      <c r="D268" s="17"/>
      <c r="E268" s="17">
        <v>96506</v>
      </c>
      <c r="F268" s="17"/>
      <c r="G268" s="17">
        <v>29882</v>
      </c>
      <c r="H268" s="17"/>
    </row>
    <row r="269" spans="1:8" ht="14.25" customHeight="1">
      <c r="A269" s="18"/>
      <c r="B269" s="18"/>
      <c r="C269" s="2"/>
      <c r="E269" s="2"/>
      <c r="G269" s="2"/>
    </row>
    <row r="270" spans="1:8" ht="14.25" customHeight="1">
      <c r="A270" s="18"/>
      <c r="B270" s="18"/>
      <c r="C270" s="2"/>
      <c r="E270" s="2"/>
      <c r="G270" s="2"/>
    </row>
    <row r="271" spans="1:8" ht="14.25" customHeight="1">
      <c r="A271" s="18"/>
      <c r="B271" s="18"/>
      <c r="C271" s="2"/>
      <c r="E271" s="2"/>
      <c r="G271" s="2"/>
    </row>
    <row r="272" spans="1:8" ht="14.25" customHeight="1" thickBot="1">
      <c r="A272" s="18"/>
      <c r="B272" s="18"/>
      <c r="C272" s="2"/>
      <c r="E272" s="2"/>
      <c r="G272" s="2"/>
    </row>
    <row r="273" spans="1:8" ht="14.25" customHeight="1" thickBot="1">
      <c r="A273" s="18"/>
      <c r="B273" s="18"/>
      <c r="C273" s="47" t="s">
        <v>17</v>
      </c>
      <c r="D273" s="48"/>
      <c r="E273" s="48"/>
      <c r="F273" s="48"/>
      <c r="G273" s="48"/>
      <c r="H273" s="48"/>
    </row>
    <row r="274" spans="1:8" ht="45">
      <c r="A274" s="7" t="s">
        <v>1</v>
      </c>
      <c r="B274" s="19"/>
      <c r="C274" s="20" t="s">
        <v>18</v>
      </c>
      <c r="D274" s="21"/>
      <c r="E274" s="20" t="s">
        <v>19</v>
      </c>
      <c r="F274" s="21"/>
      <c r="G274" s="20" t="s">
        <v>20</v>
      </c>
      <c r="H274" s="21"/>
    </row>
    <row r="275" spans="1:8" ht="14.25" customHeight="1" thickBot="1">
      <c r="A275" s="7"/>
      <c r="B275" s="9" t="s">
        <v>4</v>
      </c>
      <c r="C275" s="22" t="s">
        <v>16</v>
      </c>
      <c r="D275" s="23" t="s">
        <v>37</v>
      </c>
      <c r="E275" s="22" t="s">
        <v>16</v>
      </c>
      <c r="F275" s="23" t="s">
        <v>37</v>
      </c>
      <c r="G275" s="22" t="s">
        <v>16</v>
      </c>
      <c r="H275" s="23" t="s">
        <v>37</v>
      </c>
    </row>
    <row r="276" spans="1:8" ht="14.25" customHeight="1">
      <c r="A276" s="11">
        <v>43814</v>
      </c>
      <c r="B276" s="24" t="s">
        <v>21</v>
      </c>
      <c r="C276" s="22">
        <v>546</v>
      </c>
      <c r="D276" s="25">
        <v>7445455.29</v>
      </c>
      <c r="E276" s="22">
        <v>4089</v>
      </c>
      <c r="F276" s="25">
        <v>55759096.484999999</v>
      </c>
      <c r="G276" s="22">
        <v>863</v>
      </c>
      <c r="H276" s="25">
        <v>47072723.349999994</v>
      </c>
    </row>
    <row r="277" spans="1:8" ht="14.25" customHeight="1">
      <c r="A277" s="15"/>
      <c r="B277" s="24" t="s">
        <v>23</v>
      </c>
      <c r="C277" s="22">
        <v>594</v>
      </c>
      <c r="D277" s="25">
        <v>8100000.8099999996</v>
      </c>
      <c r="E277" s="22">
        <v>3263</v>
      </c>
      <c r="F277" s="25">
        <v>44495458.994999997</v>
      </c>
      <c r="G277" s="22">
        <v>550</v>
      </c>
      <c r="H277" s="25">
        <v>29999997.5</v>
      </c>
    </row>
    <row r="278" spans="1:8" ht="14.25" customHeight="1">
      <c r="A278" s="15"/>
      <c r="B278" s="24" t="s">
        <v>8</v>
      </c>
      <c r="C278" s="22">
        <v>13605</v>
      </c>
      <c r="D278" s="25">
        <v>185522745.82499999</v>
      </c>
      <c r="E278" s="22">
        <v>12568</v>
      </c>
      <c r="F278" s="25">
        <v>171381835.31999999</v>
      </c>
      <c r="G278" s="22">
        <v>1040</v>
      </c>
      <c r="H278" s="25">
        <v>56727268</v>
      </c>
    </row>
    <row r="279" spans="1:8" ht="14.25" customHeight="1">
      <c r="A279" s="15"/>
      <c r="B279" s="24" t="s">
        <v>9</v>
      </c>
      <c r="C279" s="22">
        <v>8099</v>
      </c>
      <c r="D279" s="25">
        <v>110440920.13500001</v>
      </c>
      <c r="E279" s="22">
        <v>7421</v>
      </c>
      <c r="F279" s="25">
        <v>101195464.66499999</v>
      </c>
      <c r="G279" s="22">
        <v>723</v>
      </c>
      <c r="H279" s="25">
        <v>39436360.350000001</v>
      </c>
    </row>
    <row r="280" spans="1:8" ht="14.25" customHeight="1">
      <c r="A280" s="15"/>
      <c r="B280" s="24" t="s">
        <v>28</v>
      </c>
      <c r="C280" s="22">
        <v>568</v>
      </c>
      <c r="D280" s="25">
        <v>7745455.3200000003</v>
      </c>
      <c r="E280" s="22">
        <v>654</v>
      </c>
      <c r="F280" s="25">
        <v>8918182.709999999</v>
      </c>
      <c r="G280" s="22">
        <v>143</v>
      </c>
      <c r="H280" s="25">
        <v>7799999.3499999996</v>
      </c>
    </row>
    <row r="281" spans="1:8" ht="14.25" customHeight="1">
      <c r="A281" s="15"/>
      <c r="B281" s="24" t="s">
        <v>24</v>
      </c>
      <c r="C281" s="22">
        <v>895</v>
      </c>
      <c r="D281" s="25">
        <v>12204546.674999999</v>
      </c>
      <c r="E281" s="22">
        <v>994</v>
      </c>
      <c r="F281" s="25">
        <v>13554546.810000001</v>
      </c>
      <c r="G281" s="22">
        <v>212</v>
      </c>
      <c r="H281" s="25">
        <v>11563635.399999999</v>
      </c>
    </row>
    <row r="282" spans="1:8" ht="14.25" customHeight="1">
      <c r="A282" s="15"/>
      <c r="B282" s="24" t="s">
        <v>25</v>
      </c>
      <c r="C282" s="22">
        <v>1339</v>
      </c>
      <c r="D282" s="25">
        <v>18259092.734999999</v>
      </c>
      <c r="E282" s="22">
        <v>1706</v>
      </c>
      <c r="F282" s="25">
        <v>23263638.690000001</v>
      </c>
      <c r="G282" s="22">
        <v>726</v>
      </c>
      <c r="H282" s="25">
        <v>39599996.699999996</v>
      </c>
    </row>
    <row r="283" spans="1:8" ht="14.25" customHeight="1">
      <c r="A283" s="15"/>
      <c r="B283" s="24" t="s">
        <v>10</v>
      </c>
      <c r="C283" s="22">
        <v>7525</v>
      </c>
      <c r="D283" s="25">
        <v>102613646.625</v>
      </c>
      <c r="E283" s="22">
        <v>6707</v>
      </c>
      <c r="F283" s="25">
        <v>91459100.054999992</v>
      </c>
      <c r="G283" s="22">
        <v>801</v>
      </c>
      <c r="H283" s="25">
        <v>43690905.449999996</v>
      </c>
    </row>
    <row r="284" spans="1:8" ht="14.25" customHeight="1">
      <c r="A284" s="15"/>
      <c r="B284" s="24" t="s">
        <v>12</v>
      </c>
      <c r="C284" s="22">
        <v>2866</v>
      </c>
      <c r="D284" s="25">
        <v>39081822.089999996</v>
      </c>
      <c r="E284" s="22">
        <v>2392</v>
      </c>
      <c r="F284" s="25">
        <v>32618185.079999998</v>
      </c>
      <c r="G284" s="22">
        <v>382</v>
      </c>
      <c r="H284" s="25">
        <v>20836361.899999999</v>
      </c>
    </row>
    <row r="285" spans="1:8" ht="14.25" customHeight="1">
      <c r="A285" s="15"/>
      <c r="B285" s="24" t="s">
        <v>13</v>
      </c>
      <c r="C285" s="22">
        <v>7833</v>
      </c>
      <c r="D285" s="25">
        <v>106813647.045</v>
      </c>
      <c r="E285" s="22">
        <v>8798</v>
      </c>
      <c r="F285" s="25">
        <v>119972739.27</v>
      </c>
      <c r="G285" s="22">
        <v>803</v>
      </c>
      <c r="H285" s="25">
        <v>43799996.349999994</v>
      </c>
    </row>
    <row r="286" spans="1:8" ht="14.25" customHeight="1">
      <c r="A286" s="15"/>
      <c r="B286" s="29" t="s">
        <v>14</v>
      </c>
      <c r="C286" s="17">
        <f t="shared" ref="C286:H286" si="38">SUM(C276:C285)</f>
        <v>43870</v>
      </c>
      <c r="D286" s="17">
        <f t="shared" si="38"/>
        <v>598227332.54999995</v>
      </c>
      <c r="E286" s="17">
        <f t="shared" si="38"/>
        <v>48592</v>
      </c>
      <c r="F286" s="17">
        <f t="shared" si="38"/>
        <v>662618248.07999992</v>
      </c>
      <c r="G286" s="17">
        <f t="shared" si="38"/>
        <v>6243</v>
      </c>
      <c r="H286" s="17">
        <f t="shared" si="38"/>
        <v>340527244.3499999</v>
      </c>
    </row>
    <row r="287" spans="1:8" ht="14.25" customHeight="1">
      <c r="A287" s="18"/>
      <c r="B287" s="18"/>
      <c r="C287" s="2"/>
      <c r="E287" s="2"/>
      <c r="G287" s="2"/>
    </row>
    <row r="288" spans="1:8" ht="14.25" customHeight="1">
      <c r="A288" s="18"/>
      <c r="B288" s="18"/>
      <c r="C288" s="2"/>
      <c r="E288" s="2"/>
      <c r="G288" s="2"/>
    </row>
    <row r="289" spans="1:8" ht="14.25" customHeight="1">
      <c r="A289" s="18"/>
      <c r="B289" s="18"/>
      <c r="C289" s="2"/>
      <c r="E289" s="2"/>
      <c r="G289" s="2"/>
    </row>
    <row r="290" spans="1:8" ht="14.25" customHeight="1" thickBot="1">
      <c r="A290" s="18"/>
      <c r="B290" s="18"/>
      <c r="C290" s="2"/>
      <c r="E290" s="2"/>
      <c r="G290" s="2"/>
    </row>
    <row r="291" spans="1:8" ht="16.5" customHeight="1" thickBot="1">
      <c r="A291" s="3"/>
      <c r="B291" s="4"/>
      <c r="C291" s="47" t="s">
        <v>0</v>
      </c>
      <c r="D291" s="48"/>
      <c r="E291" s="48"/>
      <c r="F291" s="48"/>
      <c r="G291" s="48"/>
      <c r="H291" s="49"/>
    </row>
    <row r="292" spans="1:8" ht="34.5" thickBot="1">
      <c r="A292" s="7" t="s">
        <v>1</v>
      </c>
      <c r="B292" s="8"/>
      <c r="C292" s="30" t="s">
        <v>2</v>
      </c>
      <c r="D292" s="31"/>
      <c r="E292" s="30" t="s">
        <v>15</v>
      </c>
      <c r="F292" s="31"/>
      <c r="G292" s="30" t="s">
        <v>29</v>
      </c>
      <c r="H292" s="31"/>
    </row>
    <row r="293" spans="1:8" ht="14.25" customHeight="1" thickBot="1">
      <c r="A293" s="7"/>
      <c r="B293" s="9" t="s">
        <v>4</v>
      </c>
      <c r="C293" s="32" t="s">
        <v>16</v>
      </c>
      <c r="D293" s="33" t="s">
        <v>37</v>
      </c>
      <c r="E293" s="32" t="s">
        <v>16</v>
      </c>
      <c r="F293" s="33" t="s">
        <v>37</v>
      </c>
      <c r="G293" s="32" t="s">
        <v>16</v>
      </c>
      <c r="H293" s="33" t="s">
        <v>37</v>
      </c>
    </row>
    <row r="294" spans="1:8" ht="14.25" customHeight="1" thickBot="1">
      <c r="A294" s="11">
        <v>43834</v>
      </c>
      <c r="B294" s="34" t="s">
        <v>5</v>
      </c>
      <c r="C294" s="32">
        <v>0</v>
      </c>
      <c r="D294" s="35">
        <v>0</v>
      </c>
      <c r="E294" s="32">
        <v>0</v>
      </c>
      <c r="F294" s="35">
        <v>0</v>
      </c>
      <c r="G294" s="32">
        <v>0</v>
      </c>
      <c r="H294" s="36">
        <v>0</v>
      </c>
    </row>
    <row r="295" spans="1:8" ht="14.25" customHeight="1" thickBot="1">
      <c r="A295" s="15"/>
      <c r="B295" s="34" t="s">
        <v>11</v>
      </c>
      <c r="C295" s="32">
        <v>0</v>
      </c>
      <c r="D295" s="35">
        <v>0</v>
      </c>
      <c r="E295" s="32">
        <v>0</v>
      </c>
      <c r="F295" s="35">
        <v>0</v>
      </c>
      <c r="G295" s="32">
        <v>0</v>
      </c>
      <c r="H295" s="36">
        <v>0</v>
      </c>
    </row>
    <row r="296" spans="1:8" ht="14.25" customHeight="1" thickBot="1">
      <c r="A296" s="15"/>
      <c r="B296" s="34" t="s">
        <v>21</v>
      </c>
      <c r="C296" s="37"/>
      <c r="D296" s="35">
        <v>0</v>
      </c>
      <c r="E296" s="32"/>
      <c r="F296" s="35">
        <v>0</v>
      </c>
      <c r="G296" s="32"/>
      <c r="H296" s="36">
        <v>0</v>
      </c>
    </row>
    <row r="297" spans="1:8" ht="14.25" customHeight="1" thickBot="1">
      <c r="A297" s="15"/>
      <c r="B297" s="34" t="s">
        <v>6</v>
      </c>
      <c r="C297" s="32">
        <v>155</v>
      </c>
      <c r="D297" s="35">
        <v>2113636.5750000002</v>
      </c>
      <c r="E297" s="32">
        <v>102</v>
      </c>
      <c r="F297" s="35">
        <v>1390909.23</v>
      </c>
      <c r="G297" s="32">
        <v>114</v>
      </c>
      <c r="H297" s="36">
        <v>6218181.2999999998</v>
      </c>
    </row>
    <row r="298" spans="1:8" ht="14.25" customHeight="1" thickBot="1">
      <c r="A298" s="15"/>
      <c r="B298" s="34" t="s">
        <v>7</v>
      </c>
      <c r="C298" s="32">
        <v>153</v>
      </c>
      <c r="D298" s="35">
        <v>2086363.845</v>
      </c>
      <c r="E298" s="32">
        <v>128</v>
      </c>
      <c r="F298" s="35">
        <v>1745454.72</v>
      </c>
      <c r="G298" s="32">
        <v>88</v>
      </c>
      <c r="H298" s="36">
        <v>4799999.5999999996</v>
      </c>
    </row>
    <row r="299" spans="1:8" ht="14.25" customHeight="1" thickBot="1">
      <c r="A299" s="15"/>
      <c r="B299" s="34" t="s">
        <v>23</v>
      </c>
      <c r="C299" s="37"/>
      <c r="D299" s="35">
        <v>0</v>
      </c>
      <c r="E299" s="32"/>
      <c r="F299" s="35">
        <v>0</v>
      </c>
      <c r="G299" s="32"/>
      <c r="H299" s="36">
        <v>0</v>
      </c>
    </row>
    <row r="300" spans="1:8" ht="14.25" customHeight="1" thickBot="1">
      <c r="A300" s="15"/>
      <c r="B300" s="34" t="s">
        <v>8</v>
      </c>
      <c r="C300" s="32">
        <v>198</v>
      </c>
      <c r="D300" s="35">
        <v>2700000.27</v>
      </c>
      <c r="E300" s="32">
        <v>193</v>
      </c>
      <c r="F300" s="35">
        <v>2631818.4449999998</v>
      </c>
      <c r="G300" s="32">
        <v>287</v>
      </c>
      <c r="H300" s="36">
        <v>15654544.149999999</v>
      </c>
    </row>
    <row r="301" spans="1:8" ht="14.25" customHeight="1" thickBot="1">
      <c r="A301" s="15"/>
      <c r="B301" s="34" t="s">
        <v>9</v>
      </c>
      <c r="C301" s="32">
        <v>36</v>
      </c>
      <c r="D301" s="35">
        <v>490909.14</v>
      </c>
      <c r="E301" s="32">
        <v>40</v>
      </c>
      <c r="F301" s="35">
        <v>545454.6</v>
      </c>
      <c r="G301" s="32">
        <v>61</v>
      </c>
      <c r="H301" s="36">
        <v>3327272.4499999997</v>
      </c>
    </row>
    <row r="302" spans="1:8" ht="14.25" customHeight="1" thickBot="1">
      <c r="A302" s="15"/>
      <c r="B302" s="34" t="s">
        <v>28</v>
      </c>
      <c r="C302" s="32">
        <v>64</v>
      </c>
      <c r="D302" s="35">
        <v>872727.36</v>
      </c>
      <c r="E302" s="32">
        <v>91</v>
      </c>
      <c r="F302" s="35">
        <v>1240909.2150000001</v>
      </c>
      <c r="G302" s="32">
        <v>29</v>
      </c>
      <c r="H302" s="36">
        <v>1581818.0499999998</v>
      </c>
    </row>
    <row r="303" spans="1:8" ht="14.25" customHeight="1" thickBot="1">
      <c r="A303" s="15"/>
      <c r="B303" s="34" t="s">
        <v>24</v>
      </c>
      <c r="C303" s="37"/>
      <c r="D303" s="35">
        <v>0</v>
      </c>
      <c r="E303" s="32"/>
      <c r="F303" s="35">
        <v>0</v>
      </c>
      <c r="G303" s="32"/>
      <c r="H303" s="36">
        <v>0</v>
      </c>
    </row>
    <row r="304" spans="1:8" ht="14.25" customHeight="1" thickBot="1">
      <c r="A304" s="15"/>
      <c r="B304" s="34" t="s">
        <v>25</v>
      </c>
      <c r="C304" s="37"/>
      <c r="D304" s="35">
        <v>0</v>
      </c>
      <c r="E304" s="32"/>
      <c r="F304" s="35">
        <v>0</v>
      </c>
      <c r="G304" s="32"/>
      <c r="H304" s="36">
        <v>0</v>
      </c>
    </row>
    <row r="305" spans="1:8" ht="14.25" customHeight="1" thickBot="1">
      <c r="A305" s="15"/>
      <c r="B305" s="34" t="s">
        <v>30</v>
      </c>
      <c r="C305" s="37"/>
      <c r="D305" s="35">
        <v>0</v>
      </c>
      <c r="E305" s="32"/>
      <c r="F305" s="35">
        <v>0</v>
      </c>
      <c r="G305" s="32"/>
      <c r="H305" s="36">
        <v>0</v>
      </c>
    </row>
    <row r="306" spans="1:8" ht="14.25" customHeight="1" thickBot="1">
      <c r="A306" s="15"/>
      <c r="B306" s="34" t="s">
        <v>10</v>
      </c>
      <c r="C306" s="32">
        <v>45</v>
      </c>
      <c r="D306" s="35">
        <v>613636.42500000005</v>
      </c>
      <c r="E306" s="32">
        <v>43</v>
      </c>
      <c r="F306" s="35">
        <v>586363.69499999995</v>
      </c>
      <c r="G306" s="32">
        <v>48</v>
      </c>
      <c r="H306" s="36">
        <v>2618181.5999999996</v>
      </c>
    </row>
    <row r="307" spans="1:8" ht="14.25" customHeight="1" thickBot="1">
      <c r="A307" s="15"/>
      <c r="B307" s="34" t="s">
        <v>12</v>
      </c>
      <c r="C307" s="32">
        <v>50</v>
      </c>
      <c r="D307" s="35">
        <v>681818.25</v>
      </c>
      <c r="E307" s="32">
        <v>60</v>
      </c>
      <c r="F307" s="35">
        <v>818181.9</v>
      </c>
      <c r="G307" s="32">
        <v>47</v>
      </c>
      <c r="H307" s="36">
        <v>2563636.15</v>
      </c>
    </row>
    <row r="308" spans="1:8" ht="14.25" customHeight="1" thickBot="1">
      <c r="A308" s="15"/>
      <c r="B308" s="38" t="s">
        <v>13</v>
      </c>
      <c r="C308" s="32">
        <v>29</v>
      </c>
      <c r="D308" s="35">
        <v>395454.58500000002</v>
      </c>
      <c r="E308" s="32">
        <v>87</v>
      </c>
      <c r="F308" s="35">
        <v>1186363.7549999999</v>
      </c>
      <c r="G308" s="32">
        <v>66</v>
      </c>
      <c r="H308" s="36">
        <v>3599999.6999999997</v>
      </c>
    </row>
    <row r="309" spans="1:8" ht="14.25" customHeight="1" thickBot="1">
      <c r="A309" s="7"/>
      <c r="B309" s="39" t="s">
        <v>14</v>
      </c>
      <c r="C309" s="40">
        <f t="shared" ref="C309:H309" si="39">SUM(C294:C308)</f>
        <v>730</v>
      </c>
      <c r="D309" s="41">
        <f t="shared" si="39"/>
        <v>9954546.4500000011</v>
      </c>
      <c r="E309" s="40">
        <f t="shared" si="39"/>
        <v>744</v>
      </c>
      <c r="F309" s="41">
        <f t="shared" si="39"/>
        <v>10145455.559999999</v>
      </c>
      <c r="G309" s="40">
        <f t="shared" si="39"/>
        <v>740</v>
      </c>
      <c r="H309" s="42">
        <f t="shared" si="39"/>
        <v>40363633</v>
      </c>
    </row>
    <row r="310" spans="1:8" ht="14.25" customHeight="1">
      <c r="A310" s="1"/>
      <c r="B310" s="1"/>
      <c r="C310" s="2"/>
      <c r="E310" s="2"/>
      <c r="G310" s="2"/>
    </row>
    <row r="311" spans="1:8" ht="14.25" customHeight="1" thickBot="1">
      <c r="A311" s="18"/>
      <c r="B311" s="18"/>
      <c r="C311" s="2"/>
      <c r="E311" s="2"/>
      <c r="G311" s="2"/>
    </row>
    <row r="312" spans="1:8" ht="16.5" customHeight="1" thickBot="1">
      <c r="A312" s="43"/>
      <c r="B312" s="44"/>
      <c r="C312" s="50" t="s">
        <v>31</v>
      </c>
      <c r="D312" s="48"/>
      <c r="E312" s="48"/>
      <c r="F312" s="48"/>
      <c r="G312" s="49"/>
    </row>
    <row r="313" spans="1:8" ht="45.75" thickBot="1">
      <c r="A313" s="7" t="s">
        <v>1</v>
      </c>
      <c r="B313" s="8"/>
      <c r="C313" s="30" t="s">
        <v>18</v>
      </c>
      <c r="D313" s="31"/>
      <c r="E313" s="30" t="s">
        <v>19</v>
      </c>
      <c r="F313" s="31"/>
      <c r="G313" s="30" t="s">
        <v>20</v>
      </c>
      <c r="H313" s="31"/>
    </row>
    <row r="314" spans="1:8" ht="14.25" customHeight="1" thickBot="1">
      <c r="A314" s="7"/>
      <c r="B314" s="9" t="s">
        <v>4</v>
      </c>
      <c r="C314" s="32" t="s">
        <v>16</v>
      </c>
      <c r="D314" s="33" t="s">
        <v>37</v>
      </c>
      <c r="E314" s="32" t="s">
        <v>16</v>
      </c>
      <c r="F314" s="33" t="s">
        <v>37</v>
      </c>
      <c r="G314" s="32" t="s">
        <v>16</v>
      </c>
      <c r="H314" s="33" t="s">
        <v>37</v>
      </c>
    </row>
    <row r="315" spans="1:8" ht="14.25" customHeight="1" thickBot="1">
      <c r="A315" s="11">
        <v>43834</v>
      </c>
      <c r="B315" s="34" t="s">
        <v>5</v>
      </c>
      <c r="C315" s="32"/>
      <c r="D315" s="32">
        <v>0</v>
      </c>
      <c r="E315" s="37"/>
      <c r="F315" s="35">
        <v>0</v>
      </c>
      <c r="G315" s="37"/>
      <c r="H315" s="35">
        <v>0</v>
      </c>
    </row>
    <row r="316" spans="1:8" ht="14.25" customHeight="1" thickBot="1">
      <c r="A316" s="15"/>
      <c r="B316" s="34" t="s">
        <v>11</v>
      </c>
      <c r="C316" s="32"/>
      <c r="D316" s="35">
        <v>0</v>
      </c>
      <c r="E316" s="37"/>
      <c r="F316" s="35">
        <v>0</v>
      </c>
      <c r="G316" s="37"/>
      <c r="H316" s="35">
        <v>0</v>
      </c>
    </row>
    <row r="317" spans="1:8" ht="14.25" customHeight="1" thickBot="1">
      <c r="A317" s="15"/>
      <c r="B317" s="34" t="s">
        <v>21</v>
      </c>
      <c r="C317" s="32">
        <v>885</v>
      </c>
      <c r="D317" s="35">
        <v>12068183.025</v>
      </c>
      <c r="E317" s="32">
        <v>898</v>
      </c>
      <c r="F317" s="35">
        <v>12245455.77</v>
      </c>
      <c r="G317" s="32">
        <v>111</v>
      </c>
      <c r="H317" s="35">
        <v>6054544.9499999993</v>
      </c>
    </row>
    <row r="318" spans="1:8" ht="14.25" customHeight="1" thickBot="1">
      <c r="A318" s="15"/>
      <c r="B318" s="34" t="s">
        <v>6</v>
      </c>
      <c r="C318" s="32"/>
      <c r="D318" s="35">
        <v>0</v>
      </c>
      <c r="E318" s="37"/>
      <c r="F318" s="35">
        <v>0</v>
      </c>
      <c r="G318" s="37"/>
      <c r="H318" s="35">
        <v>0</v>
      </c>
    </row>
    <row r="319" spans="1:8" ht="14.25" customHeight="1" thickBot="1">
      <c r="A319" s="15"/>
      <c r="B319" s="34" t="s">
        <v>7</v>
      </c>
      <c r="C319" s="32"/>
      <c r="D319" s="35">
        <v>0</v>
      </c>
      <c r="E319" s="37"/>
      <c r="F319" s="35">
        <v>0</v>
      </c>
      <c r="G319" s="37"/>
      <c r="H319" s="35">
        <v>0</v>
      </c>
    </row>
    <row r="320" spans="1:8" ht="14.25" customHeight="1" thickBot="1">
      <c r="A320" s="15"/>
      <c r="B320" s="34" t="s">
        <v>23</v>
      </c>
      <c r="C320" s="32">
        <v>1225</v>
      </c>
      <c r="D320" s="35">
        <v>16704547.125</v>
      </c>
      <c r="E320" s="32">
        <v>1105</v>
      </c>
      <c r="F320" s="35">
        <v>15068183.324999999</v>
      </c>
      <c r="G320" s="32">
        <v>94</v>
      </c>
      <c r="H320" s="35">
        <v>5127272.3</v>
      </c>
    </row>
    <row r="321" spans="1:8" ht="14.25" customHeight="1" thickBot="1">
      <c r="A321" s="15"/>
      <c r="B321" s="34" t="s">
        <v>8</v>
      </c>
      <c r="C321" s="32">
        <v>928</v>
      </c>
      <c r="D321" s="35">
        <v>12654546.720000001</v>
      </c>
      <c r="E321" s="32">
        <v>1023</v>
      </c>
      <c r="F321" s="35">
        <v>13950001.395</v>
      </c>
      <c r="G321" s="32">
        <v>62</v>
      </c>
      <c r="H321" s="35">
        <v>3381817.9</v>
      </c>
    </row>
    <row r="322" spans="1:8" ht="14.25" customHeight="1" thickBot="1">
      <c r="A322" s="15"/>
      <c r="B322" s="34" t="s">
        <v>9</v>
      </c>
      <c r="C322" s="32">
        <v>536</v>
      </c>
      <c r="D322" s="35">
        <v>7309091.6399999997</v>
      </c>
      <c r="E322" s="32">
        <v>691</v>
      </c>
      <c r="F322" s="35">
        <v>9422728.2149999999</v>
      </c>
      <c r="G322" s="32">
        <v>90</v>
      </c>
      <c r="H322" s="35">
        <v>4909090.5</v>
      </c>
    </row>
    <row r="323" spans="1:8" ht="14.25" customHeight="1" thickBot="1">
      <c r="A323" s="15"/>
      <c r="B323" s="34" t="s">
        <v>28</v>
      </c>
      <c r="C323" s="32">
        <v>0</v>
      </c>
      <c r="D323" s="35">
        <v>0</v>
      </c>
      <c r="E323" s="32">
        <v>0</v>
      </c>
      <c r="F323" s="35">
        <v>0</v>
      </c>
      <c r="G323" s="32">
        <v>0</v>
      </c>
      <c r="H323" s="35">
        <v>0</v>
      </c>
    </row>
    <row r="324" spans="1:8" ht="14.25" customHeight="1" thickBot="1">
      <c r="A324" s="15"/>
      <c r="B324" s="34" t="s">
        <v>24</v>
      </c>
      <c r="C324" s="32">
        <v>390</v>
      </c>
      <c r="D324" s="35">
        <v>5318182.3499999996</v>
      </c>
      <c r="E324" s="32">
        <v>406</v>
      </c>
      <c r="F324" s="35">
        <v>5536364.1899999995</v>
      </c>
      <c r="G324" s="32">
        <v>104</v>
      </c>
      <c r="H324" s="35">
        <v>5672726.7999999998</v>
      </c>
    </row>
    <row r="325" spans="1:8" ht="14.25" customHeight="1" thickBot="1">
      <c r="A325" s="15"/>
      <c r="B325" s="34" t="s">
        <v>25</v>
      </c>
      <c r="C325" s="32">
        <v>564</v>
      </c>
      <c r="D325" s="35">
        <v>7690909.8600000003</v>
      </c>
      <c r="E325" s="32">
        <v>513</v>
      </c>
      <c r="F325" s="35">
        <v>6995455.2450000001</v>
      </c>
      <c r="G325" s="32">
        <v>161</v>
      </c>
      <c r="H325" s="35">
        <v>8781817.4499999993</v>
      </c>
    </row>
    <row r="326" spans="1:8" ht="14.25" customHeight="1" thickBot="1">
      <c r="A326" s="15"/>
      <c r="B326" s="34" t="s">
        <v>30</v>
      </c>
      <c r="C326" s="32">
        <v>0</v>
      </c>
      <c r="D326" s="35">
        <v>0</v>
      </c>
      <c r="E326" s="37"/>
      <c r="F326" s="35">
        <v>0</v>
      </c>
      <c r="G326" s="37"/>
      <c r="H326" s="35">
        <v>0</v>
      </c>
    </row>
    <row r="327" spans="1:8" ht="14.25" customHeight="1" thickBot="1">
      <c r="A327" s="15"/>
      <c r="B327" s="34" t="s">
        <v>10</v>
      </c>
      <c r="C327" s="32">
        <v>742</v>
      </c>
      <c r="D327" s="35">
        <v>10118182.83</v>
      </c>
      <c r="E327" s="32">
        <v>792</v>
      </c>
      <c r="F327" s="35">
        <v>10800001.08</v>
      </c>
      <c r="G327" s="32">
        <v>43</v>
      </c>
      <c r="H327" s="35">
        <v>2345454.35</v>
      </c>
    </row>
    <row r="328" spans="1:8" ht="14.25" customHeight="1" thickBot="1">
      <c r="A328" s="15"/>
      <c r="B328" s="34" t="s">
        <v>12</v>
      </c>
      <c r="C328" s="32">
        <v>437</v>
      </c>
      <c r="D328" s="35">
        <v>5959091.5049999999</v>
      </c>
      <c r="E328" s="32">
        <v>332</v>
      </c>
      <c r="F328" s="35">
        <v>4527273.18</v>
      </c>
      <c r="G328" s="32">
        <v>39</v>
      </c>
      <c r="H328" s="35">
        <v>2127272.5499999998</v>
      </c>
    </row>
    <row r="329" spans="1:8" ht="14.25" customHeight="1" thickBot="1">
      <c r="A329" s="15"/>
      <c r="B329" s="38" t="s">
        <v>13</v>
      </c>
      <c r="C329" s="32">
        <v>1245</v>
      </c>
      <c r="D329" s="35">
        <v>16977274.425000001</v>
      </c>
      <c r="E329" s="32">
        <v>1044</v>
      </c>
      <c r="F329" s="35">
        <v>14236365.060000001</v>
      </c>
      <c r="G329" s="32">
        <v>39</v>
      </c>
      <c r="H329" s="35">
        <v>2127272.5499999998</v>
      </c>
    </row>
    <row r="330" spans="1:8" ht="14.25" customHeight="1" thickBot="1">
      <c r="A330" s="7"/>
      <c r="B330" s="39" t="s">
        <v>14</v>
      </c>
      <c r="C330" s="40">
        <f t="shared" ref="C330:H330" si="40">SUM(C315:C329)</f>
        <v>6952</v>
      </c>
      <c r="D330" s="40">
        <f t="shared" si="40"/>
        <v>94800009.479999989</v>
      </c>
      <c r="E330" s="40">
        <f t="shared" si="40"/>
        <v>6804</v>
      </c>
      <c r="F330" s="40">
        <f t="shared" si="40"/>
        <v>92781827.460000008</v>
      </c>
      <c r="G330" s="40">
        <f t="shared" si="40"/>
        <v>743</v>
      </c>
      <c r="H330" s="40">
        <f t="shared" si="40"/>
        <v>40527269.349999994</v>
      </c>
    </row>
    <row r="331" spans="1:8" ht="14.25" customHeight="1">
      <c r="A331" s="1"/>
      <c r="B331" s="1"/>
      <c r="C331" s="2"/>
      <c r="E331" s="2"/>
      <c r="G331" s="2"/>
    </row>
    <row r="332" spans="1:8" ht="14.25" customHeight="1" thickBot="1">
      <c r="A332" s="18"/>
      <c r="B332" s="18"/>
      <c r="C332" s="2"/>
      <c r="E332" s="2"/>
      <c r="G332" s="2"/>
    </row>
    <row r="333" spans="1:8" ht="16.5" customHeight="1" thickBot="1">
      <c r="A333" s="43"/>
      <c r="B333" s="44"/>
      <c r="C333" s="51" t="s">
        <v>32</v>
      </c>
      <c r="D333" s="48"/>
      <c r="E333" s="48"/>
      <c r="F333" s="48"/>
      <c r="G333" s="49"/>
    </row>
    <row r="334" spans="1:8" ht="45.75" thickBot="1">
      <c r="A334" s="7" t="s">
        <v>1</v>
      </c>
      <c r="B334" s="8"/>
      <c r="C334" s="30" t="s">
        <v>33</v>
      </c>
      <c r="D334" s="31"/>
      <c r="E334" s="30" t="s">
        <v>34</v>
      </c>
      <c r="F334" s="31"/>
      <c r="G334" s="30" t="s">
        <v>35</v>
      </c>
      <c r="H334" s="31"/>
    </row>
    <row r="335" spans="1:8" ht="14.25" customHeight="1" thickBot="1">
      <c r="A335" s="7"/>
      <c r="B335" s="9" t="s">
        <v>4</v>
      </c>
      <c r="C335" s="32" t="s">
        <v>16</v>
      </c>
      <c r="D335" s="33" t="s">
        <v>37</v>
      </c>
      <c r="E335" s="32" t="s">
        <v>16</v>
      </c>
      <c r="F335" s="33" t="s">
        <v>37</v>
      </c>
      <c r="G335" s="32" t="s">
        <v>16</v>
      </c>
      <c r="H335" s="33" t="s">
        <v>37</v>
      </c>
    </row>
    <row r="336" spans="1:8" ht="14.25" customHeight="1" thickBot="1">
      <c r="A336" s="11">
        <v>43834</v>
      </c>
      <c r="B336" s="34" t="s">
        <v>5</v>
      </c>
      <c r="C336" s="32"/>
      <c r="D336" s="35">
        <f t="shared" ref="D336:D350" si="41">IFERROR(C336*13636.365,0)</f>
        <v>0</v>
      </c>
      <c r="E336" s="32"/>
      <c r="F336" s="35">
        <f t="shared" ref="F336:F350" si="42">IFERROR(E336*13636.365,0)</f>
        <v>0</v>
      </c>
      <c r="G336" s="32"/>
      <c r="H336" s="35">
        <f t="shared" ref="H336:H350" si="43">IFERROR(G336*54545.45,0)</f>
        <v>0</v>
      </c>
    </row>
    <row r="337" spans="1:8" ht="14.25" customHeight="1" thickBot="1">
      <c r="A337" s="15"/>
      <c r="B337" s="34" t="s">
        <v>11</v>
      </c>
      <c r="C337" s="32"/>
      <c r="D337" s="35">
        <f t="shared" si="41"/>
        <v>0</v>
      </c>
      <c r="E337" s="32"/>
      <c r="F337" s="35">
        <f t="shared" si="42"/>
        <v>0</v>
      </c>
      <c r="G337" s="32"/>
      <c r="H337" s="35">
        <f t="shared" si="43"/>
        <v>0</v>
      </c>
    </row>
    <row r="338" spans="1:8" ht="14.25" customHeight="1" thickBot="1">
      <c r="A338" s="15"/>
      <c r="B338" s="34" t="s">
        <v>21</v>
      </c>
      <c r="C338" s="32">
        <v>396</v>
      </c>
      <c r="D338" s="35">
        <f t="shared" si="41"/>
        <v>5400000.54</v>
      </c>
      <c r="E338" s="32">
        <v>355</v>
      </c>
      <c r="F338" s="35">
        <f t="shared" si="42"/>
        <v>4840909.5750000002</v>
      </c>
      <c r="G338" s="32">
        <v>8</v>
      </c>
      <c r="H338" s="35">
        <f t="shared" si="43"/>
        <v>436363.6</v>
      </c>
    </row>
    <row r="339" spans="1:8" ht="14.25" customHeight="1" thickBot="1">
      <c r="A339" s="15"/>
      <c r="B339" s="34" t="s">
        <v>6</v>
      </c>
      <c r="C339" s="32" t="s">
        <v>36</v>
      </c>
      <c r="D339" s="35">
        <f t="shared" si="41"/>
        <v>0</v>
      </c>
      <c r="E339" s="32" t="s">
        <v>36</v>
      </c>
      <c r="F339" s="35">
        <f t="shared" si="42"/>
        <v>0</v>
      </c>
      <c r="G339" s="32" t="s">
        <v>36</v>
      </c>
      <c r="H339" s="35">
        <f t="shared" si="43"/>
        <v>0</v>
      </c>
    </row>
    <row r="340" spans="1:8" ht="14.25" customHeight="1" thickBot="1">
      <c r="A340" s="15"/>
      <c r="B340" s="34" t="s">
        <v>7</v>
      </c>
      <c r="C340" s="32" t="s">
        <v>36</v>
      </c>
      <c r="D340" s="35">
        <f t="shared" si="41"/>
        <v>0</v>
      </c>
      <c r="E340" s="32" t="s">
        <v>36</v>
      </c>
      <c r="F340" s="35">
        <f t="shared" si="42"/>
        <v>0</v>
      </c>
      <c r="G340" s="32" t="s">
        <v>36</v>
      </c>
      <c r="H340" s="35">
        <f t="shared" si="43"/>
        <v>0</v>
      </c>
    </row>
    <row r="341" spans="1:8" ht="14.25" customHeight="1" thickBot="1">
      <c r="A341" s="15"/>
      <c r="B341" s="34" t="s">
        <v>23</v>
      </c>
      <c r="C341" s="32" t="s">
        <v>36</v>
      </c>
      <c r="D341" s="35">
        <f t="shared" si="41"/>
        <v>0</v>
      </c>
      <c r="E341" s="32" t="s">
        <v>36</v>
      </c>
      <c r="F341" s="35">
        <f t="shared" si="42"/>
        <v>0</v>
      </c>
      <c r="G341" s="32" t="s">
        <v>36</v>
      </c>
      <c r="H341" s="35">
        <f t="shared" si="43"/>
        <v>0</v>
      </c>
    </row>
    <row r="342" spans="1:8" ht="14.25" customHeight="1" thickBot="1">
      <c r="A342" s="15"/>
      <c r="B342" s="34" t="s">
        <v>8</v>
      </c>
      <c r="C342" s="32">
        <v>1522</v>
      </c>
      <c r="D342" s="35">
        <f t="shared" si="41"/>
        <v>20754547.530000001</v>
      </c>
      <c r="E342" s="32">
        <v>1392</v>
      </c>
      <c r="F342" s="35">
        <f t="shared" si="42"/>
        <v>18981820.079999998</v>
      </c>
      <c r="G342" s="32">
        <v>189</v>
      </c>
      <c r="H342" s="35">
        <f t="shared" si="43"/>
        <v>10309090.049999999</v>
      </c>
    </row>
    <row r="343" spans="1:8" ht="14.25" customHeight="1" thickBot="1">
      <c r="A343" s="15"/>
      <c r="B343" s="34" t="s">
        <v>9</v>
      </c>
      <c r="C343" s="32">
        <v>968</v>
      </c>
      <c r="D343" s="35">
        <f t="shared" si="41"/>
        <v>13200001.32</v>
      </c>
      <c r="E343" s="32">
        <v>871</v>
      </c>
      <c r="F343" s="35">
        <f t="shared" si="42"/>
        <v>11877273.914999999</v>
      </c>
      <c r="G343" s="32">
        <v>95</v>
      </c>
      <c r="H343" s="35">
        <f t="shared" si="43"/>
        <v>5181817.75</v>
      </c>
    </row>
    <row r="344" spans="1:8" ht="14.25" customHeight="1" thickBot="1">
      <c r="A344" s="15"/>
      <c r="B344" s="34" t="s">
        <v>28</v>
      </c>
      <c r="C344" s="32" t="s">
        <v>36</v>
      </c>
      <c r="D344" s="35">
        <f t="shared" si="41"/>
        <v>0</v>
      </c>
      <c r="E344" s="32" t="s">
        <v>36</v>
      </c>
      <c r="F344" s="35">
        <f t="shared" si="42"/>
        <v>0</v>
      </c>
      <c r="G344" s="32" t="s">
        <v>36</v>
      </c>
      <c r="H344" s="35">
        <f t="shared" si="43"/>
        <v>0</v>
      </c>
    </row>
    <row r="345" spans="1:8" ht="14.25" customHeight="1" thickBot="1">
      <c r="A345" s="15"/>
      <c r="B345" s="34" t="s">
        <v>24</v>
      </c>
      <c r="C345" s="32"/>
      <c r="D345" s="35">
        <f t="shared" si="41"/>
        <v>0</v>
      </c>
      <c r="E345" s="32"/>
      <c r="F345" s="35">
        <f t="shared" si="42"/>
        <v>0</v>
      </c>
      <c r="G345" s="32"/>
      <c r="H345" s="35">
        <f t="shared" si="43"/>
        <v>0</v>
      </c>
    </row>
    <row r="346" spans="1:8" ht="14.25" customHeight="1" thickBot="1">
      <c r="A346" s="15"/>
      <c r="B346" s="34" t="s">
        <v>25</v>
      </c>
      <c r="C346" s="32"/>
      <c r="D346" s="35">
        <f t="shared" si="41"/>
        <v>0</v>
      </c>
      <c r="E346" s="32"/>
      <c r="F346" s="35">
        <f t="shared" si="42"/>
        <v>0</v>
      </c>
      <c r="G346" s="32"/>
      <c r="H346" s="35">
        <f t="shared" si="43"/>
        <v>0</v>
      </c>
    </row>
    <row r="347" spans="1:8" ht="14.25" customHeight="1" thickBot="1">
      <c r="A347" s="15"/>
      <c r="B347" s="34" t="s">
        <v>30</v>
      </c>
      <c r="C347" s="32">
        <v>14</v>
      </c>
      <c r="D347" s="35">
        <f t="shared" si="41"/>
        <v>190909.11</v>
      </c>
      <c r="E347" s="32">
        <v>9</v>
      </c>
      <c r="F347" s="35">
        <f t="shared" si="42"/>
        <v>122727.285</v>
      </c>
      <c r="G347" s="32">
        <v>2</v>
      </c>
      <c r="H347" s="35">
        <f t="shared" si="43"/>
        <v>109090.9</v>
      </c>
    </row>
    <row r="348" spans="1:8" ht="14.25" customHeight="1" thickBot="1">
      <c r="A348" s="15"/>
      <c r="B348" s="34" t="s">
        <v>10</v>
      </c>
      <c r="C348" s="32">
        <v>692</v>
      </c>
      <c r="D348" s="35">
        <f t="shared" si="41"/>
        <v>9436364.5800000001</v>
      </c>
      <c r="E348" s="32">
        <v>651</v>
      </c>
      <c r="F348" s="35">
        <f t="shared" si="42"/>
        <v>8877273.6150000002</v>
      </c>
      <c r="G348" s="32">
        <v>80</v>
      </c>
      <c r="H348" s="35">
        <f t="shared" si="43"/>
        <v>4363636</v>
      </c>
    </row>
    <row r="349" spans="1:8" ht="14.25" customHeight="1" thickBot="1">
      <c r="A349" s="15"/>
      <c r="B349" s="34" t="s">
        <v>12</v>
      </c>
      <c r="C349" s="32">
        <v>130</v>
      </c>
      <c r="D349" s="35">
        <f t="shared" si="41"/>
        <v>1772727.45</v>
      </c>
      <c r="E349" s="32">
        <v>145</v>
      </c>
      <c r="F349" s="35">
        <f t="shared" si="42"/>
        <v>1977272.925</v>
      </c>
      <c r="G349" s="32">
        <v>45</v>
      </c>
      <c r="H349" s="35">
        <f t="shared" si="43"/>
        <v>2454545.25</v>
      </c>
    </row>
    <row r="350" spans="1:8" ht="14.25" customHeight="1" thickBot="1">
      <c r="A350" s="15"/>
      <c r="B350" s="38" t="s">
        <v>13</v>
      </c>
      <c r="C350" s="32" t="s">
        <v>36</v>
      </c>
      <c r="D350" s="35">
        <f t="shared" si="41"/>
        <v>0</v>
      </c>
      <c r="E350" s="32" t="s">
        <v>36</v>
      </c>
      <c r="F350" s="35">
        <f t="shared" si="42"/>
        <v>0</v>
      </c>
      <c r="G350" s="32" t="s">
        <v>36</v>
      </c>
      <c r="H350" s="35">
        <f t="shared" si="43"/>
        <v>0</v>
      </c>
    </row>
    <row r="351" spans="1:8" ht="14.25" customHeight="1" thickBot="1">
      <c r="A351" s="7"/>
      <c r="B351" s="39" t="s">
        <v>14</v>
      </c>
      <c r="C351" s="40">
        <f t="shared" ref="C351:F351" si="44">SUM(C336:C350)</f>
        <v>3722</v>
      </c>
      <c r="D351" s="41">
        <f t="shared" si="44"/>
        <v>50754550.530000001</v>
      </c>
      <c r="E351" s="40">
        <f t="shared" si="44"/>
        <v>3423</v>
      </c>
      <c r="F351" s="41">
        <f t="shared" si="44"/>
        <v>46677277.394999988</v>
      </c>
      <c r="G351" s="40">
        <v>419</v>
      </c>
      <c r="H351" s="41">
        <f>SUM(H336:H350)</f>
        <v>22854543.549999997</v>
      </c>
    </row>
    <row r="352" spans="1:8" ht="14.25" customHeight="1">
      <c r="A352" s="1"/>
      <c r="B352" s="1"/>
      <c r="C352" s="2"/>
      <c r="E352" s="2"/>
      <c r="G352" s="2"/>
    </row>
    <row r="353" spans="3:7" ht="14.25" customHeight="1">
      <c r="C353" s="2"/>
      <c r="E353" s="2"/>
      <c r="G353" s="2"/>
    </row>
    <row r="354" spans="3:7" ht="14.25" customHeight="1">
      <c r="C354" s="2"/>
      <c r="E354" s="2"/>
      <c r="G354" s="2"/>
    </row>
    <row r="355" spans="3:7" ht="14.25" customHeight="1">
      <c r="C355" s="2"/>
      <c r="E355" s="2"/>
      <c r="G355" s="2"/>
    </row>
    <row r="356" spans="3:7" ht="14.25" customHeight="1">
      <c r="C356" s="2"/>
      <c r="E356" s="2"/>
      <c r="G356" s="2"/>
    </row>
    <row r="357" spans="3:7" ht="14.25" customHeight="1">
      <c r="C357" s="2"/>
      <c r="E357" s="2"/>
      <c r="G357" s="2"/>
    </row>
    <row r="358" spans="3:7" ht="14.25" customHeight="1">
      <c r="C358" s="2"/>
      <c r="E358" s="2"/>
      <c r="G358" s="2"/>
    </row>
    <row r="359" spans="3:7" ht="14.25" customHeight="1">
      <c r="C359" s="2"/>
      <c r="E359" s="2"/>
      <c r="G359" s="2"/>
    </row>
    <row r="360" spans="3:7" ht="14.25" customHeight="1">
      <c r="C360" s="2"/>
      <c r="E360" s="2"/>
      <c r="G360" s="2"/>
    </row>
    <row r="361" spans="3:7" ht="14.25" customHeight="1">
      <c r="C361" s="2"/>
      <c r="E361" s="2"/>
      <c r="G361" s="2"/>
    </row>
    <row r="362" spans="3:7" ht="14.25" customHeight="1">
      <c r="C362" s="2"/>
      <c r="E362" s="2"/>
      <c r="G362" s="2"/>
    </row>
    <row r="363" spans="3:7" ht="14.25" customHeight="1">
      <c r="C363" s="2"/>
      <c r="E363" s="2"/>
      <c r="G363" s="2"/>
    </row>
    <row r="364" spans="3:7" ht="14.25" customHeight="1">
      <c r="C364" s="2"/>
      <c r="E364" s="2"/>
      <c r="G364" s="2"/>
    </row>
    <row r="365" spans="3:7" ht="14.25" customHeight="1">
      <c r="C365" s="2"/>
      <c r="E365" s="2"/>
      <c r="G365" s="2"/>
    </row>
    <row r="366" spans="3:7" ht="14.25" customHeight="1">
      <c r="C366" s="2"/>
      <c r="E366" s="2"/>
      <c r="G366" s="2"/>
    </row>
    <row r="367" spans="3:7" ht="14.25" customHeight="1">
      <c r="C367" s="2"/>
      <c r="E367" s="2"/>
      <c r="G367" s="2"/>
    </row>
    <row r="368" spans="3:7" ht="14.25" customHeight="1">
      <c r="C368" s="2"/>
      <c r="E368" s="2"/>
      <c r="G368" s="2"/>
    </row>
    <row r="369" spans="3:7" ht="14.25" customHeight="1">
      <c r="C369" s="2"/>
      <c r="E369" s="2"/>
      <c r="G369" s="2"/>
    </row>
    <row r="370" spans="3:7" ht="14.25" customHeight="1">
      <c r="C370" s="2"/>
      <c r="E370" s="2"/>
      <c r="G370" s="2"/>
    </row>
    <row r="371" spans="3:7" ht="14.25" customHeight="1">
      <c r="C371" s="2"/>
      <c r="E371" s="2"/>
      <c r="G371" s="2"/>
    </row>
    <row r="372" spans="3:7" ht="14.25" customHeight="1">
      <c r="C372" s="2"/>
      <c r="E372" s="2"/>
      <c r="G372" s="2"/>
    </row>
    <row r="373" spans="3:7" ht="14.25" customHeight="1">
      <c r="C373" s="2"/>
      <c r="E373" s="2"/>
      <c r="G373" s="2"/>
    </row>
    <row r="374" spans="3:7" ht="14.25" customHeight="1">
      <c r="C374" s="2"/>
      <c r="E374" s="2"/>
      <c r="G374" s="2"/>
    </row>
    <row r="375" spans="3:7" ht="14.25" customHeight="1">
      <c r="C375" s="2"/>
      <c r="E375" s="2"/>
      <c r="G375" s="2"/>
    </row>
    <row r="376" spans="3:7" ht="14.25" customHeight="1">
      <c r="C376" s="2"/>
      <c r="E376" s="2"/>
      <c r="G376" s="2"/>
    </row>
    <row r="377" spans="3:7" ht="14.25" customHeight="1">
      <c r="C377" s="2"/>
      <c r="E377" s="2"/>
      <c r="G377" s="2"/>
    </row>
    <row r="378" spans="3:7" ht="14.25" customHeight="1">
      <c r="C378" s="2"/>
      <c r="E378" s="2"/>
      <c r="G378" s="2"/>
    </row>
    <row r="379" spans="3:7" ht="14.25" customHeight="1">
      <c r="C379" s="2"/>
      <c r="E379" s="2"/>
      <c r="G379" s="2"/>
    </row>
    <row r="380" spans="3:7" ht="14.25" customHeight="1">
      <c r="C380" s="2"/>
      <c r="E380" s="2"/>
      <c r="G380" s="2"/>
    </row>
    <row r="381" spans="3:7" ht="14.25" customHeight="1">
      <c r="C381" s="2"/>
      <c r="E381" s="2"/>
      <c r="G381" s="2"/>
    </row>
    <row r="382" spans="3:7" ht="14.25" customHeight="1">
      <c r="C382" s="2"/>
      <c r="E382" s="2"/>
      <c r="G382" s="2"/>
    </row>
    <row r="383" spans="3:7" ht="14.25" customHeight="1">
      <c r="C383" s="2"/>
      <c r="E383" s="2"/>
      <c r="G383" s="2"/>
    </row>
    <row r="384" spans="3:7" ht="14.25" customHeight="1">
      <c r="C384" s="2"/>
      <c r="E384" s="2"/>
      <c r="G384" s="2"/>
    </row>
    <row r="385" spans="3:7" ht="14.25" customHeight="1">
      <c r="C385" s="2"/>
      <c r="E385" s="2"/>
      <c r="G385" s="2"/>
    </row>
    <row r="386" spans="3:7" ht="14.25" customHeight="1">
      <c r="C386" s="2"/>
      <c r="E386" s="2"/>
      <c r="G386" s="2"/>
    </row>
    <row r="387" spans="3:7" ht="14.25" customHeight="1">
      <c r="C387" s="2"/>
      <c r="E387" s="2"/>
      <c r="G387" s="2"/>
    </row>
    <row r="388" spans="3:7" ht="14.25" customHeight="1">
      <c r="C388" s="2"/>
      <c r="E388" s="2"/>
      <c r="G388" s="2"/>
    </row>
    <row r="389" spans="3:7" ht="14.25" customHeight="1">
      <c r="C389" s="2"/>
      <c r="E389" s="2"/>
      <c r="G389" s="2"/>
    </row>
    <row r="390" spans="3:7" ht="14.25" customHeight="1">
      <c r="C390" s="2"/>
      <c r="E390" s="2"/>
      <c r="G390" s="2"/>
    </row>
    <row r="391" spans="3:7" ht="14.25" customHeight="1">
      <c r="C391" s="2"/>
      <c r="E391" s="2"/>
      <c r="G391" s="2"/>
    </row>
    <row r="392" spans="3:7" ht="14.25" customHeight="1">
      <c r="C392" s="2"/>
      <c r="E392" s="2"/>
      <c r="G392" s="2"/>
    </row>
    <row r="393" spans="3:7" ht="14.25" customHeight="1">
      <c r="C393" s="2"/>
      <c r="E393" s="2"/>
      <c r="G393" s="2"/>
    </row>
    <row r="394" spans="3:7" ht="14.25" customHeight="1">
      <c r="C394" s="2"/>
      <c r="E394" s="2"/>
      <c r="G394" s="2"/>
    </row>
    <row r="395" spans="3:7" ht="14.25" customHeight="1">
      <c r="C395" s="2"/>
      <c r="E395" s="2"/>
      <c r="G395" s="2"/>
    </row>
    <row r="396" spans="3:7" ht="14.25" customHeight="1">
      <c r="C396" s="2"/>
      <c r="E396" s="2"/>
      <c r="G396" s="2"/>
    </row>
    <row r="397" spans="3:7" ht="14.25" customHeight="1">
      <c r="C397" s="2"/>
      <c r="E397" s="2"/>
      <c r="G397" s="2"/>
    </row>
    <row r="398" spans="3:7" ht="14.25" customHeight="1">
      <c r="C398" s="2"/>
      <c r="E398" s="2"/>
      <c r="G398" s="2"/>
    </row>
    <row r="399" spans="3:7" ht="14.25" customHeight="1">
      <c r="C399" s="2"/>
      <c r="E399" s="2"/>
      <c r="G399" s="2"/>
    </row>
    <row r="400" spans="3:7" ht="14.25" customHeight="1">
      <c r="C400" s="2"/>
      <c r="E400" s="2"/>
      <c r="G400" s="2"/>
    </row>
    <row r="401" spans="3:7" ht="14.25" customHeight="1">
      <c r="C401" s="2"/>
      <c r="E401" s="2"/>
      <c r="G401" s="2"/>
    </row>
    <row r="402" spans="3:7" ht="14.25" customHeight="1">
      <c r="C402" s="2"/>
      <c r="E402" s="2"/>
      <c r="G402" s="2"/>
    </row>
    <row r="403" spans="3:7" ht="14.25" customHeight="1">
      <c r="C403" s="2"/>
      <c r="E403" s="2"/>
      <c r="G403" s="2"/>
    </row>
    <row r="404" spans="3:7" ht="14.25" customHeight="1">
      <c r="C404" s="2"/>
      <c r="E404" s="2"/>
      <c r="G404" s="2"/>
    </row>
    <row r="405" spans="3:7" ht="14.25" customHeight="1">
      <c r="C405" s="2"/>
      <c r="E405" s="2"/>
      <c r="G405" s="2"/>
    </row>
    <row r="406" spans="3:7" ht="14.25" customHeight="1">
      <c r="C406" s="2"/>
      <c r="E406" s="2"/>
      <c r="G406" s="2"/>
    </row>
    <row r="407" spans="3:7" ht="14.25" customHeight="1">
      <c r="C407" s="2"/>
      <c r="E407" s="2"/>
      <c r="G407" s="2"/>
    </row>
    <row r="408" spans="3:7" ht="14.25" customHeight="1">
      <c r="C408" s="2"/>
      <c r="E408" s="2"/>
      <c r="G408" s="2"/>
    </row>
    <row r="409" spans="3:7" ht="14.25" customHeight="1">
      <c r="C409" s="2"/>
      <c r="E409" s="2"/>
      <c r="G409" s="2"/>
    </row>
    <row r="410" spans="3:7" ht="14.25" customHeight="1">
      <c r="C410" s="2"/>
      <c r="E410" s="2"/>
      <c r="G410" s="2"/>
    </row>
    <row r="411" spans="3:7" ht="14.25" customHeight="1">
      <c r="C411" s="2"/>
      <c r="E411" s="2"/>
      <c r="G411" s="2"/>
    </row>
    <row r="412" spans="3:7" ht="14.25" customHeight="1">
      <c r="C412" s="2"/>
      <c r="E412" s="2"/>
      <c r="G412" s="2"/>
    </row>
    <row r="413" spans="3:7" ht="14.25" customHeight="1">
      <c r="C413" s="2"/>
      <c r="E413" s="2"/>
      <c r="G413" s="2"/>
    </row>
    <row r="414" spans="3:7" ht="14.25" customHeight="1">
      <c r="C414" s="2"/>
      <c r="E414" s="2"/>
      <c r="G414" s="2"/>
    </row>
    <row r="415" spans="3:7" ht="14.25" customHeight="1">
      <c r="C415" s="2"/>
      <c r="E415" s="2"/>
      <c r="G415" s="2"/>
    </row>
    <row r="416" spans="3:7" ht="14.25" customHeight="1">
      <c r="C416" s="2"/>
      <c r="E416" s="2"/>
      <c r="G416" s="2"/>
    </row>
    <row r="417" spans="3:7" ht="14.25" customHeight="1">
      <c r="C417" s="2"/>
      <c r="E417" s="2"/>
      <c r="G417" s="2"/>
    </row>
    <row r="418" spans="3:7" ht="14.25" customHeight="1">
      <c r="C418" s="2"/>
      <c r="E418" s="2"/>
      <c r="G418" s="2"/>
    </row>
    <row r="419" spans="3:7" ht="14.25" customHeight="1">
      <c r="C419" s="2"/>
      <c r="E419" s="2"/>
      <c r="G419" s="2"/>
    </row>
    <row r="420" spans="3:7" ht="14.25" customHeight="1">
      <c r="C420" s="2"/>
      <c r="E420" s="2"/>
      <c r="G420" s="2"/>
    </row>
    <row r="421" spans="3:7" ht="14.25" customHeight="1">
      <c r="C421" s="2"/>
      <c r="E421" s="2"/>
      <c r="G421" s="2"/>
    </row>
    <row r="422" spans="3:7" ht="14.25" customHeight="1">
      <c r="C422" s="2"/>
      <c r="E422" s="2"/>
      <c r="G422" s="2"/>
    </row>
    <row r="423" spans="3:7" ht="14.25" customHeight="1">
      <c r="C423" s="2"/>
      <c r="E423" s="2"/>
      <c r="G423" s="2"/>
    </row>
    <row r="424" spans="3:7" ht="14.25" customHeight="1">
      <c r="C424" s="2"/>
      <c r="E424" s="2"/>
      <c r="G424" s="2"/>
    </row>
    <row r="425" spans="3:7" ht="14.25" customHeight="1">
      <c r="C425" s="2"/>
      <c r="E425" s="2"/>
      <c r="G425" s="2"/>
    </row>
    <row r="426" spans="3:7" ht="14.25" customHeight="1">
      <c r="C426" s="2"/>
      <c r="E426" s="2"/>
      <c r="G426" s="2"/>
    </row>
    <row r="427" spans="3:7" ht="14.25" customHeight="1">
      <c r="C427" s="2"/>
      <c r="E427" s="2"/>
      <c r="G427" s="2"/>
    </row>
    <row r="428" spans="3:7" ht="14.25" customHeight="1">
      <c r="C428" s="2"/>
      <c r="E428" s="2"/>
      <c r="G428" s="2"/>
    </row>
    <row r="429" spans="3:7" ht="14.25" customHeight="1">
      <c r="C429" s="2"/>
      <c r="E429" s="2"/>
      <c r="G429" s="2"/>
    </row>
    <row r="430" spans="3:7" ht="14.25" customHeight="1">
      <c r="C430" s="2"/>
      <c r="E430" s="2"/>
      <c r="G430" s="2"/>
    </row>
    <row r="431" spans="3:7" ht="14.25" customHeight="1">
      <c r="C431" s="2"/>
      <c r="E431" s="2"/>
      <c r="G431" s="2"/>
    </row>
    <row r="432" spans="3:7" ht="14.25" customHeight="1">
      <c r="C432" s="2"/>
      <c r="E432" s="2"/>
      <c r="G432" s="2"/>
    </row>
    <row r="433" spans="3:7" ht="14.25" customHeight="1">
      <c r="C433" s="2"/>
      <c r="E433" s="2"/>
      <c r="G433" s="2"/>
    </row>
    <row r="434" spans="3:7" ht="14.25" customHeight="1">
      <c r="C434" s="2"/>
      <c r="E434" s="2"/>
      <c r="G434" s="2"/>
    </row>
    <row r="435" spans="3:7" ht="14.25" customHeight="1">
      <c r="C435" s="2"/>
      <c r="E435" s="2"/>
      <c r="G435" s="2"/>
    </row>
    <row r="436" spans="3:7" ht="14.25" customHeight="1">
      <c r="C436" s="2"/>
      <c r="E436" s="2"/>
      <c r="G436" s="2"/>
    </row>
    <row r="437" spans="3:7" ht="14.25" customHeight="1">
      <c r="C437" s="2"/>
      <c r="E437" s="2"/>
      <c r="G437" s="2"/>
    </row>
    <row r="438" spans="3:7" ht="14.25" customHeight="1">
      <c r="C438" s="2"/>
      <c r="E438" s="2"/>
      <c r="G438" s="2"/>
    </row>
    <row r="439" spans="3:7" ht="14.25" customHeight="1">
      <c r="C439" s="2"/>
      <c r="E439" s="2"/>
      <c r="G439" s="2"/>
    </row>
    <row r="440" spans="3:7" ht="14.25" customHeight="1">
      <c r="C440" s="2"/>
      <c r="E440" s="2"/>
      <c r="G440" s="2"/>
    </row>
    <row r="441" spans="3:7" ht="14.25" customHeight="1">
      <c r="C441" s="2"/>
      <c r="E441" s="2"/>
      <c r="G441" s="2"/>
    </row>
    <row r="442" spans="3:7" ht="14.25" customHeight="1">
      <c r="C442" s="2"/>
      <c r="E442" s="2"/>
      <c r="G442" s="2"/>
    </row>
    <row r="443" spans="3:7" ht="14.25" customHeight="1">
      <c r="C443" s="2"/>
      <c r="E443" s="2"/>
      <c r="G443" s="2"/>
    </row>
    <row r="444" spans="3:7" ht="14.25" customHeight="1">
      <c r="C444" s="2"/>
      <c r="E444" s="2"/>
      <c r="G444" s="2"/>
    </row>
    <row r="445" spans="3:7" ht="14.25" customHeight="1">
      <c r="C445" s="2"/>
      <c r="E445" s="2"/>
      <c r="G445" s="2"/>
    </row>
    <row r="446" spans="3:7" ht="14.25" customHeight="1">
      <c r="C446" s="2"/>
      <c r="E446" s="2"/>
      <c r="G446" s="2"/>
    </row>
    <row r="447" spans="3:7" ht="14.25" customHeight="1">
      <c r="C447" s="2"/>
      <c r="E447" s="2"/>
      <c r="G447" s="2"/>
    </row>
    <row r="448" spans="3:7" ht="14.25" customHeight="1">
      <c r="C448" s="2"/>
      <c r="E448" s="2"/>
      <c r="G448" s="2"/>
    </row>
    <row r="449" spans="3:7" ht="14.25" customHeight="1">
      <c r="C449" s="2"/>
      <c r="E449" s="2"/>
      <c r="G449" s="2"/>
    </row>
    <row r="450" spans="3:7" ht="14.25" customHeight="1">
      <c r="C450" s="2"/>
      <c r="E450" s="2"/>
      <c r="G450" s="2"/>
    </row>
    <row r="451" spans="3:7" ht="14.25" customHeight="1">
      <c r="C451" s="2"/>
      <c r="E451" s="2"/>
      <c r="G451" s="2"/>
    </row>
    <row r="452" spans="3:7" ht="14.25" customHeight="1">
      <c r="C452" s="2"/>
      <c r="E452" s="2"/>
      <c r="G452" s="2"/>
    </row>
    <row r="453" spans="3:7" ht="14.25" customHeight="1">
      <c r="C453" s="2"/>
      <c r="E453" s="2"/>
      <c r="G453" s="2"/>
    </row>
    <row r="454" spans="3:7" ht="14.25" customHeight="1">
      <c r="C454" s="2"/>
      <c r="E454" s="2"/>
      <c r="G454" s="2"/>
    </row>
    <row r="455" spans="3:7" ht="14.25" customHeight="1">
      <c r="C455" s="2"/>
      <c r="E455" s="2"/>
      <c r="G455" s="2"/>
    </row>
    <row r="456" spans="3:7" ht="14.25" customHeight="1">
      <c r="C456" s="2"/>
      <c r="E456" s="2"/>
      <c r="G456" s="2"/>
    </row>
    <row r="457" spans="3:7" ht="14.25" customHeight="1">
      <c r="C457" s="2"/>
      <c r="E457" s="2"/>
      <c r="G457" s="2"/>
    </row>
    <row r="458" spans="3:7" ht="14.25" customHeight="1">
      <c r="C458" s="2"/>
      <c r="E458" s="2"/>
      <c r="G458" s="2"/>
    </row>
    <row r="459" spans="3:7" ht="14.25" customHeight="1">
      <c r="C459" s="2"/>
      <c r="E459" s="2"/>
      <c r="G459" s="2"/>
    </row>
    <row r="460" spans="3:7" ht="14.25" customHeight="1">
      <c r="C460" s="2"/>
      <c r="E460" s="2"/>
      <c r="G460" s="2"/>
    </row>
    <row r="461" spans="3:7" ht="14.25" customHeight="1">
      <c r="C461" s="2"/>
      <c r="E461" s="2"/>
      <c r="G461" s="2"/>
    </row>
    <row r="462" spans="3:7" ht="14.25" customHeight="1">
      <c r="C462" s="2"/>
      <c r="E462" s="2"/>
      <c r="G462" s="2"/>
    </row>
    <row r="463" spans="3:7" ht="14.25" customHeight="1">
      <c r="C463" s="2"/>
      <c r="E463" s="2"/>
      <c r="G463" s="2"/>
    </row>
    <row r="464" spans="3:7" ht="14.25" customHeight="1">
      <c r="C464" s="2"/>
      <c r="E464" s="2"/>
      <c r="G464" s="2"/>
    </row>
    <row r="465" spans="3:7" ht="14.25" customHeight="1">
      <c r="C465" s="2"/>
      <c r="E465" s="2"/>
      <c r="G465" s="2"/>
    </row>
    <row r="466" spans="3:7" ht="14.25" customHeight="1">
      <c r="C466" s="2"/>
      <c r="E466" s="2"/>
      <c r="G466" s="2"/>
    </row>
    <row r="467" spans="3:7" ht="14.25" customHeight="1">
      <c r="C467" s="2"/>
      <c r="E467" s="2"/>
      <c r="G467" s="2"/>
    </row>
    <row r="468" spans="3:7" ht="14.25" customHeight="1">
      <c r="C468" s="2"/>
      <c r="E468" s="2"/>
      <c r="G468" s="2"/>
    </row>
    <row r="469" spans="3:7" ht="14.25" customHeight="1">
      <c r="C469" s="2"/>
      <c r="E469" s="2"/>
      <c r="G469" s="2"/>
    </row>
    <row r="470" spans="3:7" ht="14.25" customHeight="1">
      <c r="C470" s="2"/>
      <c r="E470" s="2"/>
      <c r="G470" s="2"/>
    </row>
    <row r="471" spans="3:7" ht="14.25" customHeight="1">
      <c r="C471" s="2"/>
      <c r="E471" s="2"/>
      <c r="G471" s="2"/>
    </row>
    <row r="472" spans="3:7" ht="14.25" customHeight="1">
      <c r="C472" s="2"/>
      <c r="E472" s="2"/>
      <c r="G472" s="2"/>
    </row>
    <row r="473" spans="3:7" ht="14.25" customHeight="1">
      <c r="C473" s="2"/>
      <c r="E473" s="2"/>
      <c r="G473" s="2"/>
    </row>
    <row r="474" spans="3:7" ht="14.25" customHeight="1">
      <c r="C474" s="2"/>
      <c r="E474" s="2"/>
      <c r="G474" s="2"/>
    </row>
    <row r="475" spans="3:7" ht="14.25" customHeight="1">
      <c r="C475" s="2"/>
      <c r="E475" s="2"/>
      <c r="G475" s="2"/>
    </row>
    <row r="476" spans="3:7" ht="14.25" customHeight="1">
      <c r="C476" s="2"/>
      <c r="E476" s="2"/>
      <c r="G476" s="2"/>
    </row>
    <row r="477" spans="3:7" ht="14.25" customHeight="1">
      <c r="C477" s="2"/>
      <c r="E477" s="2"/>
      <c r="G477" s="2"/>
    </row>
    <row r="478" spans="3:7" ht="14.25" customHeight="1">
      <c r="C478" s="2"/>
      <c r="E478" s="2"/>
      <c r="G478" s="2"/>
    </row>
    <row r="479" spans="3:7" ht="14.25" customHeight="1">
      <c r="C479" s="2"/>
      <c r="E479" s="2"/>
      <c r="G479" s="2"/>
    </row>
    <row r="480" spans="3:7" ht="14.25" customHeight="1">
      <c r="C480" s="2"/>
      <c r="E480" s="2"/>
      <c r="G480" s="2"/>
    </row>
    <row r="481" spans="3:7" ht="14.25" customHeight="1">
      <c r="C481" s="2"/>
      <c r="E481" s="2"/>
      <c r="G481" s="2"/>
    </row>
    <row r="482" spans="3:7" ht="14.25" customHeight="1">
      <c r="C482" s="2"/>
      <c r="E482" s="2"/>
      <c r="G482" s="2"/>
    </row>
    <row r="483" spans="3:7" ht="14.25" customHeight="1">
      <c r="C483" s="2"/>
      <c r="E483" s="2"/>
      <c r="G483" s="2"/>
    </row>
    <row r="484" spans="3:7" ht="14.25" customHeight="1">
      <c r="C484" s="2"/>
      <c r="E484" s="2"/>
      <c r="G484" s="2"/>
    </row>
    <row r="485" spans="3:7" ht="14.25" customHeight="1">
      <c r="C485" s="2"/>
      <c r="E485" s="2"/>
      <c r="G485" s="2"/>
    </row>
    <row r="486" spans="3:7" ht="14.25" customHeight="1">
      <c r="C486" s="2"/>
      <c r="E486" s="2"/>
      <c r="G486" s="2"/>
    </row>
    <row r="487" spans="3:7" ht="14.25" customHeight="1">
      <c r="C487" s="2"/>
      <c r="E487" s="2"/>
      <c r="G487" s="2"/>
    </row>
    <row r="488" spans="3:7" ht="14.25" customHeight="1">
      <c r="C488" s="2"/>
      <c r="E488" s="2"/>
      <c r="G488" s="2"/>
    </row>
    <row r="489" spans="3:7" ht="14.25" customHeight="1">
      <c r="C489" s="2"/>
      <c r="E489" s="2"/>
      <c r="G489" s="2"/>
    </row>
    <row r="490" spans="3:7" ht="14.25" customHeight="1">
      <c r="C490" s="2"/>
      <c r="E490" s="2"/>
      <c r="G490" s="2"/>
    </row>
    <row r="491" spans="3:7" ht="14.25" customHeight="1">
      <c r="C491" s="2"/>
      <c r="E491" s="2"/>
      <c r="G491" s="2"/>
    </row>
    <row r="492" spans="3:7" ht="14.25" customHeight="1">
      <c r="C492" s="2"/>
      <c r="E492" s="2"/>
      <c r="G492" s="2"/>
    </row>
    <row r="493" spans="3:7" ht="14.25" customHeight="1">
      <c r="C493" s="2"/>
      <c r="E493" s="2"/>
      <c r="G493" s="2"/>
    </row>
    <row r="494" spans="3:7" ht="14.25" customHeight="1">
      <c r="C494" s="2"/>
      <c r="E494" s="2"/>
      <c r="G494" s="2"/>
    </row>
    <row r="495" spans="3:7" ht="14.25" customHeight="1">
      <c r="C495" s="2"/>
      <c r="E495" s="2"/>
      <c r="G495" s="2"/>
    </row>
    <row r="496" spans="3:7" ht="14.25" customHeight="1">
      <c r="C496" s="2"/>
      <c r="E496" s="2"/>
      <c r="G496" s="2"/>
    </row>
    <row r="497" spans="3:7" ht="14.25" customHeight="1">
      <c r="C497" s="2"/>
      <c r="E497" s="2"/>
      <c r="G497" s="2"/>
    </row>
    <row r="498" spans="3:7" ht="14.25" customHeight="1">
      <c r="C498" s="2"/>
      <c r="E498" s="2"/>
      <c r="G498" s="2"/>
    </row>
    <row r="499" spans="3:7" ht="14.25" customHeight="1">
      <c r="C499" s="2"/>
      <c r="E499" s="2"/>
      <c r="G499" s="2"/>
    </row>
    <row r="500" spans="3:7" ht="14.25" customHeight="1">
      <c r="C500" s="2"/>
      <c r="E500" s="2"/>
      <c r="G500" s="2"/>
    </row>
    <row r="501" spans="3:7" ht="14.25" customHeight="1">
      <c r="C501" s="2"/>
      <c r="E501" s="2"/>
      <c r="G501" s="2"/>
    </row>
    <row r="502" spans="3:7" ht="14.25" customHeight="1">
      <c r="C502" s="2"/>
      <c r="E502" s="2"/>
      <c r="G502" s="2"/>
    </row>
    <row r="503" spans="3:7" ht="14.25" customHeight="1">
      <c r="C503" s="2"/>
      <c r="E503" s="2"/>
      <c r="G503" s="2"/>
    </row>
    <row r="504" spans="3:7" ht="14.25" customHeight="1">
      <c r="C504" s="2"/>
      <c r="E504" s="2"/>
      <c r="G504" s="2"/>
    </row>
    <row r="505" spans="3:7" ht="14.25" customHeight="1">
      <c r="C505" s="2"/>
      <c r="E505" s="2"/>
      <c r="G505" s="2"/>
    </row>
    <row r="506" spans="3:7" ht="14.25" customHeight="1">
      <c r="C506" s="2"/>
      <c r="E506" s="2"/>
      <c r="G506" s="2"/>
    </row>
    <row r="507" spans="3:7" ht="14.25" customHeight="1">
      <c r="C507" s="2"/>
      <c r="E507" s="2"/>
      <c r="G507" s="2"/>
    </row>
    <row r="508" spans="3:7" ht="14.25" customHeight="1">
      <c r="C508" s="2"/>
      <c r="E508" s="2"/>
      <c r="G508" s="2"/>
    </row>
    <row r="509" spans="3:7" ht="14.25" customHeight="1">
      <c r="C509" s="2"/>
      <c r="E509" s="2"/>
      <c r="G509" s="2"/>
    </row>
    <row r="510" spans="3:7" ht="14.25" customHeight="1">
      <c r="C510" s="2"/>
      <c r="E510" s="2"/>
      <c r="G510" s="2"/>
    </row>
    <row r="511" spans="3:7" ht="14.25" customHeight="1">
      <c r="C511" s="2"/>
      <c r="E511" s="2"/>
      <c r="G511" s="2"/>
    </row>
    <row r="512" spans="3:7" ht="14.25" customHeight="1">
      <c r="C512" s="2"/>
      <c r="E512" s="2"/>
      <c r="G512" s="2"/>
    </row>
    <row r="513" spans="3:7" ht="14.25" customHeight="1">
      <c r="C513" s="2"/>
      <c r="E513" s="2"/>
      <c r="G513" s="2"/>
    </row>
    <row r="514" spans="3:7" ht="14.25" customHeight="1">
      <c r="C514" s="2"/>
      <c r="E514" s="2"/>
      <c r="G514" s="2"/>
    </row>
    <row r="515" spans="3:7" ht="14.25" customHeight="1">
      <c r="C515" s="2"/>
      <c r="E515" s="2"/>
      <c r="G515" s="2"/>
    </row>
    <row r="516" spans="3:7" ht="14.25" customHeight="1">
      <c r="C516" s="2"/>
      <c r="E516" s="2"/>
      <c r="G516" s="2"/>
    </row>
    <row r="517" spans="3:7" ht="14.25" customHeight="1">
      <c r="C517" s="2"/>
      <c r="E517" s="2"/>
      <c r="G517" s="2"/>
    </row>
    <row r="518" spans="3:7" ht="14.25" customHeight="1">
      <c r="C518" s="2"/>
      <c r="E518" s="2"/>
      <c r="G518" s="2"/>
    </row>
    <row r="519" spans="3:7" ht="14.25" customHeight="1">
      <c r="C519" s="2"/>
      <c r="E519" s="2"/>
      <c r="G519" s="2"/>
    </row>
    <row r="520" spans="3:7" ht="14.25" customHeight="1">
      <c r="C520" s="2"/>
      <c r="E520" s="2"/>
      <c r="G520" s="2"/>
    </row>
    <row r="521" spans="3:7" ht="14.25" customHeight="1">
      <c r="C521" s="2"/>
      <c r="E521" s="2"/>
      <c r="G521" s="2"/>
    </row>
    <row r="522" spans="3:7" ht="14.25" customHeight="1">
      <c r="C522" s="2"/>
      <c r="E522" s="2"/>
      <c r="G522" s="2"/>
    </row>
    <row r="523" spans="3:7" ht="14.25" customHeight="1">
      <c r="C523" s="2"/>
      <c r="E523" s="2"/>
      <c r="G523" s="2"/>
    </row>
    <row r="524" spans="3:7" ht="14.25" customHeight="1">
      <c r="C524" s="2"/>
      <c r="E524" s="2"/>
      <c r="G524" s="2"/>
    </row>
    <row r="525" spans="3:7" ht="14.25" customHeight="1">
      <c r="C525" s="2"/>
      <c r="E525" s="2"/>
      <c r="G525" s="2"/>
    </row>
    <row r="526" spans="3:7" ht="14.25" customHeight="1">
      <c r="C526" s="2"/>
      <c r="E526" s="2"/>
      <c r="G526" s="2"/>
    </row>
    <row r="527" spans="3:7" ht="14.25" customHeight="1">
      <c r="C527" s="2"/>
      <c r="E527" s="2"/>
      <c r="G527" s="2"/>
    </row>
    <row r="528" spans="3:7" ht="14.25" customHeight="1">
      <c r="C528" s="2"/>
      <c r="E528" s="2"/>
      <c r="G528" s="2"/>
    </row>
    <row r="529" spans="3:7" ht="14.25" customHeight="1">
      <c r="C529" s="2"/>
      <c r="E529" s="2"/>
      <c r="G529" s="2"/>
    </row>
    <row r="530" spans="3:7" ht="14.25" customHeight="1">
      <c r="C530" s="2"/>
      <c r="E530" s="2"/>
      <c r="G530" s="2"/>
    </row>
    <row r="531" spans="3:7" ht="14.25" customHeight="1">
      <c r="C531" s="2"/>
      <c r="E531" s="2"/>
      <c r="G531" s="2"/>
    </row>
    <row r="532" spans="3:7" ht="14.25" customHeight="1">
      <c r="C532" s="2"/>
      <c r="E532" s="2"/>
      <c r="G532" s="2"/>
    </row>
    <row r="533" spans="3:7" ht="14.25" customHeight="1">
      <c r="C533" s="2"/>
      <c r="E533" s="2"/>
      <c r="G533" s="2"/>
    </row>
    <row r="534" spans="3:7" ht="14.25" customHeight="1">
      <c r="C534" s="2"/>
      <c r="E534" s="2"/>
      <c r="G534" s="2"/>
    </row>
    <row r="535" spans="3:7" ht="14.25" customHeight="1">
      <c r="C535" s="2"/>
      <c r="E535" s="2"/>
      <c r="G535" s="2"/>
    </row>
    <row r="536" spans="3:7" ht="14.25" customHeight="1">
      <c r="C536" s="2"/>
      <c r="E536" s="2"/>
      <c r="G536" s="2"/>
    </row>
    <row r="537" spans="3:7" ht="14.25" customHeight="1">
      <c r="C537" s="2"/>
      <c r="E537" s="2"/>
      <c r="G537" s="2"/>
    </row>
    <row r="538" spans="3:7" ht="14.25" customHeight="1">
      <c r="C538" s="2"/>
      <c r="E538" s="2"/>
      <c r="G538" s="2"/>
    </row>
    <row r="539" spans="3:7" ht="14.25" customHeight="1">
      <c r="C539" s="2"/>
      <c r="E539" s="2"/>
      <c r="G539" s="2"/>
    </row>
    <row r="540" spans="3:7" ht="14.25" customHeight="1">
      <c r="C540" s="2"/>
      <c r="E540" s="2"/>
      <c r="G540" s="2"/>
    </row>
    <row r="541" spans="3:7" ht="14.25" customHeight="1">
      <c r="C541" s="2"/>
      <c r="E541" s="2"/>
      <c r="G541" s="2"/>
    </row>
    <row r="542" spans="3:7" ht="14.25" customHeight="1">
      <c r="C542" s="2"/>
      <c r="E542" s="2"/>
      <c r="G542" s="2"/>
    </row>
    <row r="543" spans="3:7" ht="14.25" customHeight="1">
      <c r="C543" s="2"/>
      <c r="E543" s="2"/>
      <c r="G543" s="2"/>
    </row>
    <row r="544" spans="3:7" ht="14.25" customHeight="1">
      <c r="C544" s="2"/>
      <c r="E544" s="2"/>
      <c r="G544" s="2"/>
    </row>
    <row r="545" spans="3:7" ht="14.25" customHeight="1">
      <c r="C545" s="2"/>
      <c r="E545" s="2"/>
      <c r="G545" s="2"/>
    </row>
    <row r="546" spans="3:7" ht="14.25" customHeight="1">
      <c r="C546" s="2"/>
      <c r="E546" s="2"/>
      <c r="G546" s="2"/>
    </row>
    <row r="547" spans="3:7" ht="14.25" customHeight="1">
      <c r="C547" s="2"/>
      <c r="E547" s="2"/>
      <c r="G547" s="2"/>
    </row>
    <row r="548" spans="3:7" ht="14.25" customHeight="1">
      <c r="C548" s="2"/>
      <c r="E548" s="2"/>
      <c r="G548" s="2"/>
    </row>
    <row r="549" spans="3:7" ht="14.25" customHeight="1">
      <c r="C549" s="2"/>
      <c r="E549" s="2"/>
      <c r="G549" s="2"/>
    </row>
    <row r="550" spans="3:7" ht="14.25" customHeight="1">
      <c r="C550" s="2"/>
      <c r="E550" s="2"/>
      <c r="G550" s="2"/>
    </row>
    <row r="551" spans="3:7" ht="14.25" customHeight="1">
      <c r="C551" s="2"/>
      <c r="E551" s="2"/>
      <c r="G551" s="2"/>
    </row>
    <row r="552" spans="3:7" ht="14.25" customHeight="1">
      <c r="C552" s="2"/>
      <c r="E552" s="2"/>
      <c r="G552" s="2"/>
    </row>
    <row r="553" spans="3:7" ht="14.25" customHeight="1">
      <c r="C553" s="2"/>
      <c r="E553" s="2"/>
      <c r="G553" s="2"/>
    </row>
    <row r="554" spans="3:7" ht="14.25" customHeight="1">
      <c r="C554" s="2"/>
      <c r="E554" s="2"/>
      <c r="G554" s="2"/>
    </row>
    <row r="555" spans="3:7" ht="14.25" customHeight="1">
      <c r="C555" s="2"/>
      <c r="E555" s="2"/>
      <c r="G555" s="2"/>
    </row>
    <row r="556" spans="3:7" ht="14.25" customHeight="1">
      <c r="C556" s="2"/>
      <c r="E556" s="2"/>
      <c r="G556" s="2"/>
    </row>
    <row r="557" spans="3:7" ht="14.25" customHeight="1">
      <c r="C557" s="2"/>
      <c r="E557" s="2"/>
      <c r="G557" s="2"/>
    </row>
    <row r="558" spans="3:7" ht="14.25" customHeight="1">
      <c r="C558" s="2"/>
      <c r="E558" s="2"/>
      <c r="G558" s="2"/>
    </row>
    <row r="559" spans="3:7" ht="14.25" customHeight="1">
      <c r="C559" s="2"/>
      <c r="E559" s="2"/>
      <c r="G559" s="2"/>
    </row>
    <row r="560" spans="3:7" ht="14.25" customHeight="1">
      <c r="C560" s="2"/>
      <c r="E560" s="2"/>
      <c r="G560" s="2"/>
    </row>
    <row r="561" spans="3:7" ht="14.25" customHeight="1">
      <c r="C561" s="2"/>
      <c r="E561" s="2"/>
      <c r="G561" s="2"/>
    </row>
    <row r="562" spans="3:7" ht="14.25" customHeight="1">
      <c r="C562" s="2"/>
      <c r="E562" s="2"/>
      <c r="G562" s="2"/>
    </row>
    <row r="563" spans="3:7" ht="14.25" customHeight="1">
      <c r="C563" s="2"/>
      <c r="E563" s="2"/>
      <c r="G563" s="2"/>
    </row>
    <row r="564" spans="3:7" ht="14.25" customHeight="1">
      <c r="C564" s="2"/>
      <c r="E564" s="2"/>
      <c r="G564" s="2"/>
    </row>
    <row r="565" spans="3:7" ht="14.25" customHeight="1">
      <c r="C565" s="2"/>
      <c r="E565" s="2"/>
      <c r="G565" s="2"/>
    </row>
    <row r="566" spans="3:7" ht="14.25" customHeight="1">
      <c r="C566" s="2"/>
      <c r="E566" s="2"/>
      <c r="G566" s="2"/>
    </row>
    <row r="567" spans="3:7" ht="14.25" customHeight="1">
      <c r="C567" s="2"/>
      <c r="E567" s="2"/>
      <c r="G567" s="2"/>
    </row>
    <row r="568" spans="3:7" ht="14.25" customHeight="1">
      <c r="C568" s="2"/>
      <c r="E568" s="2"/>
      <c r="G568" s="2"/>
    </row>
    <row r="569" spans="3:7" ht="14.25" customHeight="1">
      <c r="C569" s="2"/>
      <c r="E569" s="2"/>
      <c r="G569" s="2"/>
    </row>
    <row r="570" spans="3:7" ht="14.25" customHeight="1">
      <c r="C570" s="2"/>
      <c r="E570" s="2"/>
      <c r="G570" s="2"/>
    </row>
    <row r="571" spans="3:7" ht="14.25" customHeight="1">
      <c r="C571" s="2"/>
      <c r="E571" s="2"/>
      <c r="G571" s="2"/>
    </row>
    <row r="572" spans="3:7" ht="14.25" customHeight="1">
      <c r="C572" s="2"/>
      <c r="E572" s="2"/>
      <c r="G572" s="2"/>
    </row>
    <row r="573" spans="3:7" ht="14.25" customHeight="1">
      <c r="C573" s="2"/>
      <c r="E573" s="2"/>
      <c r="G573" s="2"/>
    </row>
    <row r="574" spans="3:7" ht="14.25" customHeight="1">
      <c r="C574" s="2"/>
      <c r="E574" s="2"/>
      <c r="G574" s="2"/>
    </row>
    <row r="575" spans="3:7" ht="14.25" customHeight="1">
      <c r="C575" s="2"/>
      <c r="E575" s="2"/>
      <c r="G575" s="2"/>
    </row>
    <row r="576" spans="3:7" ht="14.25" customHeight="1">
      <c r="C576" s="2"/>
      <c r="E576" s="2"/>
      <c r="G576" s="2"/>
    </row>
    <row r="577" spans="3:7" ht="14.25" customHeight="1">
      <c r="C577" s="2"/>
      <c r="E577" s="2"/>
      <c r="G577" s="2"/>
    </row>
    <row r="578" spans="3:7" ht="14.25" customHeight="1">
      <c r="C578" s="2"/>
      <c r="E578" s="2"/>
      <c r="G578" s="2"/>
    </row>
    <row r="579" spans="3:7" ht="14.25" customHeight="1">
      <c r="C579" s="2"/>
      <c r="E579" s="2"/>
      <c r="G579" s="2"/>
    </row>
    <row r="580" spans="3:7" ht="14.25" customHeight="1">
      <c r="C580" s="2"/>
      <c r="E580" s="2"/>
      <c r="G580" s="2"/>
    </row>
    <row r="581" spans="3:7" ht="14.25" customHeight="1">
      <c r="C581" s="2"/>
      <c r="E581" s="2"/>
      <c r="G581" s="2"/>
    </row>
    <row r="582" spans="3:7" ht="14.25" customHeight="1">
      <c r="C582" s="2"/>
      <c r="E582" s="2"/>
      <c r="G582" s="2"/>
    </row>
    <row r="583" spans="3:7" ht="14.25" customHeight="1">
      <c r="C583" s="2"/>
      <c r="E583" s="2"/>
      <c r="G583" s="2"/>
    </row>
    <row r="584" spans="3:7" ht="14.25" customHeight="1">
      <c r="C584" s="2"/>
      <c r="E584" s="2"/>
      <c r="G584" s="2"/>
    </row>
    <row r="585" spans="3:7" ht="14.25" customHeight="1">
      <c r="C585" s="2"/>
      <c r="E585" s="2"/>
      <c r="G585" s="2"/>
    </row>
    <row r="586" spans="3:7" ht="14.25" customHeight="1">
      <c r="C586" s="2"/>
      <c r="E586" s="2"/>
      <c r="G586" s="2"/>
    </row>
    <row r="587" spans="3:7" ht="14.25" customHeight="1">
      <c r="C587" s="2"/>
      <c r="E587" s="2"/>
      <c r="G587" s="2"/>
    </row>
    <row r="588" spans="3:7" ht="14.25" customHeight="1">
      <c r="C588" s="2"/>
      <c r="E588" s="2"/>
      <c r="G588" s="2"/>
    </row>
    <row r="589" spans="3:7" ht="14.25" customHeight="1">
      <c r="C589" s="2"/>
      <c r="E589" s="2"/>
      <c r="G589" s="2"/>
    </row>
    <row r="590" spans="3:7" ht="14.25" customHeight="1">
      <c r="C590" s="2"/>
      <c r="E590" s="2"/>
      <c r="G590" s="2"/>
    </row>
    <row r="591" spans="3:7" ht="14.25" customHeight="1">
      <c r="C591" s="2"/>
      <c r="E591" s="2"/>
      <c r="G591" s="2"/>
    </row>
    <row r="592" spans="3:7" ht="14.25" customHeight="1">
      <c r="C592" s="2"/>
      <c r="E592" s="2"/>
      <c r="G592" s="2"/>
    </row>
    <row r="593" spans="3:7" ht="14.25" customHeight="1">
      <c r="C593" s="2"/>
      <c r="E593" s="2"/>
      <c r="G593" s="2"/>
    </row>
    <row r="594" spans="3:7" ht="14.25" customHeight="1">
      <c r="C594" s="2"/>
      <c r="E594" s="2"/>
      <c r="G594" s="2"/>
    </row>
    <row r="595" spans="3:7" ht="14.25" customHeight="1">
      <c r="C595" s="2"/>
      <c r="E595" s="2"/>
      <c r="G595" s="2"/>
    </row>
    <row r="596" spans="3:7" ht="14.25" customHeight="1">
      <c r="C596" s="2"/>
      <c r="E596" s="2"/>
      <c r="G596" s="2"/>
    </row>
    <row r="597" spans="3:7" ht="14.25" customHeight="1">
      <c r="C597" s="2"/>
      <c r="E597" s="2"/>
      <c r="G597" s="2"/>
    </row>
    <row r="598" spans="3:7" ht="14.25" customHeight="1">
      <c r="C598" s="2"/>
      <c r="E598" s="2"/>
      <c r="G598" s="2"/>
    </row>
    <row r="599" spans="3:7" ht="14.25" customHeight="1">
      <c r="C599" s="2"/>
      <c r="E599" s="2"/>
      <c r="G599" s="2"/>
    </row>
    <row r="600" spans="3:7" ht="14.25" customHeight="1">
      <c r="C600" s="2"/>
      <c r="E600" s="2"/>
      <c r="G600" s="2"/>
    </row>
    <row r="601" spans="3:7" ht="14.25" customHeight="1">
      <c r="C601" s="2"/>
      <c r="E601" s="2"/>
      <c r="G601" s="2"/>
    </row>
    <row r="602" spans="3:7" ht="14.25" customHeight="1">
      <c r="C602" s="2"/>
      <c r="E602" s="2"/>
      <c r="G602" s="2"/>
    </row>
    <row r="603" spans="3:7" ht="14.25" customHeight="1">
      <c r="C603" s="2"/>
      <c r="E603" s="2"/>
      <c r="G603" s="2"/>
    </row>
    <row r="604" spans="3:7" ht="14.25" customHeight="1">
      <c r="C604" s="2"/>
      <c r="E604" s="2"/>
      <c r="G604" s="2"/>
    </row>
    <row r="605" spans="3:7" ht="14.25" customHeight="1">
      <c r="C605" s="2"/>
      <c r="E605" s="2"/>
      <c r="G605" s="2"/>
    </row>
    <row r="606" spans="3:7" ht="14.25" customHeight="1">
      <c r="C606" s="2"/>
      <c r="E606" s="2"/>
      <c r="G606" s="2"/>
    </row>
    <row r="607" spans="3:7" ht="14.25" customHeight="1">
      <c r="C607" s="2"/>
      <c r="E607" s="2"/>
      <c r="G607" s="2"/>
    </row>
    <row r="608" spans="3:7" ht="14.25" customHeight="1">
      <c r="C608" s="2"/>
      <c r="E608" s="2"/>
      <c r="G608" s="2"/>
    </row>
    <row r="609" spans="3:7" ht="14.25" customHeight="1">
      <c r="C609" s="2"/>
      <c r="E609" s="2"/>
      <c r="G609" s="2"/>
    </row>
    <row r="610" spans="3:7" ht="14.25" customHeight="1">
      <c r="C610" s="2"/>
      <c r="E610" s="2"/>
      <c r="G610" s="2"/>
    </row>
    <row r="611" spans="3:7" ht="14.25" customHeight="1">
      <c r="C611" s="2"/>
      <c r="E611" s="2"/>
      <c r="G611" s="2"/>
    </row>
    <row r="612" spans="3:7" ht="14.25" customHeight="1">
      <c r="C612" s="2"/>
      <c r="E612" s="2"/>
      <c r="G612" s="2"/>
    </row>
    <row r="613" spans="3:7" ht="14.25" customHeight="1">
      <c r="C613" s="2"/>
      <c r="E613" s="2"/>
      <c r="G613" s="2"/>
    </row>
    <row r="614" spans="3:7" ht="14.25" customHeight="1">
      <c r="C614" s="2"/>
      <c r="E614" s="2"/>
      <c r="G614" s="2"/>
    </row>
    <row r="615" spans="3:7" ht="14.25" customHeight="1">
      <c r="C615" s="2"/>
      <c r="E615" s="2"/>
      <c r="G615" s="2"/>
    </row>
    <row r="616" spans="3:7" ht="14.25" customHeight="1">
      <c r="C616" s="2"/>
      <c r="E616" s="2"/>
      <c r="G616" s="2"/>
    </row>
    <row r="617" spans="3:7" ht="14.25" customHeight="1">
      <c r="C617" s="2"/>
      <c r="E617" s="2"/>
      <c r="G617" s="2"/>
    </row>
    <row r="618" spans="3:7" ht="14.25" customHeight="1">
      <c r="C618" s="2"/>
      <c r="E618" s="2"/>
      <c r="G618" s="2"/>
    </row>
    <row r="619" spans="3:7" ht="14.25" customHeight="1">
      <c r="C619" s="2"/>
      <c r="E619" s="2"/>
      <c r="G619" s="2"/>
    </row>
    <row r="620" spans="3:7" ht="14.25" customHeight="1">
      <c r="C620" s="2"/>
      <c r="E620" s="2"/>
      <c r="G620" s="2"/>
    </row>
    <row r="621" spans="3:7" ht="14.25" customHeight="1">
      <c r="C621" s="2"/>
      <c r="E621" s="2"/>
      <c r="G621" s="2"/>
    </row>
    <row r="622" spans="3:7" ht="14.25" customHeight="1">
      <c r="C622" s="2"/>
      <c r="E622" s="2"/>
      <c r="G622" s="2"/>
    </row>
    <row r="623" spans="3:7" ht="14.25" customHeight="1">
      <c r="C623" s="2"/>
      <c r="E623" s="2"/>
      <c r="G623" s="2"/>
    </row>
    <row r="624" spans="3:7" ht="14.25" customHeight="1">
      <c r="C624" s="2"/>
      <c r="E624" s="2"/>
      <c r="G624" s="2"/>
    </row>
    <row r="625" spans="3:7" ht="14.25" customHeight="1">
      <c r="C625" s="2"/>
      <c r="E625" s="2"/>
      <c r="G625" s="2"/>
    </row>
    <row r="626" spans="3:7" ht="14.25" customHeight="1">
      <c r="C626" s="2"/>
      <c r="E626" s="2"/>
      <c r="G626" s="2"/>
    </row>
    <row r="627" spans="3:7" ht="14.25" customHeight="1">
      <c r="C627" s="2"/>
      <c r="E627" s="2"/>
      <c r="G627" s="2"/>
    </row>
    <row r="628" spans="3:7" ht="14.25" customHeight="1">
      <c r="C628" s="2"/>
      <c r="E628" s="2"/>
      <c r="G628" s="2"/>
    </row>
    <row r="629" spans="3:7" ht="14.25" customHeight="1">
      <c r="C629" s="2"/>
      <c r="E629" s="2"/>
      <c r="G629" s="2"/>
    </row>
    <row r="630" spans="3:7" ht="14.25" customHeight="1">
      <c r="C630" s="2"/>
      <c r="E630" s="2"/>
      <c r="G630" s="2"/>
    </row>
    <row r="631" spans="3:7" ht="14.25" customHeight="1">
      <c r="C631" s="2"/>
      <c r="E631" s="2"/>
      <c r="G631" s="2"/>
    </row>
    <row r="632" spans="3:7" ht="14.25" customHeight="1">
      <c r="C632" s="2"/>
      <c r="E632" s="2"/>
      <c r="G632" s="2"/>
    </row>
    <row r="633" spans="3:7" ht="14.25" customHeight="1">
      <c r="C633" s="2"/>
      <c r="E633" s="2"/>
      <c r="G633" s="2"/>
    </row>
    <row r="634" spans="3:7" ht="14.25" customHeight="1">
      <c r="C634" s="2"/>
      <c r="E634" s="2"/>
      <c r="G634" s="2"/>
    </row>
    <row r="635" spans="3:7" ht="14.25" customHeight="1">
      <c r="C635" s="2"/>
      <c r="E635" s="2"/>
      <c r="G635" s="2"/>
    </row>
    <row r="636" spans="3:7" ht="14.25" customHeight="1">
      <c r="C636" s="2"/>
      <c r="E636" s="2"/>
      <c r="G636" s="2"/>
    </row>
    <row r="637" spans="3:7" ht="14.25" customHeight="1">
      <c r="C637" s="2"/>
      <c r="E637" s="2"/>
      <c r="G637" s="2"/>
    </row>
    <row r="638" spans="3:7" ht="14.25" customHeight="1">
      <c r="C638" s="2"/>
      <c r="E638" s="2"/>
      <c r="G638" s="2"/>
    </row>
    <row r="639" spans="3:7" ht="14.25" customHeight="1">
      <c r="C639" s="2"/>
      <c r="E639" s="2"/>
      <c r="G639" s="2"/>
    </row>
    <row r="640" spans="3:7" ht="14.25" customHeight="1">
      <c r="C640" s="2"/>
      <c r="E640" s="2"/>
      <c r="G640" s="2"/>
    </row>
    <row r="641" spans="3:7" ht="14.25" customHeight="1">
      <c r="C641" s="2"/>
      <c r="E641" s="2"/>
      <c r="G641" s="2"/>
    </row>
    <row r="642" spans="3:7" ht="14.25" customHeight="1">
      <c r="C642" s="2"/>
      <c r="E642" s="2"/>
      <c r="G642" s="2"/>
    </row>
    <row r="643" spans="3:7" ht="14.25" customHeight="1">
      <c r="C643" s="2"/>
      <c r="E643" s="2"/>
      <c r="G643" s="2"/>
    </row>
    <row r="644" spans="3:7" ht="14.25" customHeight="1">
      <c r="C644" s="2"/>
      <c r="E644" s="2"/>
      <c r="G644" s="2"/>
    </row>
    <row r="645" spans="3:7" ht="14.25" customHeight="1">
      <c r="C645" s="2"/>
      <c r="E645" s="2"/>
      <c r="G645" s="2"/>
    </row>
    <row r="646" spans="3:7" ht="14.25" customHeight="1">
      <c r="C646" s="2"/>
      <c r="E646" s="2"/>
      <c r="G646" s="2"/>
    </row>
    <row r="647" spans="3:7" ht="14.25" customHeight="1">
      <c r="C647" s="2"/>
      <c r="E647" s="2"/>
      <c r="G647" s="2"/>
    </row>
    <row r="648" spans="3:7" ht="14.25" customHeight="1">
      <c r="C648" s="2"/>
      <c r="E648" s="2"/>
      <c r="G648" s="2"/>
    </row>
    <row r="649" spans="3:7" ht="14.25" customHeight="1">
      <c r="C649" s="2"/>
      <c r="E649" s="2"/>
      <c r="G649" s="2"/>
    </row>
    <row r="650" spans="3:7" ht="14.25" customHeight="1">
      <c r="C650" s="2"/>
      <c r="E650" s="2"/>
      <c r="G650" s="2"/>
    </row>
    <row r="651" spans="3:7" ht="14.25" customHeight="1">
      <c r="C651" s="2"/>
      <c r="E651" s="2"/>
      <c r="G651" s="2"/>
    </row>
    <row r="652" spans="3:7" ht="14.25" customHeight="1">
      <c r="C652" s="2"/>
      <c r="E652" s="2"/>
      <c r="G652" s="2"/>
    </row>
    <row r="653" spans="3:7" ht="14.25" customHeight="1">
      <c r="C653" s="2"/>
      <c r="E653" s="2"/>
      <c r="G653" s="2"/>
    </row>
    <row r="654" spans="3:7" ht="14.25" customHeight="1">
      <c r="C654" s="2"/>
      <c r="E654" s="2"/>
      <c r="G654" s="2"/>
    </row>
    <row r="655" spans="3:7" ht="14.25" customHeight="1">
      <c r="C655" s="2"/>
      <c r="E655" s="2"/>
      <c r="G655" s="2"/>
    </row>
    <row r="656" spans="3:7" ht="14.25" customHeight="1">
      <c r="C656" s="2"/>
      <c r="E656" s="2"/>
      <c r="G656" s="2"/>
    </row>
    <row r="657" spans="3:7" ht="14.25" customHeight="1">
      <c r="C657" s="2"/>
      <c r="E657" s="2"/>
      <c r="G657" s="2"/>
    </row>
    <row r="658" spans="3:7" ht="14.25" customHeight="1">
      <c r="C658" s="2"/>
      <c r="E658" s="2"/>
      <c r="G658" s="2"/>
    </row>
    <row r="659" spans="3:7" ht="14.25" customHeight="1">
      <c r="C659" s="2"/>
      <c r="E659" s="2"/>
      <c r="G659" s="2"/>
    </row>
    <row r="660" spans="3:7" ht="14.25" customHeight="1">
      <c r="C660" s="2"/>
      <c r="E660" s="2"/>
      <c r="G660" s="2"/>
    </row>
    <row r="661" spans="3:7" ht="14.25" customHeight="1">
      <c r="C661" s="2"/>
      <c r="E661" s="2"/>
      <c r="G661" s="2"/>
    </row>
    <row r="662" spans="3:7" ht="14.25" customHeight="1">
      <c r="C662" s="2"/>
      <c r="E662" s="2"/>
      <c r="G662" s="2"/>
    </row>
    <row r="663" spans="3:7" ht="14.25" customHeight="1">
      <c r="C663" s="2"/>
      <c r="E663" s="2"/>
      <c r="G663" s="2"/>
    </row>
    <row r="664" spans="3:7" ht="14.25" customHeight="1">
      <c r="C664" s="2"/>
      <c r="E664" s="2"/>
      <c r="G664" s="2"/>
    </row>
    <row r="665" spans="3:7" ht="14.25" customHeight="1">
      <c r="C665" s="2"/>
      <c r="E665" s="2"/>
      <c r="G665" s="2"/>
    </row>
    <row r="666" spans="3:7" ht="14.25" customHeight="1">
      <c r="C666" s="2"/>
      <c r="E666" s="2"/>
      <c r="G666" s="2"/>
    </row>
    <row r="667" spans="3:7" ht="14.25" customHeight="1">
      <c r="C667" s="2"/>
      <c r="E667" s="2"/>
      <c r="G667" s="2"/>
    </row>
    <row r="668" spans="3:7" ht="14.25" customHeight="1">
      <c r="C668" s="2"/>
      <c r="E668" s="2"/>
      <c r="G668" s="2"/>
    </row>
    <row r="669" spans="3:7" ht="14.25" customHeight="1">
      <c r="C669" s="2"/>
      <c r="E669" s="2"/>
      <c r="G669" s="2"/>
    </row>
    <row r="670" spans="3:7" ht="14.25" customHeight="1">
      <c r="C670" s="2"/>
      <c r="E670" s="2"/>
      <c r="G670" s="2"/>
    </row>
    <row r="671" spans="3:7" ht="14.25" customHeight="1">
      <c r="C671" s="2"/>
      <c r="E671" s="2"/>
      <c r="G671" s="2"/>
    </row>
    <row r="672" spans="3:7" ht="14.25" customHeight="1">
      <c r="C672" s="2"/>
      <c r="E672" s="2"/>
      <c r="G672" s="2"/>
    </row>
    <row r="673" spans="3:7" ht="14.25" customHeight="1">
      <c r="C673" s="2"/>
      <c r="E673" s="2"/>
      <c r="G673" s="2"/>
    </row>
    <row r="674" spans="3:7" ht="14.25" customHeight="1">
      <c r="C674" s="2"/>
      <c r="E674" s="2"/>
      <c r="G674" s="2"/>
    </row>
    <row r="675" spans="3:7" ht="14.25" customHeight="1">
      <c r="C675" s="2"/>
      <c r="E675" s="2"/>
      <c r="G675" s="2"/>
    </row>
    <row r="676" spans="3:7" ht="14.25" customHeight="1">
      <c r="C676" s="2"/>
      <c r="E676" s="2"/>
      <c r="G676" s="2"/>
    </row>
    <row r="677" spans="3:7" ht="14.25" customHeight="1">
      <c r="C677" s="2"/>
      <c r="E677" s="2"/>
      <c r="G677" s="2"/>
    </row>
    <row r="678" spans="3:7" ht="14.25" customHeight="1">
      <c r="C678" s="2"/>
      <c r="E678" s="2"/>
      <c r="G678" s="2"/>
    </row>
    <row r="679" spans="3:7" ht="14.25" customHeight="1">
      <c r="C679" s="2"/>
      <c r="E679" s="2"/>
      <c r="G679" s="2"/>
    </row>
    <row r="680" spans="3:7" ht="14.25" customHeight="1">
      <c r="C680" s="2"/>
      <c r="E680" s="2"/>
      <c r="G680" s="2"/>
    </row>
    <row r="681" spans="3:7" ht="14.25" customHeight="1">
      <c r="C681" s="2"/>
      <c r="E681" s="2"/>
      <c r="G681" s="2"/>
    </row>
    <row r="682" spans="3:7" ht="14.25" customHeight="1">
      <c r="C682" s="2"/>
      <c r="E682" s="2"/>
      <c r="G682" s="2"/>
    </row>
    <row r="683" spans="3:7" ht="14.25" customHeight="1">
      <c r="C683" s="2"/>
      <c r="E683" s="2"/>
      <c r="G683" s="2"/>
    </row>
    <row r="684" spans="3:7" ht="14.25" customHeight="1">
      <c r="C684" s="2"/>
      <c r="E684" s="2"/>
      <c r="G684" s="2"/>
    </row>
    <row r="685" spans="3:7" ht="14.25" customHeight="1">
      <c r="C685" s="2"/>
      <c r="E685" s="2"/>
      <c r="G685" s="2"/>
    </row>
    <row r="686" spans="3:7" ht="14.25" customHeight="1">
      <c r="C686" s="2"/>
      <c r="E686" s="2"/>
      <c r="G686" s="2"/>
    </row>
    <row r="687" spans="3:7" ht="14.25" customHeight="1">
      <c r="C687" s="2"/>
      <c r="E687" s="2"/>
      <c r="G687" s="2"/>
    </row>
    <row r="688" spans="3:7" ht="14.25" customHeight="1">
      <c r="C688" s="2"/>
      <c r="E688" s="2"/>
      <c r="G688" s="2"/>
    </row>
    <row r="689" spans="3:7" ht="14.25" customHeight="1">
      <c r="C689" s="2"/>
      <c r="E689" s="2"/>
      <c r="G689" s="2"/>
    </row>
    <row r="690" spans="3:7" ht="14.25" customHeight="1">
      <c r="C690" s="2"/>
      <c r="E690" s="2"/>
      <c r="G690" s="2"/>
    </row>
    <row r="691" spans="3:7" ht="14.25" customHeight="1">
      <c r="C691" s="2"/>
      <c r="E691" s="2"/>
      <c r="G691" s="2"/>
    </row>
    <row r="692" spans="3:7" ht="14.25" customHeight="1">
      <c r="C692" s="2"/>
      <c r="E692" s="2"/>
      <c r="G692" s="2"/>
    </row>
    <row r="693" spans="3:7" ht="14.25" customHeight="1">
      <c r="C693" s="2"/>
      <c r="E693" s="2"/>
      <c r="G693" s="2"/>
    </row>
    <row r="694" spans="3:7" ht="14.25" customHeight="1">
      <c r="C694" s="2"/>
      <c r="E694" s="2"/>
      <c r="G694" s="2"/>
    </row>
    <row r="695" spans="3:7" ht="14.25" customHeight="1">
      <c r="C695" s="2"/>
      <c r="E695" s="2"/>
      <c r="G695" s="2"/>
    </row>
    <row r="696" spans="3:7" ht="14.25" customHeight="1">
      <c r="C696" s="2"/>
      <c r="E696" s="2"/>
      <c r="G696" s="2"/>
    </row>
    <row r="697" spans="3:7" ht="14.25" customHeight="1">
      <c r="C697" s="2"/>
      <c r="E697" s="2"/>
      <c r="G697" s="2"/>
    </row>
    <row r="698" spans="3:7" ht="14.25" customHeight="1">
      <c r="C698" s="2"/>
      <c r="E698" s="2"/>
      <c r="G698" s="2"/>
    </row>
    <row r="699" spans="3:7" ht="14.25" customHeight="1">
      <c r="C699" s="2"/>
      <c r="E699" s="2"/>
      <c r="G699" s="2"/>
    </row>
    <row r="700" spans="3:7" ht="14.25" customHeight="1">
      <c r="C700" s="2"/>
      <c r="E700" s="2"/>
      <c r="G700" s="2"/>
    </row>
    <row r="701" spans="3:7" ht="14.25" customHeight="1">
      <c r="C701" s="2"/>
      <c r="E701" s="2"/>
      <c r="G701" s="2"/>
    </row>
    <row r="702" spans="3:7" ht="14.25" customHeight="1">
      <c r="C702" s="2"/>
      <c r="E702" s="2"/>
      <c r="G702" s="2"/>
    </row>
    <row r="703" spans="3:7" ht="14.25" customHeight="1">
      <c r="C703" s="2"/>
      <c r="E703" s="2"/>
      <c r="G703" s="2"/>
    </row>
    <row r="704" spans="3:7" ht="14.25" customHeight="1">
      <c r="C704" s="2"/>
      <c r="E704" s="2"/>
      <c r="G704" s="2"/>
    </row>
    <row r="705" spans="3:7" ht="14.25" customHeight="1">
      <c r="C705" s="2"/>
      <c r="E705" s="2"/>
      <c r="G705" s="2"/>
    </row>
    <row r="706" spans="3:7" ht="14.25" customHeight="1">
      <c r="C706" s="2"/>
      <c r="E706" s="2"/>
      <c r="G706" s="2"/>
    </row>
    <row r="707" spans="3:7" ht="14.25" customHeight="1">
      <c r="C707" s="2"/>
      <c r="E707" s="2"/>
      <c r="G707" s="2"/>
    </row>
    <row r="708" spans="3:7" ht="14.25" customHeight="1">
      <c r="C708" s="2"/>
      <c r="E708" s="2"/>
      <c r="G708" s="2"/>
    </row>
    <row r="709" spans="3:7" ht="14.25" customHeight="1">
      <c r="C709" s="2"/>
      <c r="E709" s="2"/>
      <c r="G709" s="2"/>
    </row>
    <row r="710" spans="3:7" ht="14.25" customHeight="1">
      <c r="C710" s="2"/>
      <c r="E710" s="2"/>
      <c r="G710" s="2"/>
    </row>
    <row r="711" spans="3:7" ht="14.25" customHeight="1">
      <c r="C711" s="2"/>
      <c r="E711" s="2"/>
      <c r="G711" s="2"/>
    </row>
    <row r="712" spans="3:7" ht="14.25" customHeight="1">
      <c r="C712" s="2"/>
      <c r="E712" s="2"/>
      <c r="G712" s="2"/>
    </row>
    <row r="713" spans="3:7" ht="14.25" customHeight="1">
      <c r="C713" s="2"/>
      <c r="E713" s="2"/>
      <c r="G713" s="2"/>
    </row>
    <row r="714" spans="3:7" ht="14.25" customHeight="1">
      <c r="C714" s="2"/>
      <c r="E714" s="2"/>
      <c r="G714" s="2"/>
    </row>
    <row r="715" spans="3:7" ht="14.25" customHeight="1">
      <c r="C715" s="2"/>
      <c r="E715" s="2"/>
      <c r="G715" s="2"/>
    </row>
    <row r="716" spans="3:7" ht="14.25" customHeight="1">
      <c r="C716" s="2"/>
      <c r="E716" s="2"/>
      <c r="G716" s="2"/>
    </row>
    <row r="717" spans="3:7" ht="14.25" customHeight="1">
      <c r="C717" s="2"/>
      <c r="E717" s="2"/>
      <c r="G717" s="2"/>
    </row>
    <row r="718" spans="3:7" ht="14.25" customHeight="1">
      <c r="C718" s="2"/>
      <c r="E718" s="2"/>
      <c r="G718" s="2"/>
    </row>
    <row r="719" spans="3:7" ht="14.25" customHeight="1">
      <c r="C719" s="2"/>
      <c r="E719" s="2"/>
      <c r="G719" s="2"/>
    </row>
    <row r="720" spans="3:7" ht="14.25" customHeight="1">
      <c r="C720" s="2"/>
      <c r="E720" s="2"/>
      <c r="G720" s="2"/>
    </row>
    <row r="721" spans="3:7" ht="14.25" customHeight="1">
      <c r="C721" s="2"/>
      <c r="E721" s="2"/>
      <c r="G721" s="2"/>
    </row>
    <row r="722" spans="3:7" ht="14.25" customHeight="1">
      <c r="C722" s="2"/>
      <c r="E722" s="2"/>
      <c r="G722" s="2"/>
    </row>
    <row r="723" spans="3:7" ht="14.25" customHeight="1">
      <c r="C723" s="2"/>
      <c r="E723" s="2"/>
      <c r="G723" s="2"/>
    </row>
    <row r="724" spans="3:7" ht="14.25" customHeight="1">
      <c r="C724" s="2"/>
      <c r="E724" s="2"/>
      <c r="G724" s="2"/>
    </row>
    <row r="725" spans="3:7" ht="14.25" customHeight="1">
      <c r="C725" s="2"/>
      <c r="E725" s="2"/>
      <c r="G725" s="2"/>
    </row>
    <row r="726" spans="3:7" ht="14.25" customHeight="1">
      <c r="C726" s="2"/>
      <c r="E726" s="2"/>
      <c r="G726" s="2"/>
    </row>
    <row r="727" spans="3:7" ht="14.25" customHeight="1">
      <c r="C727" s="2"/>
      <c r="E727" s="2"/>
      <c r="G727" s="2"/>
    </row>
    <row r="728" spans="3:7" ht="14.25" customHeight="1">
      <c r="C728" s="2"/>
      <c r="E728" s="2"/>
      <c r="G728" s="2"/>
    </row>
    <row r="729" spans="3:7" ht="14.25" customHeight="1">
      <c r="C729" s="2"/>
      <c r="E729" s="2"/>
      <c r="G729" s="2"/>
    </row>
    <row r="730" spans="3:7" ht="14.25" customHeight="1">
      <c r="C730" s="2"/>
      <c r="E730" s="2"/>
      <c r="G730" s="2"/>
    </row>
    <row r="731" spans="3:7" ht="14.25" customHeight="1">
      <c r="C731" s="2"/>
      <c r="E731" s="2"/>
      <c r="G731" s="2"/>
    </row>
    <row r="732" spans="3:7" ht="14.25" customHeight="1">
      <c r="C732" s="2"/>
      <c r="E732" s="2"/>
      <c r="G732" s="2"/>
    </row>
    <row r="733" spans="3:7" ht="14.25" customHeight="1">
      <c r="C733" s="2"/>
      <c r="E733" s="2"/>
      <c r="G733" s="2"/>
    </row>
    <row r="734" spans="3:7" ht="14.25" customHeight="1">
      <c r="C734" s="2"/>
      <c r="E734" s="2"/>
      <c r="G734" s="2"/>
    </row>
    <row r="735" spans="3:7" ht="14.25" customHeight="1">
      <c r="C735" s="2"/>
      <c r="E735" s="2"/>
      <c r="G735" s="2"/>
    </row>
    <row r="736" spans="3:7" ht="14.25" customHeight="1">
      <c r="C736" s="2"/>
      <c r="E736" s="2"/>
      <c r="G736" s="2"/>
    </row>
    <row r="737" spans="3:7" ht="14.25" customHeight="1">
      <c r="C737" s="2"/>
      <c r="E737" s="2"/>
      <c r="G737" s="2"/>
    </row>
    <row r="738" spans="3:7" ht="14.25" customHeight="1">
      <c r="C738" s="2"/>
      <c r="E738" s="2"/>
      <c r="G738" s="2"/>
    </row>
    <row r="739" spans="3:7" ht="14.25" customHeight="1">
      <c r="C739" s="2"/>
      <c r="E739" s="2"/>
      <c r="G739" s="2"/>
    </row>
    <row r="740" spans="3:7" ht="14.25" customHeight="1">
      <c r="C740" s="2"/>
      <c r="E740" s="2"/>
      <c r="G740" s="2"/>
    </row>
    <row r="741" spans="3:7" ht="14.25" customHeight="1">
      <c r="C741" s="2"/>
      <c r="E741" s="2"/>
      <c r="G741" s="2"/>
    </row>
    <row r="742" spans="3:7" ht="14.25" customHeight="1">
      <c r="C742" s="2"/>
      <c r="E742" s="2"/>
      <c r="G742" s="2"/>
    </row>
    <row r="743" spans="3:7" ht="14.25" customHeight="1">
      <c r="C743" s="2"/>
      <c r="E743" s="2"/>
      <c r="G743" s="2"/>
    </row>
    <row r="744" spans="3:7" ht="14.25" customHeight="1">
      <c r="C744" s="2"/>
      <c r="E744" s="2"/>
      <c r="G744" s="2"/>
    </row>
    <row r="745" spans="3:7" ht="14.25" customHeight="1">
      <c r="C745" s="2"/>
      <c r="E745" s="2"/>
      <c r="G745" s="2"/>
    </row>
    <row r="746" spans="3:7" ht="14.25" customHeight="1">
      <c r="C746" s="2"/>
      <c r="E746" s="2"/>
      <c r="G746" s="2"/>
    </row>
    <row r="747" spans="3:7" ht="14.25" customHeight="1">
      <c r="C747" s="2"/>
      <c r="E747" s="2"/>
      <c r="G747" s="2"/>
    </row>
    <row r="748" spans="3:7" ht="14.25" customHeight="1">
      <c r="C748" s="2"/>
      <c r="E748" s="2"/>
      <c r="G748" s="2"/>
    </row>
    <row r="749" spans="3:7" ht="14.25" customHeight="1">
      <c r="C749" s="2"/>
      <c r="E749" s="2"/>
      <c r="G749" s="2"/>
    </row>
    <row r="750" spans="3:7" ht="14.25" customHeight="1">
      <c r="C750" s="2"/>
      <c r="E750" s="2"/>
      <c r="G750" s="2"/>
    </row>
    <row r="751" spans="3:7" ht="14.25" customHeight="1">
      <c r="C751" s="2"/>
      <c r="E751" s="2"/>
      <c r="G751" s="2"/>
    </row>
    <row r="752" spans="3:7" ht="14.25" customHeight="1">
      <c r="C752" s="2"/>
      <c r="E752" s="2"/>
      <c r="G752" s="2"/>
    </row>
    <row r="753" spans="3:7" ht="14.25" customHeight="1">
      <c r="C753" s="2"/>
      <c r="E753" s="2"/>
      <c r="G753" s="2"/>
    </row>
    <row r="754" spans="3:7" ht="14.25" customHeight="1">
      <c r="C754" s="2"/>
      <c r="E754" s="2"/>
      <c r="G754" s="2"/>
    </row>
    <row r="755" spans="3:7" ht="14.25" customHeight="1">
      <c r="C755" s="2"/>
      <c r="E755" s="2"/>
      <c r="G755" s="2"/>
    </row>
    <row r="756" spans="3:7" ht="14.25" customHeight="1">
      <c r="C756" s="2"/>
      <c r="E756" s="2"/>
      <c r="G756" s="2"/>
    </row>
    <row r="757" spans="3:7" ht="14.25" customHeight="1">
      <c r="C757" s="2"/>
      <c r="E757" s="2"/>
      <c r="G757" s="2"/>
    </row>
    <row r="758" spans="3:7" ht="14.25" customHeight="1">
      <c r="C758" s="2"/>
      <c r="E758" s="2"/>
      <c r="G758" s="2"/>
    </row>
    <row r="759" spans="3:7" ht="14.25" customHeight="1">
      <c r="C759" s="2"/>
      <c r="E759" s="2"/>
      <c r="G759" s="2"/>
    </row>
    <row r="760" spans="3:7" ht="14.25" customHeight="1">
      <c r="C760" s="2"/>
      <c r="E760" s="2"/>
      <c r="G760" s="2"/>
    </row>
    <row r="761" spans="3:7" ht="14.25" customHeight="1">
      <c r="C761" s="2"/>
      <c r="E761" s="2"/>
      <c r="G761" s="2"/>
    </row>
    <row r="762" spans="3:7" ht="14.25" customHeight="1">
      <c r="C762" s="2"/>
      <c r="E762" s="2"/>
      <c r="G762" s="2"/>
    </row>
    <row r="763" spans="3:7" ht="14.25" customHeight="1">
      <c r="C763" s="2"/>
      <c r="E763" s="2"/>
      <c r="G763" s="2"/>
    </row>
    <row r="764" spans="3:7" ht="14.25" customHeight="1">
      <c r="C764" s="2"/>
      <c r="E764" s="2"/>
      <c r="G764" s="2"/>
    </row>
    <row r="765" spans="3:7" ht="14.25" customHeight="1">
      <c r="C765" s="2"/>
      <c r="E765" s="2"/>
      <c r="G765" s="2"/>
    </row>
    <row r="766" spans="3:7" ht="14.25" customHeight="1">
      <c r="C766" s="2"/>
      <c r="E766" s="2"/>
      <c r="G766" s="2"/>
    </row>
    <row r="767" spans="3:7" ht="14.25" customHeight="1">
      <c r="C767" s="2"/>
      <c r="E767" s="2"/>
      <c r="G767" s="2"/>
    </row>
    <row r="768" spans="3:7" ht="14.25" customHeight="1">
      <c r="C768" s="2"/>
      <c r="E768" s="2"/>
      <c r="G768" s="2"/>
    </row>
    <row r="769" spans="3:7" ht="14.25" customHeight="1">
      <c r="C769" s="2"/>
      <c r="E769" s="2"/>
      <c r="G769" s="2"/>
    </row>
    <row r="770" spans="3:7" ht="14.25" customHeight="1">
      <c r="C770" s="2"/>
      <c r="E770" s="2"/>
      <c r="G770" s="2"/>
    </row>
    <row r="771" spans="3:7" ht="14.25" customHeight="1">
      <c r="C771" s="2"/>
      <c r="E771" s="2"/>
      <c r="G771" s="2"/>
    </row>
    <row r="772" spans="3:7" ht="14.25" customHeight="1">
      <c r="C772" s="2"/>
      <c r="E772" s="2"/>
      <c r="G772" s="2"/>
    </row>
    <row r="773" spans="3:7" ht="14.25" customHeight="1">
      <c r="C773" s="2"/>
      <c r="E773" s="2"/>
      <c r="G773" s="2"/>
    </row>
    <row r="774" spans="3:7" ht="14.25" customHeight="1">
      <c r="C774" s="2"/>
      <c r="E774" s="2"/>
      <c r="G774" s="2"/>
    </row>
    <row r="775" spans="3:7" ht="14.25" customHeight="1">
      <c r="C775" s="2"/>
      <c r="E775" s="2"/>
      <c r="G775" s="2"/>
    </row>
    <row r="776" spans="3:7" ht="14.25" customHeight="1">
      <c r="C776" s="2"/>
      <c r="E776" s="2"/>
      <c r="G776" s="2"/>
    </row>
    <row r="777" spans="3:7" ht="14.25" customHeight="1">
      <c r="C777" s="2"/>
      <c r="E777" s="2"/>
      <c r="G777" s="2"/>
    </row>
    <row r="778" spans="3:7" ht="14.25" customHeight="1">
      <c r="C778" s="2"/>
      <c r="E778" s="2"/>
      <c r="G778" s="2"/>
    </row>
    <row r="779" spans="3:7" ht="14.25" customHeight="1">
      <c r="C779" s="2"/>
      <c r="E779" s="2"/>
      <c r="G779" s="2"/>
    </row>
    <row r="780" spans="3:7" ht="14.25" customHeight="1">
      <c r="C780" s="2"/>
      <c r="E780" s="2"/>
      <c r="G780" s="2"/>
    </row>
    <row r="781" spans="3:7" ht="14.25" customHeight="1">
      <c r="C781" s="2"/>
      <c r="E781" s="2"/>
      <c r="G781" s="2"/>
    </row>
    <row r="782" spans="3:7" ht="14.25" customHeight="1">
      <c r="C782" s="2"/>
      <c r="E782" s="2"/>
      <c r="G782" s="2"/>
    </row>
    <row r="783" spans="3:7" ht="14.25" customHeight="1">
      <c r="C783" s="2"/>
      <c r="E783" s="2"/>
      <c r="G783" s="2"/>
    </row>
    <row r="784" spans="3:7" ht="14.25" customHeight="1">
      <c r="C784" s="2"/>
      <c r="E784" s="2"/>
      <c r="G784" s="2"/>
    </row>
    <row r="785" spans="3:7" ht="14.25" customHeight="1">
      <c r="C785" s="2"/>
      <c r="E785" s="2"/>
      <c r="G785" s="2"/>
    </row>
    <row r="786" spans="3:7" ht="14.25" customHeight="1">
      <c r="C786" s="2"/>
      <c r="E786" s="2"/>
      <c r="G786" s="2"/>
    </row>
    <row r="787" spans="3:7" ht="14.25" customHeight="1">
      <c r="C787" s="2"/>
      <c r="E787" s="2"/>
      <c r="G787" s="2"/>
    </row>
    <row r="788" spans="3:7" ht="14.25" customHeight="1">
      <c r="C788" s="2"/>
      <c r="E788" s="2"/>
      <c r="G788" s="2"/>
    </row>
    <row r="789" spans="3:7" ht="14.25" customHeight="1">
      <c r="C789" s="2"/>
      <c r="E789" s="2"/>
      <c r="G789" s="2"/>
    </row>
    <row r="790" spans="3:7" ht="14.25" customHeight="1">
      <c r="C790" s="2"/>
      <c r="E790" s="2"/>
      <c r="G790" s="2"/>
    </row>
    <row r="791" spans="3:7" ht="14.25" customHeight="1">
      <c r="C791" s="2"/>
      <c r="E791" s="2"/>
      <c r="G791" s="2"/>
    </row>
    <row r="792" spans="3:7" ht="14.25" customHeight="1">
      <c r="C792" s="2"/>
      <c r="E792" s="2"/>
      <c r="G792" s="2"/>
    </row>
    <row r="793" spans="3:7" ht="14.25" customHeight="1">
      <c r="C793" s="2"/>
      <c r="E793" s="2"/>
      <c r="G793" s="2"/>
    </row>
    <row r="794" spans="3:7" ht="14.25" customHeight="1">
      <c r="C794" s="2"/>
      <c r="E794" s="2"/>
      <c r="G794" s="2"/>
    </row>
    <row r="795" spans="3:7" ht="14.25" customHeight="1">
      <c r="C795" s="2"/>
      <c r="E795" s="2"/>
      <c r="G795" s="2"/>
    </row>
    <row r="796" spans="3:7" ht="14.25" customHeight="1">
      <c r="C796" s="2"/>
      <c r="E796" s="2"/>
      <c r="G796" s="2"/>
    </row>
    <row r="797" spans="3:7" ht="14.25" customHeight="1">
      <c r="C797" s="2"/>
      <c r="E797" s="2"/>
      <c r="G797" s="2"/>
    </row>
    <row r="798" spans="3:7" ht="14.25" customHeight="1">
      <c r="C798" s="2"/>
      <c r="E798" s="2"/>
      <c r="G798" s="2"/>
    </row>
    <row r="799" spans="3:7" ht="14.25" customHeight="1">
      <c r="C799" s="2"/>
      <c r="E799" s="2"/>
      <c r="G799" s="2"/>
    </row>
    <row r="800" spans="3:7" ht="14.25" customHeight="1">
      <c r="C800" s="2"/>
      <c r="E800" s="2"/>
      <c r="G800" s="2"/>
    </row>
    <row r="801" spans="3:7" ht="14.25" customHeight="1">
      <c r="C801" s="2"/>
      <c r="E801" s="2"/>
      <c r="G801" s="2"/>
    </row>
    <row r="802" spans="3:7" ht="14.25" customHeight="1">
      <c r="C802" s="2"/>
      <c r="E802" s="2"/>
      <c r="G802" s="2"/>
    </row>
    <row r="803" spans="3:7" ht="14.25" customHeight="1">
      <c r="C803" s="2"/>
      <c r="E803" s="2"/>
      <c r="G803" s="2"/>
    </row>
    <row r="804" spans="3:7" ht="14.25" customHeight="1">
      <c r="C804" s="2"/>
      <c r="E804" s="2"/>
      <c r="G804" s="2"/>
    </row>
    <row r="805" spans="3:7" ht="14.25" customHeight="1">
      <c r="C805" s="2"/>
      <c r="E805" s="2"/>
      <c r="G805" s="2"/>
    </row>
    <row r="806" spans="3:7" ht="14.25" customHeight="1">
      <c r="C806" s="2"/>
      <c r="E806" s="2"/>
      <c r="G806" s="2"/>
    </row>
    <row r="807" spans="3:7" ht="14.25" customHeight="1">
      <c r="C807" s="2"/>
      <c r="E807" s="2"/>
      <c r="G807" s="2"/>
    </row>
    <row r="808" spans="3:7" ht="14.25" customHeight="1">
      <c r="C808" s="2"/>
      <c r="E808" s="2"/>
      <c r="G808" s="2"/>
    </row>
    <row r="809" spans="3:7" ht="14.25" customHeight="1">
      <c r="C809" s="2"/>
      <c r="E809" s="2"/>
      <c r="G809" s="2"/>
    </row>
    <row r="810" spans="3:7" ht="14.25" customHeight="1">
      <c r="C810" s="2"/>
      <c r="E810" s="2"/>
      <c r="G810" s="2"/>
    </row>
    <row r="811" spans="3:7" ht="14.25" customHeight="1">
      <c r="C811" s="2"/>
      <c r="E811" s="2"/>
      <c r="G811" s="2"/>
    </row>
    <row r="812" spans="3:7" ht="14.25" customHeight="1">
      <c r="C812" s="2"/>
      <c r="E812" s="2"/>
      <c r="G812" s="2"/>
    </row>
    <row r="813" spans="3:7" ht="14.25" customHeight="1">
      <c r="C813" s="2"/>
      <c r="E813" s="2"/>
      <c r="G813" s="2"/>
    </row>
    <row r="814" spans="3:7" ht="14.25" customHeight="1">
      <c r="C814" s="2"/>
      <c r="E814" s="2"/>
      <c r="G814" s="2"/>
    </row>
    <row r="815" spans="3:7" ht="14.25" customHeight="1">
      <c r="C815" s="2"/>
      <c r="E815" s="2"/>
      <c r="G815" s="2"/>
    </row>
    <row r="816" spans="3:7" ht="14.25" customHeight="1">
      <c r="C816" s="2"/>
      <c r="E816" s="2"/>
      <c r="G816" s="2"/>
    </row>
    <row r="817" spans="3:7" ht="14.25" customHeight="1">
      <c r="C817" s="2"/>
      <c r="E817" s="2"/>
      <c r="G817" s="2"/>
    </row>
    <row r="818" spans="3:7" ht="14.25" customHeight="1">
      <c r="C818" s="2"/>
      <c r="E818" s="2"/>
      <c r="G818" s="2"/>
    </row>
    <row r="819" spans="3:7" ht="14.25" customHeight="1">
      <c r="C819" s="2"/>
      <c r="E819" s="2"/>
      <c r="G819" s="2"/>
    </row>
    <row r="820" spans="3:7" ht="14.25" customHeight="1">
      <c r="C820" s="2"/>
      <c r="E820" s="2"/>
      <c r="G820" s="2"/>
    </row>
    <row r="821" spans="3:7" ht="14.25" customHeight="1">
      <c r="C821" s="2"/>
      <c r="E821" s="2"/>
      <c r="G821" s="2"/>
    </row>
    <row r="822" spans="3:7" ht="14.25" customHeight="1">
      <c r="C822" s="2"/>
      <c r="E822" s="2"/>
      <c r="G822" s="2"/>
    </row>
    <row r="823" spans="3:7" ht="14.25" customHeight="1">
      <c r="C823" s="2"/>
      <c r="E823" s="2"/>
      <c r="G823" s="2"/>
    </row>
    <row r="824" spans="3:7" ht="14.25" customHeight="1">
      <c r="C824" s="2"/>
      <c r="E824" s="2"/>
      <c r="G824" s="2"/>
    </row>
    <row r="825" spans="3:7" ht="14.25" customHeight="1">
      <c r="C825" s="2"/>
      <c r="E825" s="2"/>
      <c r="G825" s="2"/>
    </row>
    <row r="826" spans="3:7" ht="14.25" customHeight="1">
      <c r="C826" s="2"/>
      <c r="E826" s="2"/>
      <c r="G826" s="2"/>
    </row>
    <row r="827" spans="3:7" ht="14.25" customHeight="1">
      <c r="C827" s="2"/>
      <c r="E827" s="2"/>
      <c r="G827" s="2"/>
    </row>
    <row r="828" spans="3:7" ht="14.25" customHeight="1">
      <c r="C828" s="2"/>
      <c r="E828" s="2"/>
      <c r="G828" s="2"/>
    </row>
    <row r="829" spans="3:7" ht="14.25" customHeight="1">
      <c r="C829" s="2"/>
      <c r="E829" s="2"/>
      <c r="G829" s="2"/>
    </row>
    <row r="830" spans="3:7" ht="14.25" customHeight="1">
      <c r="C830" s="2"/>
      <c r="E830" s="2"/>
      <c r="G830" s="2"/>
    </row>
    <row r="831" spans="3:7" ht="14.25" customHeight="1">
      <c r="C831" s="2"/>
      <c r="E831" s="2"/>
      <c r="G831" s="2"/>
    </row>
    <row r="832" spans="3:7" ht="14.25" customHeight="1">
      <c r="C832" s="2"/>
      <c r="E832" s="2"/>
      <c r="G832" s="2"/>
    </row>
    <row r="833" spans="3:7" ht="14.25" customHeight="1">
      <c r="C833" s="2"/>
      <c r="E833" s="2"/>
      <c r="G833" s="2"/>
    </row>
    <row r="834" spans="3:7" ht="14.25" customHeight="1">
      <c r="C834" s="2"/>
      <c r="E834" s="2"/>
      <c r="G834" s="2"/>
    </row>
    <row r="835" spans="3:7" ht="14.25" customHeight="1">
      <c r="C835" s="2"/>
      <c r="E835" s="2"/>
      <c r="G835" s="2"/>
    </row>
    <row r="836" spans="3:7" ht="14.25" customHeight="1">
      <c r="C836" s="2"/>
      <c r="E836" s="2"/>
      <c r="G836" s="2"/>
    </row>
    <row r="837" spans="3:7" ht="14.25" customHeight="1">
      <c r="C837" s="2"/>
      <c r="E837" s="2"/>
      <c r="G837" s="2"/>
    </row>
    <row r="838" spans="3:7" ht="14.25" customHeight="1">
      <c r="C838" s="2"/>
      <c r="E838" s="2"/>
      <c r="G838" s="2"/>
    </row>
    <row r="839" spans="3:7" ht="14.25" customHeight="1">
      <c r="C839" s="2"/>
      <c r="E839" s="2"/>
      <c r="G839" s="2"/>
    </row>
    <row r="840" spans="3:7" ht="14.25" customHeight="1">
      <c r="C840" s="2"/>
      <c r="E840" s="2"/>
      <c r="G840" s="2"/>
    </row>
    <row r="841" spans="3:7" ht="14.25" customHeight="1">
      <c r="C841" s="2"/>
      <c r="E841" s="2"/>
      <c r="G841" s="2"/>
    </row>
    <row r="842" spans="3:7" ht="14.25" customHeight="1">
      <c r="C842" s="2"/>
      <c r="E842" s="2"/>
      <c r="G842" s="2"/>
    </row>
    <row r="843" spans="3:7" ht="14.25" customHeight="1">
      <c r="C843" s="2"/>
      <c r="E843" s="2"/>
      <c r="G843" s="2"/>
    </row>
    <row r="844" spans="3:7" ht="14.25" customHeight="1">
      <c r="C844" s="2"/>
      <c r="E844" s="2"/>
      <c r="G844" s="2"/>
    </row>
    <row r="845" spans="3:7" ht="14.25" customHeight="1">
      <c r="C845" s="2"/>
      <c r="E845" s="2"/>
      <c r="G845" s="2"/>
    </row>
    <row r="846" spans="3:7" ht="14.25" customHeight="1">
      <c r="C846" s="2"/>
      <c r="E846" s="2"/>
      <c r="G846" s="2"/>
    </row>
    <row r="847" spans="3:7" ht="14.25" customHeight="1">
      <c r="C847" s="2"/>
      <c r="E847" s="2"/>
      <c r="G847" s="2"/>
    </row>
    <row r="848" spans="3:7" ht="14.25" customHeight="1">
      <c r="C848" s="2"/>
      <c r="E848" s="2"/>
      <c r="G848" s="2"/>
    </row>
    <row r="849" spans="3:7" ht="14.25" customHeight="1">
      <c r="C849" s="2"/>
      <c r="E849" s="2"/>
      <c r="G849" s="2"/>
    </row>
    <row r="850" spans="3:7" ht="14.25" customHeight="1">
      <c r="C850" s="2"/>
      <c r="E850" s="2"/>
      <c r="G850" s="2"/>
    </row>
    <row r="851" spans="3:7" ht="14.25" customHeight="1">
      <c r="C851" s="2"/>
      <c r="E851" s="2"/>
      <c r="G851" s="2"/>
    </row>
    <row r="852" spans="3:7" ht="14.25" customHeight="1">
      <c r="C852" s="2"/>
      <c r="E852" s="2"/>
      <c r="G852" s="2"/>
    </row>
    <row r="853" spans="3:7" ht="14.25" customHeight="1">
      <c r="C853" s="2"/>
      <c r="E853" s="2"/>
      <c r="G853" s="2"/>
    </row>
    <row r="854" spans="3:7" ht="14.25" customHeight="1">
      <c r="C854" s="2"/>
      <c r="E854" s="2"/>
      <c r="G854" s="2"/>
    </row>
    <row r="855" spans="3:7" ht="14.25" customHeight="1">
      <c r="C855" s="2"/>
      <c r="E855" s="2"/>
      <c r="G855" s="2"/>
    </row>
    <row r="856" spans="3:7" ht="14.25" customHeight="1">
      <c r="C856" s="2"/>
      <c r="E856" s="2"/>
      <c r="G856" s="2"/>
    </row>
    <row r="857" spans="3:7" ht="14.25" customHeight="1">
      <c r="C857" s="2"/>
      <c r="E857" s="2"/>
      <c r="G857" s="2"/>
    </row>
    <row r="858" spans="3:7" ht="14.25" customHeight="1">
      <c r="C858" s="2"/>
      <c r="E858" s="2"/>
      <c r="G858" s="2"/>
    </row>
    <row r="859" spans="3:7" ht="14.25" customHeight="1">
      <c r="C859" s="2"/>
      <c r="E859" s="2"/>
      <c r="G859" s="2"/>
    </row>
    <row r="860" spans="3:7" ht="14.25" customHeight="1">
      <c r="C860" s="2"/>
      <c r="E860" s="2"/>
      <c r="G860" s="2"/>
    </row>
    <row r="861" spans="3:7" ht="14.25" customHeight="1">
      <c r="C861" s="2"/>
      <c r="E861" s="2"/>
      <c r="G861" s="2"/>
    </row>
    <row r="862" spans="3:7" ht="14.25" customHeight="1">
      <c r="C862" s="2"/>
      <c r="E862" s="2"/>
      <c r="G862" s="2"/>
    </row>
    <row r="863" spans="3:7" ht="14.25" customHeight="1">
      <c r="C863" s="2"/>
      <c r="E863" s="2"/>
      <c r="G863" s="2"/>
    </row>
    <row r="864" spans="3:7" ht="14.25" customHeight="1">
      <c r="C864" s="2"/>
      <c r="E864" s="2"/>
      <c r="G864" s="2"/>
    </row>
    <row r="865" spans="3:7" ht="14.25" customHeight="1">
      <c r="C865" s="2"/>
      <c r="E865" s="2"/>
      <c r="G865" s="2"/>
    </row>
    <row r="866" spans="3:7" ht="14.25" customHeight="1">
      <c r="C866" s="2"/>
      <c r="E866" s="2"/>
      <c r="G866" s="2"/>
    </row>
    <row r="867" spans="3:7" ht="14.25" customHeight="1">
      <c r="C867" s="2"/>
      <c r="E867" s="2"/>
      <c r="G867" s="2"/>
    </row>
    <row r="868" spans="3:7" ht="14.25" customHeight="1">
      <c r="C868" s="2"/>
      <c r="E868" s="2"/>
      <c r="G868" s="2"/>
    </row>
    <row r="869" spans="3:7" ht="14.25" customHeight="1">
      <c r="C869" s="2"/>
      <c r="E869" s="2"/>
      <c r="G869" s="2"/>
    </row>
    <row r="870" spans="3:7" ht="14.25" customHeight="1">
      <c r="C870" s="2"/>
      <c r="E870" s="2"/>
      <c r="G870" s="2"/>
    </row>
    <row r="871" spans="3:7" ht="14.25" customHeight="1">
      <c r="C871" s="2"/>
      <c r="E871" s="2"/>
      <c r="G871" s="2"/>
    </row>
    <row r="872" spans="3:7" ht="14.25" customHeight="1">
      <c r="C872" s="2"/>
      <c r="E872" s="2"/>
      <c r="G872" s="2"/>
    </row>
    <row r="873" spans="3:7" ht="14.25" customHeight="1">
      <c r="C873" s="2"/>
      <c r="E873" s="2"/>
      <c r="G873" s="2"/>
    </row>
    <row r="874" spans="3:7" ht="14.25" customHeight="1">
      <c r="C874" s="2"/>
      <c r="E874" s="2"/>
      <c r="G874" s="2"/>
    </row>
    <row r="875" spans="3:7" ht="14.25" customHeight="1">
      <c r="C875" s="2"/>
      <c r="E875" s="2"/>
      <c r="G875" s="2"/>
    </row>
    <row r="876" spans="3:7" ht="14.25" customHeight="1">
      <c r="C876" s="2"/>
      <c r="E876" s="2"/>
      <c r="G876" s="2"/>
    </row>
    <row r="877" spans="3:7" ht="14.25" customHeight="1">
      <c r="C877" s="2"/>
      <c r="E877" s="2"/>
      <c r="G877" s="2"/>
    </row>
    <row r="878" spans="3:7" ht="14.25" customHeight="1">
      <c r="C878" s="2"/>
      <c r="E878" s="2"/>
      <c r="G878" s="2"/>
    </row>
    <row r="879" spans="3:7" ht="14.25" customHeight="1">
      <c r="C879" s="2"/>
      <c r="E879" s="2"/>
      <c r="G879" s="2"/>
    </row>
    <row r="880" spans="3:7" ht="14.25" customHeight="1">
      <c r="C880" s="2"/>
      <c r="E880" s="2"/>
      <c r="G880" s="2"/>
    </row>
    <row r="881" spans="3:7" ht="14.25" customHeight="1">
      <c r="C881" s="2"/>
      <c r="E881" s="2"/>
      <c r="G881" s="2"/>
    </row>
    <row r="882" spans="3:7" ht="14.25" customHeight="1">
      <c r="C882" s="2"/>
      <c r="E882" s="2"/>
      <c r="G882" s="2"/>
    </row>
    <row r="883" spans="3:7" ht="14.25" customHeight="1">
      <c r="C883" s="2"/>
      <c r="E883" s="2"/>
      <c r="G883" s="2"/>
    </row>
    <row r="884" spans="3:7" ht="14.25" customHeight="1">
      <c r="C884" s="2"/>
      <c r="E884" s="2"/>
      <c r="G884" s="2"/>
    </row>
    <row r="885" spans="3:7" ht="14.25" customHeight="1">
      <c r="C885" s="2"/>
      <c r="E885" s="2"/>
      <c r="G885" s="2"/>
    </row>
    <row r="886" spans="3:7" ht="14.25" customHeight="1">
      <c r="C886" s="2"/>
      <c r="E886" s="2"/>
      <c r="G886" s="2"/>
    </row>
    <row r="887" spans="3:7" ht="14.25" customHeight="1">
      <c r="C887" s="2"/>
      <c r="E887" s="2"/>
      <c r="G887" s="2"/>
    </row>
    <row r="888" spans="3:7" ht="14.25" customHeight="1">
      <c r="C888" s="2"/>
      <c r="E888" s="2"/>
      <c r="G888" s="2"/>
    </row>
    <row r="889" spans="3:7" ht="14.25" customHeight="1">
      <c r="C889" s="2"/>
      <c r="E889" s="2"/>
      <c r="G889" s="2"/>
    </row>
    <row r="890" spans="3:7" ht="14.25" customHeight="1">
      <c r="C890" s="2"/>
      <c r="E890" s="2"/>
      <c r="G890" s="2"/>
    </row>
    <row r="891" spans="3:7" ht="14.25" customHeight="1">
      <c r="C891" s="2"/>
      <c r="E891" s="2"/>
      <c r="G891" s="2"/>
    </row>
    <row r="892" spans="3:7" ht="14.25" customHeight="1">
      <c r="C892" s="2"/>
      <c r="E892" s="2"/>
      <c r="G892" s="2"/>
    </row>
    <row r="893" spans="3:7" ht="14.25" customHeight="1">
      <c r="C893" s="2"/>
      <c r="E893" s="2"/>
      <c r="G893" s="2"/>
    </row>
    <row r="894" spans="3:7" ht="14.25" customHeight="1">
      <c r="C894" s="2"/>
      <c r="E894" s="2"/>
      <c r="G894" s="2"/>
    </row>
    <row r="895" spans="3:7" ht="14.25" customHeight="1">
      <c r="C895" s="2"/>
      <c r="E895" s="2"/>
      <c r="G895" s="2"/>
    </row>
    <row r="896" spans="3:7" ht="14.25" customHeight="1">
      <c r="C896" s="2"/>
      <c r="E896" s="2"/>
      <c r="G896" s="2"/>
    </row>
    <row r="897" spans="3:7" ht="14.25" customHeight="1">
      <c r="C897" s="2"/>
      <c r="E897" s="2"/>
      <c r="G897" s="2"/>
    </row>
    <row r="898" spans="3:7" ht="14.25" customHeight="1">
      <c r="C898" s="2"/>
      <c r="E898" s="2"/>
      <c r="G898" s="2"/>
    </row>
    <row r="899" spans="3:7" ht="14.25" customHeight="1">
      <c r="C899" s="2"/>
      <c r="E899" s="2"/>
      <c r="G899" s="2"/>
    </row>
    <row r="900" spans="3:7" ht="14.25" customHeight="1">
      <c r="C900" s="2"/>
      <c r="E900" s="2"/>
      <c r="G900" s="2"/>
    </row>
    <row r="901" spans="3:7" ht="14.25" customHeight="1">
      <c r="C901" s="2"/>
      <c r="E901" s="2"/>
      <c r="G901" s="2"/>
    </row>
    <row r="902" spans="3:7" ht="14.25" customHeight="1">
      <c r="C902" s="2"/>
      <c r="E902" s="2"/>
      <c r="G902" s="2"/>
    </row>
    <row r="903" spans="3:7" ht="14.25" customHeight="1">
      <c r="C903" s="2"/>
      <c r="E903" s="2"/>
      <c r="G903" s="2"/>
    </row>
    <row r="904" spans="3:7" ht="14.25" customHeight="1">
      <c r="C904" s="2"/>
      <c r="E904" s="2"/>
      <c r="G904" s="2"/>
    </row>
    <row r="905" spans="3:7" ht="14.25" customHeight="1">
      <c r="C905" s="2"/>
      <c r="E905" s="2"/>
      <c r="G905" s="2"/>
    </row>
    <row r="906" spans="3:7" ht="14.25" customHeight="1">
      <c r="C906" s="2"/>
      <c r="E906" s="2"/>
      <c r="G906" s="2"/>
    </row>
    <row r="907" spans="3:7" ht="14.25" customHeight="1">
      <c r="C907" s="2"/>
      <c r="E907" s="2"/>
      <c r="G907" s="2"/>
    </row>
    <row r="908" spans="3:7" ht="14.25" customHeight="1">
      <c r="C908" s="2"/>
      <c r="E908" s="2"/>
      <c r="G908" s="2"/>
    </row>
    <row r="909" spans="3:7" ht="14.25" customHeight="1">
      <c r="C909" s="2"/>
      <c r="E909" s="2"/>
      <c r="G909" s="2"/>
    </row>
    <row r="910" spans="3:7" ht="14.25" customHeight="1">
      <c r="C910" s="2"/>
      <c r="E910" s="2"/>
      <c r="G910" s="2"/>
    </row>
    <row r="911" spans="3:7" ht="14.25" customHeight="1">
      <c r="C911" s="2"/>
      <c r="E911" s="2"/>
      <c r="G911" s="2"/>
    </row>
    <row r="912" spans="3:7" ht="14.25" customHeight="1">
      <c r="C912" s="2"/>
      <c r="E912" s="2"/>
      <c r="G912" s="2"/>
    </row>
    <row r="913" spans="3:7" ht="14.25" customHeight="1">
      <c r="C913" s="2"/>
      <c r="E913" s="2"/>
      <c r="G913" s="2"/>
    </row>
    <row r="914" spans="3:7" ht="14.25" customHeight="1">
      <c r="C914" s="2"/>
      <c r="E914" s="2"/>
      <c r="G914" s="2"/>
    </row>
    <row r="915" spans="3:7" ht="14.25" customHeight="1">
      <c r="C915" s="2"/>
      <c r="E915" s="2"/>
      <c r="G915" s="2"/>
    </row>
    <row r="916" spans="3:7" ht="14.25" customHeight="1">
      <c r="C916" s="2"/>
      <c r="E916" s="2"/>
      <c r="G916" s="2"/>
    </row>
    <row r="917" spans="3:7" ht="14.25" customHeight="1">
      <c r="C917" s="2"/>
      <c r="E917" s="2"/>
      <c r="G917" s="2"/>
    </row>
    <row r="918" spans="3:7" ht="14.25" customHeight="1">
      <c r="C918" s="2"/>
      <c r="E918" s="2"/>
      <c r="G918" s="2"/>
    </row>
    <row r="919" spans="3:7" ht="14.25" customHeight="1">
      <c r="C919" s="2"/>
      <c r="E919" s="2"/>
      <c r="G919" s="2"/>
    </row>
    <row r="920" spans="3:7" ht="14.25" customHeight="1">
      <c r="C920" s="2"/>
      <c r="E920" s="2"/>
      <c r="G920" s="2"/>
    </row>
    <row r="921" spans="3:7" ht="14.25" customHeight="1">
      <c r="C921" s="2"/>
      <c r="E921" s="2"/>
      <c r="G921" s="2"/>
    </row>
    <row r="922" spans="3:7" ht="14.25" customHeight="1">
      <c r="C922" s="2"/>
      <c r="E922" s="2"/>
      <c r="G922" s="2"/>
    </row>
    <row r="923" spans="3:7" ht="14.25" customHeight="1">
      <c r="C923" s="2"/>
      <c r="E923" s="2"/>
      <c r="G923" s="2"/>
    </row>
    <row r="924" spans="3:7" ht="14.25" customHeight="1">
      <c r="C924" s="2"/>
      <c r="E924" s="2"/>
      <c r="G924" s="2"/>
    </row>
    <row r="925" spans="3:7" ht="14.25" customHeight="1">
      <c r="C925" s="2"/>
      <c r="E925" s="2"/>
      <c r="G925" s="2"/>
    </row>
    <row r="926" spans="3:7" ht="14.25" customHeight="1">
      <c r="C926" s="2"/>
      <c r="E926" s="2"/>
      <c r="G926" s="2"/>
    </row>
    <row r="927" spans="3:7" ht="14.25" customHeight="1">
      <c r="C927" s="2"/>
      <c r="E927" s="2"/>
      <c r="G927" s="2"/>
    </row>
    <row r="928" spans="3:7" ht="14.25" customHeight="1">
      <c r="C928" s="2"/>
      <c r="E928" s="2"/>
      <c r="G928" s="2"/>
    </row>
    <row r="929" spans="3:7" ht="14.25" customHeight="1">
      <c r="C929" s="2"/>
      <c r="E929" s="2"/>
      <c r="G929" s="2"/>
    </row>
    <row r="930" spans="3:7" ht="14.25" customHeight="1">
      <c r="C930" s="2"/>
      <c r="E930" s="2"/>
      <c r="G930" s="2"/>
    </row>
    <row r="931" spans="3:7" ht="14.25" customHeight="1">
      <c r="C931" s="2"/>
      <c r="E931" s="2"/>
      <c r="G931" s="2"/>
    </row>
    <row r="932" spans="3:7" ht="14.25" customHeight="1">
      <c r="C932" s="2"/>
      <c r="E932" s="2"/>
      <c r="G932" s="2"/>
    </row>
    <row r="933" spans="3:7" ht="14.25" customHeight="1">
      <c r="C933" s="2"/>
      <c r="E933" s="2"/>
      <c r="G933" s="2"/>
    </row>
    <row r="934" spans="3:7" ht="14.25" customHeight="1">
      <c r="C934" s="2"/>
      <c r="E934" s="2"/>
      <c r="G934" s="2"/>
    </row>
    <row r="935" spans="3:7" ht="14.25" customHeight="1">
      <c r="C935" s="2"/>
      <c r="E935" s="2"/>
      <c r="G935" s="2"/>
    </row>
    <row r="936" spans="3:7" ht="14.25" customHeight="1">
      <c r="C936" s="2"/>
      <c r="E936" s="2"/>
      <c r="G936" s="2"/>
    </row>
    <row r="937" spans="3:7" ht="14.25" customHeight="1">
      <c r="C937" s="2"/>
      <c r="E937" s="2"/>
      <c r="G937" s="2"/>
    </row>
    <row r="938" spans="3:7" ht="14.25" customHeight="1">
      <c r="C938" s="2"/>
      <c r="E938" s="2"/>
      <c r="G938" s="2"/>
    </row>
    <row r="939" spans="3:7" ht="14.25" customHeight="1">
      <c r="C939" s="2"/>
      <c r="E939" s="2"/>
      <c r="G939" s="2"/>
    </row>
    <row r="940" spans="3:7" ht="14.25" customHeight="1">
      <c r="C940" s="2"/>
      <c r="E940" s="2"/>
      <c r="G940" s="2"/>
    </row>
    <row r="941" spans="3:7" ht="14.25" customHeight="1">
      <c r="C941" s="2"/>
      <c r="E941" s="2"/>
      <c r="G941" s="2"/>
    </row>
    <row r="942" spans="3:7" ht="14.25" customHeight="1">
      <c r="C942" s="2"/>
      <c r="E942" s="2"/>
      <c r="G942" s="2"/>
    </row>
    <row r="943" spans="3:7" ht="14.25" customHeight="1">
      <c r="C943" s="2"/>
      <c r="E943" s="2"/>
      <c r="G943" s="2"/>
    </row>
    <row r="944" spans="3:7" ht="14.25" customHeight="1">
      <c r="C944" s="2"/>
      <c r="E944" s="2"/>
      <c r="G944" s="2"/>
    </row>
    <row r="945" spans="3:7" ht="14.25" customHeight="1">
      <c r="C945" s="2"/>
      <c r="E945" s="2"/>
      <c r="G945" s="2"/>
    </row>
    <row r="946" spans="3:7" ht="14.25" customHeight="1">
      <c r="C946" s="2"/>
      <c r="E946" s="2"/>
      <c r="G946" s="2"/>
    </row>
    <row r="947" spans="3:7" ht="14.25" customHeight="1">
      <c r="C947" s="2"/>
      <c r="E947" s="2"/>
      <c r="G947" s="2"/>
    </row>
    <row r="948" spans="3:7" ht="14.25" customHeight="1">
      <c r="C948" s="2"/>
      <c r="E948" s="2"/>
      <c r="G948" s="2"/>
    </row>
    <row r="949" spans="3:7" ht="14.25" customHeight="1">
      <c r="C949" s="2"/>
      <c r="E949" s="2"/>
      <c r="G949" s="2"/>
    </row>
    <row r="950" spans="3:7" ht="14.25" customHeight="1">
      <c r="C950" s="2"/>
      <c r="E950" s="2"/>
      <c r="G950" s="2"/>
    </row>
    <row r="951" spans="3:7" ht="14.25" customHeight="1">
      <c r="C951" s="2"/>
      <c r="E951" s="2"/>
      <c r="G951" s="2"/>
    </row>
    <row r="952" spans="3:7" ht="14.25" customHeight="1">
      <c r="C952" s="2"/>
      <c r="E952" s="2"/>
      <c r="G952" s="2"/>
    </row>
    <row r="953" spans="3:7" ht="14.25" customHeight="1">
      <c r="C953" s="2"/>
      <c r="E953" s="2"/>
      <c r="G953" s="2"/>
    </row>
    <row r="954" spans="3:7" ht="14.25" customHeight="1">
      <c r="C954" s="2"/>
      <c r="E954" s="2"/>
      <c r="G954" s="2"/>
    </row>
    <row r="955" spans="3:7" ht="14.25" customHeight="1">
      <c r="C955" s="2"/>
      <c r="E955" s="2"/>
      <c r="G955" s="2"/>
    </row>
    <row r="956" spans="3:7" ht="14.25" customHeight="1">
      <c r="C956" s="2"/>
      <c r="E956" s="2"/>
      <c r="G956" s="2"/>
    </row>
    <row r="957" spans="3:7" ht="14.25" customHeight="1">
      <c r="C957" s="2"/>
      <c r="E957" s="2"/>
      <c r="G957" s="2"/>
    </row>
    <row r="958" spans="3:7" ht="14.25" customHeight="1">
      <c r="C958" s="2"/>
      <c r="E958" s="2"/>
      <c r="G958" s="2"/>
    </row>
    <row r="959" spans="3:7" ht="14.25" customHeight="1">
      <c r="C959" s="2"/>
      <c r="E959" s="2"/>
      <c r="G959" s="2"/>
    </row>
    <row r="960" spans="3:7" ht="14.25" customHeight="1">
      <c r="C960" s="2"/>
      <c r="E960" s="2"/>
      <c r="G960" s="2"/>
    </row>
    <row r="961" spans="3:7" ht="14.25" customHeight="1">
      <c r="C961" s="2"/>
      <c r="E961" s="2"/>
      <c r="G961" s="2"/>
    </row>
    <row r="962" spans="3:7" ht="14.25" customHeight="1">
      <c r="C962" s="2"/>
      <c r="E962" s="2"/>
      <c r="G962" s="2"/>
    </row>
    <row r="963" spans="3:7" ht="14.25" customHeight="1">
      <c r="C963" s="2"/>
      <c r="E963" s="2"/>
      <c r="G963" s="2"/>
    </row>
    <row r="964" spans="3:7" ht="14.25" customHeight="1">
      <c r="C964" s="2"/>
      <c r="E964" s="2"/>
      <c r="G964" s="2"/>
    </row>
    <row r="965" spans="3:7" ht="14.25" customHeight="1">
      <c r="C965" s="2"/>
      <c r="E965" s="2"/>
      <c r="G965" s="2"/>
    </row>
    <row r="966" spans="3:7" ht="14.25" customHeight="1">
      <c r="C966" s="2"/>
      <c r="E966" s="2"/>
      <c r="G966" s="2"/>
    </row>
    <row r="967" spans="3:7" ht="14.25" customHeight="1">
      <c r="C967" s="2"/>
      <c r="E967" s="2"/>
      <c r="G967" s="2"/>
    </row>
    <row r="968" spans="3:7" ht="14.25" customHeight="1">
      <c r="C968" s="2"/>
      <c r="E968" s="2"/>
      <c r="G968" s="2"/>
    </row>
    <row r="969" spans="3:7" ht="14.25" customHeight="1">
      <c r="C969" s="2"/>
      <c r="E969" s="2"/>
      <c r="G969" s="2"/>
    </row>
    <row r="970" spans="3:7" ht="14.25" customHeight="1">
      <c r="C970" s="2"/>
      <c r="E970" s="2"/>
      <c r="G970" s="2"/>
    </row>
    <row r="971" spans="3:7" ht="14.25" customHeight="1">
      <c r="C971" s="2"/>
      <c r="E971" s="2"/>
      <c r="G971" s="2"/>
    </row>
    <row r="972" spans="3:7" ht="14.25" customHeight="1">
      <c r="C972" s="2"/>
      <c r="E972" s="2"/>
      <c r="G972" s="2"/>
    </row>
    <row r="973" spans="3:7" ht="14.25" customHeight="1">
      <c r="C973" s="2"/>
      <c r="E973" s="2"/>
      <c r="G973" s="2"/>
    </row>
    <row r="974" spans="3:7" ht="14.25" customHeight="1">
      <c r="C974" s="2"/>
      <c r="E974" s="2"/>
      <c r="G974" s="2"/>
    </row>
    <row r="975" spans="3:7" ht="14.25" customHeight="1">
      <c r="C975" s="2"/>
      <c r="E975" s="2"/>
      <c r="G975" s="2"/>
    </row>
    <row r="976" spans="3:7" ht="14.25" customHeight="1">
      <c r="C976" s="2"/>
      <c r="E976" s="2"/>
      <c r="G976" s="2"/>
    </row>
    <row r="977" spans="3:7" ht="14.25" customHeight="1">
      <c r="C977" s="2"/>
      <c r="E977" s="2"/>
      <c r="G977" s="2"/>
    </row>
    <row r="978" spans="3:7" ht="14.25" customHeight="1">
      <c r="C978" s="2"/>
      <c r="E978" s="2"/>
      <c r="G978" s="2"/>
    </row>
    <row r="979" spans="3:7" ht="14.25" customHeight="1">
      <c r="C979" s="2"/>
      <c r="E979" s="2"/>
      <c r="G979" s="2"/>
    </row>
    <row r="980" spans="3:7" ht="14.25" customHeight="1">
      <c r="C980" s="2"/>
      <c r="E980" s="2"/>
      <c r="G980" s="2"/>
    </row>
    <row r="981" spans="3:7" ht="14.25" customHeight="1">
      <c r="C981" s="2"/>
      <c r="E981" s="2"/>
      <c r="G981" s="2"/>
    </row>
    <row r="982" spans="3:7" ht="14.25" customHeight="1">
      <c r="C982" s="2"/>
      <c r="E982" s="2"/>
      <c r="G982" s="2"/>
    </row>
    <row r="983" spans="3:7" ht="14.25" customHeight="1">
      <c r="C983" s="2"/>
      <c r="E983" s="2"/>
      <c r="G983" s="2"/>
    </row>
    <row r="984" spans="3:7" ht="14.25" customHeight="1">
      <c r="C984" s="2"/>
      <c r="E984" s="2"/>
      <c r="G984" s="2"/>
    </row>
    <row r="985" spans="3:7" ht="14.25" customHeight="1">
      <c r="C985" s="2"/>
      <c r="E985" s="2"/>
      <c r="G985" s="2"/>
    </row>
    <row r="986" spans="3:7" ht="14.25" customHeight="1">
      <c r="C986" s="2"/>
      <c r="E986" s="2"/>
      <c r="G986" s="2"/>
    </row>
    <row r="987" spans="3:7" ht="14.25" customHeight="1">
      <c r="C987" s="2"/>
      <c r="E987" s="2"/>
      <c r="G987" s="2"/>
    </row>
    <row r="988" spans="3:7" ht="14.25" customHeight="1">
      <c r="C988" s="2"/>
      <c r="E988" s="2"/>
      <c r="G988" s="2"/>
    </row>
    <row r="989" spans="3:7" ht="14.25" customHeight="1">
      <c r="C989" s="2"/>
      <c r="E989" s="2"/>
      <c r="G989" s="2"/>
    </row>
    <row r="990" spans="3:7" ht="14.25" customHeight="1">
      <c r="C990" s="2"/>
      <c r="E990" s="2"/>
      <c r="G990" s="2"/>
    </row>
    <row r="991" spans="3:7" ht="14.25" customHeight="1">
      <c r="C991" s="2"/>
      <c r="E991" s="2"/>
      <c r="G991" s="2"/>
    </row>
    <row r="992" spans="3:7" ht="14.25" customHeight="1">
      <c r="C992" s="2"/>
      <c r="E992" s="2"/>
      <c r="G992" s="2"/>
    </row>
    <row r="993" spans="3:7" ht="14.25" customHeight="1">
      <c r="C993" s="2"/>
      <c r="E993" s="2"/>
      <c r="G993" s="2"/>
    </row>
    <row r="994" spans="3:7" ht="14.25" customHeight="1">
      <c r="C994" s="2"/>
      <c r="E994" s="2"/>
      <c r="G994" s="2"/>
    </row>
    <row r="995" spans="3:7" ht="14.25" customHeight="1">
      <c r="C995" s="2"/>
      <c r="E995" s="2"/>
      <c r="G995" s="2"/>
    </row>
    <row r="996" spans="3:7" ht="14.25" customHeight="1">
      <c r="C996" s="2"/>
      <c r="E996" s="2"/>
      <c r="G996" s="2"/>
    </row>
    <row r="997" spans="3:7" ht="14.25" customHeight="1">
      <c r="C997" s="2"/>
      <c r="E997" s="2"/>
      <c r="G997" s="2"/>
    </row>
    <row r="998" spans="3:7" ht="14.25" customHeight="1">
      <c r="C998" s="2"/>
      <c r="E998" s="2"/>
      <c r="G998" s="2"/>
    </row>
    <row r="999" spans="3:7" ht="14.25" customHeight="1">
      <c r="C999" s="2"/>
      <c r="E999" s="2"/>
      <c r="G999" s="2"/>
    </row>
    <row r="1000" spans="3:7" ht="14.25" customHeight="1">
      <c r="C1000" s="2"/>
      <c r="E1000" s="2"/>
      <c r="G1000" s="2"/>
    </row>
    <row r="1001" spans="3:7" ht="14.25" customHeight="1">
      <c r="C1001" s="2"/>
      <c r="E1001" s="2"/>
      <c r="G1001" s="2"/>
    </row>
    <row r="1002" spans="3:7" ht="14.25" customHeight="1">
      <c r="C1002" s="2"/>
      <c r="E1002" s="2"/>
      <c r="G1002" s="2"/>
    </row>
    <row r="1003" spans="3:7" ht="14.25" customHeight="1">
      <c r="C1003" s="2"/>
      <c r="E1003" s="2"/>
      <c r="G1003" s="2"/>
    </row>
    <row r="1004" spans="3:7" ht="14.25" customHeight="1">
      <c r="C1004" s="2"/>
      <c r="E1004" s="2"/>
      <c r="G1004" s="2"/>
    </row>
    <row r="1005" spans="3:7" ht="14.25" customHeight="1">
      <c r="C1005" s="2"/>
      <c r="E1005" s="2"/>
      <c r="G1005" s="2"/>
    </row>
    <row r="1006" spans="3:7" ht="14.25" customHeight="1">
      <c r="C1006" s="2"/>
      <c r="E1006" s="2"/>
      <c r="G1006" s="2"/>
    </row>
    <row r="1007" spans="3:7" ht="14.25" customHeight="1">
      <c r="C1007" s="2"/>
      <c r="E1007" s="2"/>
      <c r="G1007" s="2"/>
    </row>
    <row r="1008" spans="3:7" ht="14.25" customHeight="1">
      <c r="C1008" s="2"/>
      <c r="E1008" s="2"/>
      <c r="G1008" s="2"/>
    </row>
    <row r="1009" spans="3:7" ht="14.25" customHeight="1">
      <c r="C1009" s="2"/>
      <c r="E1009" s="2"/>
      <c r="G1009" s="2"/>
    </row>
    <row r="1010" spans="3:7" ht="14.25" customHeight="1">
      <c r="C1010" s="2"/>
      <c r="E1010" s="2"/>
      <c r="G1010" s="2"/>
    </row>
    <row r="1011" spans="3:7" ht="14.25" customHeight="1">
      <c r="C1011" s="2"/>
      <c r="E1011" s="2"/>
      <c r="G1011" s="2"/>
    </row>
    <row r="1012" spans="3:7" ht="14.25" customHeight="1">
      <c r="C1012" s="2"/>
      <c r="E1012" s="2"/>
      <c r="G1012" s="2"/>
    </row>
    <row r="1013" spans="3:7" ht="14.25" customHeight="1">
      <c r="C1013" s="2"/>
      <c r="E1013" s="2"/>
      <c r="G1013" s="2"/>
    </row>
    <row r="1014" spans="3:7" ht="14.25" customHeight="1">
      <c r="C1014" s="2"/>
      <c r="E1014" s="2"/>
      <c r="G1014" s="2"/>
    </row>
    <row r="1015" spans="3:7" ht="14.25" customHeight="1">
      <c r="C1015" s="2"/>
      <c r="E1015" s="2"/>
      <c r="G1015" s="2"/>
    </row>
    <row r="1016" spans="3:7" ht="14.25" customHeight="1">
      <c r="C1016" s="2"/>
      <c r="E1016" s="2"/>
      <c r="G1016" s="2"/>
    </row>
    <row r="1017" spans="3:7" ht="14.25" customHeight="1">
      <c r="C1017" s="2"/>
      <c r="E1017" s="2"/>
      <c r="G1017" s="2"/>
    </row>
    <row r="1018" spans="3:7" ht="14.25" customHeight="1">
      <c r="C1018" s="2"/>
      <c r="E1018" s="2"/>
      <c r="G1018" s="2"/>
    </row>
    <row r="1019" spans="3:7" ht="14.25" customHeight="1">
      <c r="C1019" s="2"/>
      <c r="E1019" s="2"/>
      <c r="G1019" s="2"/>
    </row>
    <row r="1020" spans="3:7" ht="14.25" customHeight="1">
      <c r="C1020" s="2"/>
      <c r="E1020" s="2"/>
      <c r="G1020" s="2"/>
    </row>
    <row r="1021" spans="3:7" ht="14.25" customHeight="1">
      <c r="C1021" s="2"/>
      <c r="E1021" s="2"/>
      <c r="G1021" s="2"/>
    </row>
    <row r="1022" spans="3:7" ht="14.25" customHeight="1">
      <c r="C1022" s="2"/>
      <c r="E1022" s="2"/>
      <c r="G1022" s="2"/>
    </row>
    <row r="1023" spans="3:7" ht="14.25" customHeight="1">
      <c r="C1023" s="2"/>
      <c r="E1023" s="2"/>
      <c r="G1023" s="2"/>
    </row>
    <row r="1024" spans="3:7" ht="14.25" customHeight="1">
      <c r="C1024" s="2"/>
      <c r="E1024" s="2"/>
      <c r="G1024" s="2"/>
    </row>
    <row r="1025" spans="3:7" ht="14.25" customHeight="1">
      <c r="C1025" s="2"/>
      <c r="E1025" s="2"/>
      <c r="G1025" s="2"/>
    </row>
    <row r="1026" spans="3:7" ht="14.25" customHeight="1">
      <c r="C1026" s="2"/>
      <c r="E1026" s="2"/>
      <c r="G1026" s="2"/>
    </row>
    <row r="1027" spans="3:7" ht="14.25" customHeight="1">
      <c r="C1027" s="2"/>
      <c r="E1027" s="2"/>
      <c r="G1027" s="2"/>
    </row>
    <row r="1028" spans="3:7" ht="14.25" customHeight="1">
      <c r="C1028" s="2"/>
      <c r="E1028" s="2"/>
      <c r="G1028" s="2"/>
    </row>
    <row r="1029" spans="3:7" ht="14.25" customHeight="1">
      <c r="C1029" s="2"/>
      <c r="E1029" s="2"/>
      <c r="G1029" s="2"/>
    </row>
    <row r="1030" spans="3:7" ht="14.25" customHeight="1">
      <c r="C1030" s="2"/>
      <c r="E1030" s="2"/>
      <c r="G1030" s="2"/>
    </row>
    <row r="1031" spans="3:7" ht="14.25" customHeight="1">
      <c r="C1031" s="2"/>
      <c r="E1031" s="2"/>
      <c r="G1031" s="2"/>
    </row>
    <row r="1032" spans="3:7" ht="14.25" customHeight="1">
      <c r="C1032" s="2"/>
      <c r="E1032" s="2"/>
      <c r="G1032" s="2"/>
    </row>
    <row r="1033" spans="3:7" ht="14.25" customHeight="1">
      <c r="C1033" s="2"/>
      <c r="E1033" s="2"/>
      <c r="G1033" s="2"/>
    </row>
    <row r="1034" spans="3:7" ht="14.25" customHeight="1">
      <c r="C1034" s="2"/>
      <c r="E1034" s="2"/>
      <c r="G1034" s="2"/>
    </row>
    <row r="1035" spans="3:7" ht="14.25" customHeight="1">
      <c r="C1035" s="2"/>
      <c r="E1035" s="2"/>
      <c r="G1035" s="2"/>
    </row>
    <row r="1036" spans="3:7" ht="14.25" customHeight="1">
      <c r="C1036" s="2"/>
      <c r="E1036" s="2"/>
      <c r="G1036" s="2"/>
    </row>
    <row r="1037" spans="3:7" ht="14.25" customHeight="1">
      <c r="C1037" s="2"/>
      <c r="E1037" s="2"/>
      <c r="G1037" s="2"/>
    </row>
    <row r="1038" spans="3:7" ht="14.25" customHeight="1">
      <c r="C1038" s="2"/>
      <c r="E1038" s="2"/>
      <c r="G1038" s="2"/>
    </row>
    <row r="1039" spans="3:7" ht="14.25" customHeight="1">
      <c r="C1039" s="2"/>
      <c r="E1039" s="2"/>
      <c r="G1039" s="2"/>
    </row>
    <row r="1040" spans="3:7" ht="14.25" customHeight="1">
      <c r="C1040" s="2"/>
      <c r="E1040" s="2"/>
      <c r="G1040" s="2"/>
    </row>
    <row r="1041" spans="3:7" ht="14.25" customHeight="1">
      <c r="C1041" s="2"/>
      <c r="E1041" s="2"/>
      <c r="G1041" s="2"/>
    </row>
    <row r="1042" spans="3:7" ht="14.25" customHeight="1">
      <c r="C1042" s="2"/>
      <c r="E1042" s="2"/>
      <c r="G1042" s="2"/>
    </row>
    <row r="1043" spans="3:7" ht="14.25" customHeight="1">
      <c r="C1043" s="2"/>
      <c r="E1043" s="2"/>
      <c r="G1043" s="2"/>
    </row>
    <row r="1044" spans="3:7" ht="14.25" customHeight="1">
      <c r="C1044" s="2"/>
      <c r="E1044" s="2"/>
      <c r="G1044" s="2"/>
    </row>
    <row r="1045" spans="3:7" ht="14.25" customHeight="1">
      <c r="C1045" s="2"/>
      <c r="E1045" s="2"/>
      <c r="G1045" s="2"/>
    </row>
    <row r="1046" spans="3:7" ht="14.25" customHeight="1">
      <c r="C1046" s="2"/>
      <c r="E1046" s="2"/>
      <c r="G1046" s="2"/>
    </row>
    <row r="1047" spans="3:7" ht="14.25" customHeight="1">
      <c r="C1047" s="2"/>
      <c r="E1047" s="2"/>
      <c r="G1047" s="2"/>
    </row>
    <row r="1048" spans="3:7" ht="14.25" customHeight="1">
      <c r="C1048" s="2"/>
      <c r="E1048" s="2"/>
      <c r="G1048" s="2"/>
    </row>
    <row r="1049" spans="3:7" ht="14.25" customHeight="1">
      <c r="C1049" s="2"/>
      <c r="E1049" s="2"/>
      <c r="G1049" s="2"/>
    </row>
    <row r="1050" spans="3:7" ht="14.25" customHeight="1">
      <c r="C1050" s="2"/>
      <c r="E1050" s="2"/>
      <c r="G1050" s="2"/>
    </row>
    <row r="1051" spans="3:7" ht="14.25" customHeight="1">
      <c r="C1051" s="2"/>
      <c r="E1051" s="2"/>
      <c r="G1051" s="2"/>
    </row>
    <row r="1052" spans="3:7" ht="14.25" customHeight="1">
      <c r="C1052" s="2"/>
      <c r="E1052" s="2"/>
      <c r="G1052" s="2"/>
    </row>
    <row r="1053" spans="3:7" ht="14.25" customHeight="1">
      <c r="C1053" s="2"/>
      <c r="E1053" s="2"/>
      <c r="G1053" s="2"/>
    </row>
    <row r="1054" spans="3:7" ht="14.25" customHeight="1">
      <c r="C1054" s="2"/>
      <c r="E1054" s="2"/>
      <c r="G1054" s="2"/>
    </row>
    <row r="1055" spans="3:7" ht="14.25" customHeight="1">
      <c r="C1055" s="2"/>
      <c r="E1055" s="2"/>
      <c r="G1055" s="2"/>
    </row>
    <row r="1056" spans="3:7" ht="14.25" customHeight="1">
      <c r="C1056" s="2"/>
      <c r="E1056" s="2"/>
      <c r="G1056" s="2"/>
    </row>
    <row r="1057" spans="3:7" ht="14.25" customHeight="1">
      <c r="C1057" s="2"/>
      <c r="E1057" s="2"/>
      <c r="G1057" s="2"/>
    </row>
    <row r="1058" spans="3:7" ht="14.25" customHeight="1">
      <c r="C1058" s="2"/>
      <c r="E1058" s="2"/>
      <c r="G1058" s="2"/>
    </row>
    <row r="1059" spans="3:7" ht="14.25" customHeight="1">
      <c r="C1059" s="2"/>
      <c r="E1059" s="2"/>
      <c r="G1059" s="2"/>
    </row>
    <row r="1060" spans="3:7" ht="14.25" customHeight="1">
      <c r="C1060" s="2"/>
      <c r="E1060" s="2"/>
      <c r="G1060" s="2"/>
    </row>
    <row r="1061" spans="3:7" ht="14.25" customHeight="1">
      <c r="C1061" s="2"/>
      <c r="E1061" s="2"/>
      <c r="G1061" s="2"/>
    </row>
    <row r="1062" spans="3:7" ht="14.25" customHeight="1">
      <c r="C1062" s="2"/>
      <c r="E1062" s="2"/>
      <c r="G1062" s="2"/>
    </row>
    <row r="1063" spans="3:7" ht="14.25" customHeight="1">
      <c r="C1063" s="2"/>
      <c r="E1063" s="2"/>
      <c r="G1063" s="2"/>
    </row>
    <row r="1064" spans="3:7" ht="14.25" customHeight="1">
      <c r="C1064" s="2"/>
      <c r="E1064" s="2"/>
      <c r="G1064" s="2"/>
    </row>
    <row r="1065" spans="3:7" ht="14.25" customHeight="1">
      <c r="C1065" s="2"/>
      <c r="E1065" s="2"/>
      <c r="G1065" s="2"/>
    </row>
    <row r="1066" spans="3:7" ht="14.25" customHeight="1">
      <c r="C1066" s="2"/>
      <c r="E1066" s="2"/>
      <c r="G1066" s="2"/>
    </row>
    <row r="1067" spans="3:7" ht="14.25" customHeight="1">
      <c r="C1067" s="2"/>
      <c r="E1067" s="2"/>
      <c r="G1067" s="2"/>
    </row>
    <row r="1068" spans="3:7" ht="14.25" customHeight="1">
      <c r="C1068" s="2"/>
      <c r="E1068" s="2"/>
      <c r="G1068" s="2"/>
    </row>
    <row r="1069" spans="3:7" ht="14.25" customHeight="1">
      <c r="C1069" s="2"/>
      <c r="E1069" s="2"/>
      <c r="G1069" s="2"/>
    </row>
    <row r="1070" spans="3:7" ht="14.25" customHeight="1">
      <c r="C1070" s="2"/>
      <c r="E1070" s="2"/>
      <c r="G1070" s="2"/>
    </row>
    <row r="1071" spans="3:7" ht="14.25" customHeight="1">
      <c r="C1071" s="2"/>
      <c r="E1071" s="2"/>
      <c r="G1071" s="2"/>
    </row>
    <row r="1072" spans="3:7" ht="14.25" customHeight="1">
      <c r="C1072" s="2"/>
      <c r="E1072" s="2"/>
      <c r="G1072" s="2"/>
    </row>
    <row r="1073" spans="3:7" ht="14.25" customHeight="1">
      <c r="C1073" s="2"/>
      <c r="E1073" s="2"/>
      <c r="G1073" s="2"/>
    </row>
    <row r="1074" spans="3:7" ht="14.25" customHeight="1">
      <c r="C1074" s="2"/>
      <c r="E1074" s="2"/>
      <c r="G1074" s="2"/>
    </row>
    <row r="1075" spans="3:7" ht="14.25" customHeight="1">
      <c r="C1075" s="2"/>
      <c r="E1075" s="2"/>
      <c r="G1075" s="2"/>
    </row>
    <row r="1076" spans="3:7" ht="14.25" customHeight="1">
      <c r="C1076" s="2"/>
      <c r="E1076" s="2"/>
      <c r="G1076" s="2"/>
    </row>
    <row r="1077" spans="3:7" ht="14.25" customHeight="1">
      <c r="C1077" s="2"/>
      <c r="E1077" s="2"/>
      <c r="G1077" s="2"/>
    </row>
    <row r="1078" spans="3:7" ht="14.25" customHeight="1">
      <c r="C1078" s="2"/>
      <c r="E1078" s="2"/>
      <c r="G1078" s="2"/>
    </row>
    <row r="1079" spans="3:7" ht="14.25" customHeight="1">
      <c r="C1079" s="2"/>
      <c r="E1079" s="2"/>
      <c r="G1079" s="2"/>
    </row>
    <row r="1080" spans="3:7" ht="14.25" customHeight="1">
      <c r="C1080" s="2"/>
      <c r="E1080" s="2"/>
      <c r="G1080" s="2"/>
    </row>
    <row r="1081" spans="3:7" ht="14.25" customHeight="1">
      <c r="C1081" s="2"/>
      <c r="E1081" s="2"/>
      <c r="G1081" s="2"/>
    </row>
    <row r="1082" spans="3:7" ht="14.25" customHeight="1">
      <c r="C1082" s="2"/>
      <c r="E1082" s="2"/>
      <c r="G1082" s="2"/>
    </row>
    <row r="1083" spans="3:7" ht="14.25" customHeight="1">
      <c r="C1083" s="2"/>
      <c r="E1083" s="2"/>
      <c r="G1083" s="2"/>
    </row>
    <row r="1084" spans="3:7" ht="14.25" customHeight="1">
      <c r="C1084" s="2"/>
      <c r="E1084" s="2"/>
      <c r="G1084" s="2"/>
    </row>
    <row r="1085" spans="3:7" ht="14.25" customHeight="1">
      <c r="C1085" s="2"/>
      <c r="E1085" s="2"/>
      <c r="G1085" s="2"/>
    </row>
    <row r="1086" spans="3:7" ht="14.25" customHeight="1">
      <c r="C1086" s="2"/>
      <c r="E1086" s="2"/>
      <c r="G1086" s="2"/>
    </row>
    <row r="1087" spans="3:7" ht="14.25" customHeight="1">
      <c r="C1087" s="2"/>
      <c r="E1087" s="2"/>
      <c r="G1087" s="2"/>
    </row>
    <row r="1088" spans="3:7" ht="14.25" customHeight="1">
      <c r="C1088" s="2"/>
      <c r="E1088" s="2"/>
      <c r="G1088" s="2"/>
    </row>
    <row r="1089" spans="3:7" ht="14.25" customHeight="1">
      <c r="C1089" s="2"/>
      <c r="E1089" s="2"/>
      <c r="G1089" s="2"/>
    </row>
    <row r="1090" spans="3:7" ht="14.25" customHeight="1">
      <c r="C1090" s="2"/>
      <c r="E1090" s="2"/>
      <c r="G1090" s="2"/>
    </row>
    <row r="1091" spans="3:7" ht="14.25" customHeight="1">
      <c r="C1091" s="2"/>
      <c r="E1091" s="2"/>
      <c r="G1091" s="2"/>
    </row>
    <row r="1092" spans="3:7" ht="14.25" customHeight="1">
      <c r="C1092" s="2"/>
      <c r="E1092" s="2"/>
      <c r="G1092" s="2"/>
    </row>
    <row r="1093" spans="3:7" ht="14.25" customHeight="1">
      <c r="C1093" s="2"/>
      <c r="E1093" s="2"/>
      <c r="G1093" s="2"/>
    </row>
    <row r="1094" spans="3:7" ht="14.25" customHeight="1">
      <c r="C1094" s="2"/>
      <c r="E1094" s="2"/>
      <c r="G1094" s="2"/>
    </row>
    <row r="1095" spans="3:7" ht="14.25" customHeight="1">
      <c r="C1095" s="2"/>
      <c r="E1095" s="2"/>
      <c r="G1095" s="2"/>
    </row>
    <row r="1096" spans="3:7" ht="14.25" customHeight="1">
      <c r="C1096" s="2"/>
      <c r="E1096" s="2"/>
      <c r="G1096" s="2"/>
    </row>
    <row r="1097" spans="3:7" ht="14.25" customHeight="1">
      <c r="C1097" s="2"/>
      <c r="E1097" s="2"/>
      <c r="G1097" s="2"/>
    </row>
    <row r="1098" spans="3:7" ht="14.25" customHeight="1">
      <c r="C1098" s="2"/>
      <c r="E1098" s="2"/>
      <c r="G1098" s="2"/>
    </row>
    <row r="1099" spans="3:7" ht="14.25" customHeight="1">
      <c r="C1099" s="2"/>
      <c r="E1099" s="2"/>
      <c r="G1099" s="2"/>
    </row>
    <row r="1100" spans="3:7" ht="14.25" customHeight="1">
      <c r="C1100" s="2"/>
      <c r="E1100" s="2"/>
      <c r="G1100" s="2"/>
    </row>
    <row r="1101" spans="3:7" ht="14.25" customHeight="1">
      <c r="C1101" s="2"/>
      <c r="E1101" s="2"/>
      <c r="G1101" s="2"/>
    </row>
    <row r="1102" spans="3:7" ht="14.25" customHeight="1">
      <c r="C1102" s="2"/>
      <c r="E1102" s="2"/>
      <c r="G1102" s="2"/>
    </row>
    <row r="1103" spans="3:7" ht="14.25" customHeight="1">
      <c r="C1103" s="2"/>
      <c r="E1103" s="2"/>
      <c r="G1103" s="2"/>
    </row>
    <row r="1104" spans="3:7" ht="14.25" customHeight="1">
      <c r="C1104" s="2"/>
      <c r="E1104" s="2"/>
      <c r="G1104" s="2"/>
    </row>
    <row r="1105" spans="3:7" ht="14.25" customHeight="1">
      <c r="C1105" s="2"/>
      <c r="E1105" s="2"/>
      <c r="G1105" s="2"/>
    </row>
    <row r="1106" spans="3:7" ht="14.25" customHeight="1">
      <c r="C1106" s="2"/>
      <c r="E1106" s="2"/>
      <c r="G1106" s="2"/>
    </row>
    <row r="1107" spans="3:7" ht="14.25" customHeight="1">
      <c r="C1107" s="2"/>
      <c r="E1107" s="2"/>
      <c r="G1107" s="2"/>
    </row>
    <row r="1108" spans="3:7" ht="14.25" customHeight="1">
      <c r="C1108" s="2"/>
      <c r="E1108" s="2"/>
      <c r="G1108" s="2"/>
    </row>
    <row r="1109" spans="3:7" ht="14.25" customHeight="1">
      <c r="C1109" s="2"/>
      <c r="E1109" s="2"/>
      <c r="G1109" s="2"/>
    </row>
    <row r="1110" spans="3:7" ht="14.25" customHeight="1">
      <c r="C1110" s="2"/>
      <c r="E1110" s="2"/>
      <c r="G1110" s="2"/>
    </row>
    <row r="1111" spans="3:7" ht="14.25" customHeight="1">
      <c r="C1111" s="2"/>
      <c r="E1111" s="2"/>
      <c r="G1111" s="2"/>
    </row>
    <row r="1112" spans="3:7" ht="14.25" customHeight="1">
      <c r="C1112" s="2"/>
      <c r="E1112" s="2"/>
      <c r="G1112" s="2"/>
    </row>
    <row r="1113" spans="3:7" ht="14.25" customHeight="1">
      <c r="C1113" s="2"/>
      <c r="E1113" s="2"/>
      <c r="G1113" s="2"/>
    </row>
    <row r="1114" spans="3:7" ht="14.25" customHeight="1">
      <c r="C1114" s="2"/>
      <c r="E1114" s="2"/>
      <c r="G1114" s="2"/>
    </row>
    <row r="1115" spans="3:7" ht="14.25" customHeight="1">
      <c r="C1115" s="2"/>
      <c r="E1115" s="2"/>
      <c r="G1115" s="2"/>
    </row>
    <row r="1116" spans="3:7" ht="14.25" customHeight="1">
      <c r="C1116" s="2"/>
      <c r="E1116" s="2"/>
      <c r="G1116" s="2"/>
    </row>
    <row r="1117" spans="3:7" ht="14.25" customHeight="1">
      <c r="C1117" s="2"/>
      <c r="E1117" s="2"/>
      <c r="G1117" s="2"/>
    </row>
    <row r="1118" spans="3:7" ht="14.25" customHeight="1">
      <c r="C1118" s="2"/>
      <c r="E1118" s="2"/>
      <c r="G1118" s="2"/>
    </row>
    <row r="1119" spans="3:7" ht="14.25" customHeight="1">
      <c r="C1119" s="2"/>
      <c r="E1119" s="2"/>
      <c r="G1119" s="2"/>
    </row>
    <row r="1120" spans="3:7" ht="14.25" customHeight="1">
      <c r="C1120" s="2"/>
      <c r="E1120" s="2"/>
      <c r="G1120" s="2"/>
    </row>
    <row r="1121" spans="3:7" ht="14.25" customHeight="1">
      <c r="C1121" s="2"/>
      <c r="E1121" s="2"/>
      <c r="G1121" s="2"/>
    </row>
    <row r="1122" spans="3:7" ht="14.25" customHeight="1">
      <c r="C1122" s="2"/>
      <c r="E1122" s="2"/>
      <c r="G1122" s="2"/>
    </row>
    <row r="1123" spans="3:7" ht="14.25" customHeight="1">
      <c r="C1123" s="2"/>
      <c r="E1123" s="2"/>
      <c r="G1123" s="2"/>
    </row>
    <row r="1124" spans="3:7" ht="14.25" customHeight="1">
      <c r="C1124" s="2"/>
      <c r="E1124" s="2"/>
      <c r="G1124" s="2"/>
    </row>
    <row r="1125" spans="3:7" ht="14.25" customHeight="1">
      <c r="C1125" s="2"/>
      <c r="E1125" s="2"/>
      <c r="G1125" s="2"/>
    </row>
    <row r="1126" spans="3:7" ht="14.25" customHeight="1">
      <c r="C1126" s="2"/>
      <c r="E1126" s="2"/>
      <c r="G1126" s="2"/>
    </row>
    <row r="1127" spans="3:7" ht="14.25" customHeight="1">
      <c r="C1127" s="2"/>
      <c r="E1127" s="2"/>
      <c r="G1127" s="2"/>
    </row>
    <row r="1128" spans="3:7" ht="14.25" customHeight="1">
      <c r="C1128" s="2"/>
      <c r="E1128" s="2"/>
      <c r="G1128" s="2"/>
    </row>
    <row r="1129" spans="3:7" ht="14.25" customHeight="1">
      <c r="C1129" s="2"/>
      <c r="E1129" s="2"/>
      <c r="G1129" s="2"/>
    </row>
    <row r="1130" spans="3:7" ht="14.25" customHeight="1">
      <c r="C1130" s="2"/>
      <c r="E1130" s="2"/>
      <c r="G1130" s="2"/>
    </row>
    <row r="1131" spans="3:7" ht="14.25" customHeight="1">
      <c r="C1131" s="2"/>
      <c r="E1131" s="2"/>
      <c r="G1131" s="2"/>
    </row>
    <row r="1132" spans="3:7" ht="14.25" customHeight="1">
      <c r="C1132" s="2"/>
      <c r="E1132" s="2"/>
      <c r="G1132" s="2"/>
    </row>
    <row r="1133" spans="3:7" ht="14.25" customHeight="1">
      <c r="C1133" s="2"/>
      <c r="E1133" s="2"/>
      <c r="G1133" s="2"/>
    </row>
    <row r="1134" spans="3:7" ht="14.25" customHeight="1">
      <c r="C1134" s="2"/>
      <c r="E1134" s="2"/>
      <c r="G1134" s="2"/>
    </row>
    <row r="1135" spans="3:7" ht="14.25" customHeight="1">
      <c r="C1135" s="2"/>
      <c r="E1135" s="2"/>
      <c r="G1135" s="2"/>
    </row>
    <row r="1136" spans="3:7" ht="14.25" customHeight="1">
      <c r="C1136" s="2"/>
      <c r="E1136" s="2"/>
      <c r="G1136" s="2"/>
    </row>
    <row r="1137" spans="3:7" ht="14.25" customHeight="1">
      <c r="C1137" s="2"/>
      <c r="E1137" s="2"/>
      <c r="G1137" s="2"/>
    </row>
    <row r="1138" spans="3:7" ht="14.25" customHeight="1">
      <c r="C1138" s="2"/>
      <c r="E1138" s="2"/>
      <c r="G1138" s="2"/>
    </row>
    <row r="1139" spans="3:7" ht="14.25" customHeight="1">
      <c r="C1139" s="2"/>
      <c r="E1139" s="2"/>
      <c r="G1139" s="2"/>
    </row>
    <row r="1140" spans="3:7" ht="14.25" customHeight="1">
      <c r="C1140" s="2"/>
      <c r="E1140" s="2"/>
      <c r="G1140" s="2"/>
    </row>
    <row r="1141" spans="3:7" ht="14.25" customHeight="1">
      <c r="C1141" s="2"/>
      <c r="E1141" s="2"/>
      <c r="G1141" s="2"/>
    </row>
    <row r="1142" spans="3:7" ht="14.25" customHeight="1">
      <c r="C1142" s="2"/>
      <c r="E1142" s="2"/>
      <c r="G1142" s="2"/>
    </row>
    <row r="1143" spans="3:7" ht="14.25" customHeight="1">
      <c r="C1143" s="2"/>
      <c r="E1143" s="2"/>
      <c r="G1143" s="2"/>
    </row>
    <row r="1144" spans="3:7" ht="14.25" customHeight="1">
      <c r="C1144" s="2"/>
      <c r="E1144" s="2"/>
      <c r="G1144" s="2"/>
    </row>
    <row r="1145" spans="3:7" ht="14.25" customHeight="1">
      <c r="C1145" s="2"/>
      <c r="E1145" s="2"/>
      <c r="G1145" s="2"/>
    </row>
    <row r="1146" spans="3:7" ht="14.25" customHeight="1">
      <c r="C1146" s="2"/>
      <c r="E1146" s="2"/>
      <c r="G1146" s="2"/>
    </row>
    <row r="1147" spans="3:7" ht="14.25" customHeight="1">
      <c r="C1147" s="2"/>
      <c r="E1147" s="2"/>
      <c r="G1147" s="2"/>
    </row>
    <row r="1148" spans="3:7" ht="14.25" customHeight="1">
      <c r="C1148" s="2"/>
      <c r="E1148" s="2"/>
      <c r="G1148" s="2"/>
    </row>
    <row r="1149" spans="3:7" ht="14.25" customHeight="1">
      <c r="C1149" s="2"/>
      <c r="E1149" s="2"/>
      <c r="G1149" s="2"/>
    </row>
    <row r="1150" spans="3:7" ht="14.25" customHeight="1">
      <c r="C1150" s="2"/>
      <c r="E1150" s="2"/>
      <c r="G1150" s="2"/>
    </row>
    <row r="1151" spans="3:7" ht="14.25" customHeight="1">
      <c r="C1151" s="2"/>
      <c r="E1151" s="2"/>
      <c r="G1151" s="2"/>
    </row>
    <row r="1152" spans="3:7" ht="14.25" customHeight="1">
      <c r="C1152" s="2"/>
      <c r="E1152" s="2"/>
      <c r="G1152" s="2"/>
    </row>
    <row r="1153" spans="3:7" ht="14.25" customHeight="1">
      <c r="C1153" s="2"/>
      <c r="E1153" s="2"/>
      <c r="G1153" s="2"/>
    </row>
    <row r="1154" spans="3:7" ht="14.25" customHeight="1">
      <c r="C1154" s="2"/>
      <c r="E1154" s="2"/>
      <c r="G1154" s="2"/>
    </row>
    <row r="1155" spans="3:7" ht="14.25" customHeight="1">
      <c r="C1155" s="2"/>
      <c r="E1155" s="2"/>
      <c r="G1155" s="2"/>
    </row>
    <row r="1156" spans="3:7" ht="14.25" customHeight="1">
      <c r="C1156" s="2"/>
      <c r="E1156" s="2"/>
      <c r="G1156" s="2"/>
    </row>
    <row r="1157" spans="3:7" ht="14.25" customHeight="1">
      <c r="C1157" s="2"/>
      <c r="E1157" s="2"/>
      <c r="G1157" s="2"/>
    </row>
    <row r="1158" spans="3:7" ht="14.25" customHeight="1">
      <c r="C1158" s="2"/>
      <c r="E1158" s="2"/>
      <c r="G1158" s="2"/>
    </row>
    <row r="1159" spans="3:7" ht="14.25" customHeight="1">
      <c r="C1159" s="2"/>
      <c r="E1159" s="2"/>
      <c r="G1159" s="2"/>
    </row>
    <row r="1160" spans="3:7" ht="14.25" customHeight="1">
      <c r="C1160" s="2"/>
      <c r="E1160" s="2"/>
      <c r="G1160" s="2"/>
    </row>
    <row r="1161" spans="3:7" ht="14.25" customHeight="1">
      <c r="C1161" s="2"/>
      <c r="E1161" s="2"/>
      <c r="G1161" s="2"/>
    </row>
    <row r="1162" spans="3:7" ht="14.25" customHeight="1">
      <c r="C1162" s="2"/>
      <c r="E1162" s="2"/>
      <c r="G1162" s="2"/>
    </row>
    <row r="1163" spans="3:7" ht="14.25" customHeight="1">
      <c r="C1163" s="2"/>
      <c r="E1163" s="2"/>
      <c r="G1163" s="2"/>
    </row>
    <row r="1164" spans="3:7" ht="14.25" customHeight="1">
      <c r="C1164" s="2"/>
      <c r="E1164" s="2"/>
      <c r="G1164" s="2"/>
    </row>
    <row r="1165" spans="3:7" ht="14.25" customHeight="1">
      <c r="C1165" s="2"/>
      <c r="E1165" s="2"/>
      <c r="G1165" s="2"/>
    </row>
    <row r="1166" spans="3:7" ht="14.25" customHeight="1">
      <c r="C1166" s="2"/>
      <c r="E1166" s="2"/>
      <c r="G1166" s="2"/>
    </row>
    <row r="1167" spans="3:7" ht="14.25" customHeight="1">
      <c r="C1167" s="2"/>
      <c r="E1167" s="2"/>
      <c r="G1167" s="2"/>
    </row>
    <row r="1168" spans="3:7" ht="14.25" customHeight="1">
      <c r="C1168" s="2"/>
      <c r="E1168" s="2"/>
      <c r="G1168" s="2"/>
    </row>
    <row r="1169" spans="3:7" ht="14.25" customHeight="1">
      <c r="C1169" s="2"/>
      <c r="E1169" s="2"/>
      <c r="G1169" s="2"/>
    </row>
    <row r="1170" spans="3:7" ht="14.25" customHeight="1">
      <c r="C1170" s="2"/>
      <c r="E1170" s="2"/>
      <c r="G1170" s="2"/>
    </row>
    <row r="1171" spans="3:7" ht="14.25" customHeight="1">
      <c r="C1171" s="2"/>
      <c r="E1171" s="2"/>
      <c r="G1171" s="2"/>
    </row>
    <row r="1172" spans="3:7" ht="14.25" customHeight="1">
      <c r="C1172" s="2"/>
      <c r="E1172" s="2"/>
      <c r="G1172" s="2"/>
    </row>
    <row r="1173" spans="3:7" ht="14.25" customHeight="1">
      <c r="C1173" s="2"/>
      <c r="E1173" s="2"/>
      <c r="G1173" s="2"/>
    </row>
    <row r="1174" spans="3:7" ht="14.25" customHeight="1">
      <c r="C1174" s="2"/>
      <c r="E1174" s="2"/>
      <c r="G1174" s="2"/>
    </row>
    <row r="1175" spans="3:7" ht="14.25" customHeight="1">
      <c r="C1175" s="2"/>
      <c r="E1175" s="2"/>
      <c r="G1175" s="2"/>
    </row>
    <row r="1176" spans="3:7" ht="14.25" customHeight="1">
      <c r="C1176" s="2"/>
      <c r="E1176" s="2"/>
      <c r="G1176" s="2"/>
    </row>
    <row r="1177" spans="3:7" ht="14.25" customHeight="1">
      <c r="C1177" s="2"/>
      <c r="E1177" s="2"/>
      <c r="G1177" s="2"/>
    </row>
    <row r="1178" spans="3:7" ht="14.25" customHeight="1">
      <c r="C1178" s="2"/>
      <c r="E1178" s="2"/>
      <c r="G1178" s="2"/>
    </row>
    <row r="1179" spans="3:7" ht="14.25" customHeight="1">
      <c r="C1179" s="2"/>
      <c r="E1179" s="2"/>
      <c r="G1179" s="2"/>
    </row>
    <row r="1180" spans="3:7" ht="14.25" customHeight="1">
      <c r="C1180" s="2"/>
      <c r="E1180" s="2"/>
      <c r="G1180" s="2"/>
    </row>
    <row r="1181" spans="3:7" ht="14.25" customHeight="1">
      <c r="C1181" s="2"/>
      <c r="E1181" s="2"/>
      <c r="G1181" s="2"/>
    </row>
    <row r="1182" spans="3:7" ht="14.25" customHeight="1">
      <c r="C1182" s="2"/>
      <c r="E1182" s="2"/>
      <c r="G1182" s="2"/>
    </row>
    <row r="1183" spans="3:7" ht="14.25" customHeight="1">
      <c r="C1183" s="2"/>
      <c r="E1183" s="2"/>
      <c r="G1183" s="2"/>
    </row>
    <row r="1184" spans="3:7" ht="14.25" customHeight="1">
      <c r="C1184" s="2"/>
      <c r="E1184" s="2"/>
      <c r="G1184" s="2"/>
    </row>
    <row r="1185" spans="3:7" ht="14.25" customHeight="1">
      <c r="C1185" s="2"/>
      <c r="E1185" s="2"/>
      <c r="G1185" s="2"/>
    </row>
    <row r="1186" spans="3:7" ht="14.25" customHeight="1">
      <c r="C1186" s="2"/>
      <c r="E1186" s="2"/>
      <c r="G1186" s="2"/>
    </row>
    <row r="1187" spans="3:7" ht="14.25" customHeight="1">
      <c r="C1187" s="2"/>
      <c r="E1187" s="2"/>
      <c r="G1187" s="2"/>
    </row>
    <row r="1188" spans="3:7" ht="14.25" customHeight="1">
      <c r="C1188" s="2"/>
      <c r="E1188" s="2"/>
      <c r="G1188" s="2"/>
    </row>
    <row r="1189" spans="3:7" ht="14.25" customHeight="1">
      <c r="C1189" s="2"/>
      <c r="E1189" s="2"/>
      <c r="G1189" s="2"/>
    </row>
    <row r="1190" spans="3:7" ht="14.25" customHeight="1">
      <c r="C1190" s="2"/>
      <c r="E1190" s="2"/>
      <c r="G1190" s="2"/>
    </row>
    <row r="1191" spans="3:7" ht="14.25" customHeight="1">
      <c r="C1191" s="2"/>
      <c r="E1191" s="2"/>
      <c r="G1191" s="2"/>
    </row>
    <row r="1192" spans="3:7" ht="14.25" customHeight="1">
      <c r="C1192" s="2"/>
      <c r="E1192" s="2"/>
      <c r="G1192" s="2"/>
    </row>
    <row r="1193" spans="3:7" ht="14.25" customHeight="1">
      <c r="C1193" s="2"/>
      <c r="E1193" s="2"/>
      <c r="G1193" s="2"/>
    </row>
    <row r="1194" spans="3:7" ht="14.25" customHeight="1">
      <c r="C1194" s="2"/>
      <c r="E1194" s="2"/>
      <c r="G1194" s="2"/>
    </row>
    <row r="1195" spans="3:7" ht="14.25" customHeight="1">
      <c r="C1195" s="2"/>
      <c r="E1195" s="2"/>
      <c r="G1195" s="2"/>
    </row>
    <row r="1196" spans="3:7" ht="14.25" customHeight="1">
      <c r="C1196" s="2"/>
      <c r="E1196" s="2"/>
      <c r="G1196" s="2"/>
    </row>
    <row r="1197" spans="3:7" ht="14.25" customHeight="1">
      <c r="C1197" s="2"/>
      <c r="E1197" s="2"/>
      <c r="G1197" s="2"/>
    </row>
    <row r="1198" spans="3:7" ht="14.25" customHeight="1">
      <c r="C1198" s="2"/>
      <c r="E1198" s="2"/>
      <c r="G1198" s="2"/>
    </row>
    <row r="1199" spans="3:7" ht="14.25" customHeight="1">
      <c r="C1199" s="2"/>
      <c r="E1199" s="2"/>
      <c r="G1199" s="2"/>
    </row>
    <row r="1200" spans="3:7" ht="14.25" customHeight="1">
      <c r="C1200" s="2"/>
      <c r="E1200" s="2"/>
      <c r="G1200" s="2"/>
    </row>
    <row r="1201" spans="3:7" ht="14.25" customHeight="1">
      <c r="C1201" s="2"/>
      <c r="E1201" s="2"/>
      <c r="G1201" s="2"/>
    </row>
    <row r="1202" spans="3:7" ht="14.25" customHeight="1">
      <c r="C1202" s="2"/>
      <c r="E1202" s="2"/>
      <c r="G1202" s="2"/>
    </row>
    <row r="1203" spans="3:7" ht="14.25" customHeight="1">
      <c r="C1203" s="2"/>
      <c r="E1203" s="2"/>
      <c r="G1203" s="2"/>
    </row>
    <row r="1204" spans="3:7" ht="14.25" customHeight="1">
      <c r="C1204" s="2"/>
      <c r="E1204" s="2"/>
      <c r="G1204" s="2"/>
    </row>
    <row r="1205" spans="3:7" ht="14.25" customHeight="1">
      <c r="C1205" s="2"/>
      <c r="E1205" s="2"/>
      <c r="G1205" s="2"/>
    </row>
    <row r="1206" spans="3:7" ht="14.25" customHeight="1">
      <c r="C1206" s="2"/>
      <c r="E1206" s="2"/>
      <c r="G1206" s="2"/>
    </row>
    <row r="1207" spans="3:7" ht="14.25" customHeight="1">
      <c r="C1207" s="2"/>
      <c r="E1207" s="2"/>
      <c r="G1207" s="2"/>
    </row>
    <row r="1208" spans="3:7" ht="14.25" customHeight="1">
      <c r="C1208" s="2"/>
      <c r="E1208" s="2"/>
      <c r="G1208" s="2"/>
    </row>
    <row r="1209" spans="3:7" ht="14.25" customHeight="1">
      <c r="C1209" s="2"/>
      <c r="E1209" s="2"/>
      <c r="G1209" s="2"/>
    </row>
    <row r="1210" spans="3:7" ht="14.25" customHeight="1">
      <c r="C1210" s="2"/>
      <c r="E1210" s="2"/>
      <c r="G1210" s="2"/>
    </row>
    <row r="1211" spans="3:7" ht="14.25" customHeight="1">
      <c r="C1211" s="2"/>
      <c r="E1211" s="2"/>
      <c r="G1211" s="2"/>
    </row>
    <row r="1212" spans="3:7" ht="14.25" customHeight="1">
      <c r="C1212" s="2"/>
      <c r="E1212" s="2"/>
      <c r="G1212" s="2"/>
    </row>
    <row r="1213" spans="3:7" ht="14.25" customHeight="1">
      <c r="C1213" s="2"/>
      <c r="E1213" s="2"/>
      <c r="G1213" s="2"/>
    </row>
    <row r="1214" spans="3:7" ht="14.25" customHeight="1">
      <c r="C1214" s="2"/>
      <c r="E1214" s="2"/>
      <c r="G1214" s="2"/>
    </row>
    <row r="1215" spans="3:7" ht="14.25" customHeight="1">
      <c r="C1215" s="2"/>
      <c r="E1215" s="2"/>
      <c r="G1215" s="2"/>
    </row>
    <row r="1216" spans="3:7" ht="14.25" customHeight="1">
      <c r="C1216" s="2"/>
      <c r="E1216" s="2"/>
      <c r="G1216" s="2"/>
    </row>
    <row r="1217" spans="3:7" ht="14.25" customHeight="1">
      <c r="C1217" s="2"/>
      <c r="E1217" s="2"/>
      <c r="G1217" s="2"/>
    </row>
    <row r="1218" spans="3:7" ht="14.25" customHeight="1">
      <c r="C1218" s="2"/>
      <c r="E1218" s="2"/>
      <c r="G1218" s="2"/>
    </row>
    <row r="1219" spans="3:7" ht="14.25" customHeight="1">
      <c r="C1219" s="2"/>
      <c r="E1219" s="2"/>
      <c r="G1219" s="2"/>
    </row>
    <row r="1220" spans="3:7" ht="14.25" customHeight="1">
      <c r="C1220" s="2"/>
      <c r="E1220" s="2"/>
      <c r="G1220" s="2"/>
    </row>
    <row r="1221" spans="3:7" ht="14.25" customHeight="1">
      <c r="C1221" s="2"/>
      <c r="E1221" s="2"/>
      <c r="G1221" s="2"/>
    </row>
    <row r="1222" spans="3:7" ht="14.25" customHeight="1">
      <c r="C1222" s="2"/>
      <c r="E1222" s="2"/>
      <c r="G1222" s="2"/>
    </row>
    <row r="1223" spans="3:7" ht="14.25" customHeight="1">
      <c r="C1223" s="2"/>
      <c r="E1223" s="2"/>
      <c r="G1223" s="2"/>
    </row>
    <row r="1224" spans="3:7" ht="14.25" customHeight="1">
      <c r="C1224" s="2"/>
      <c r="E1224" s="2"/>
      <c r="G1224" s="2"/>
    </row>
    <row r="1225" spans="3:7" ht="14.25" customHeight="1">
      <c r="C1225" s="2"/>
      <c r="E1225" s="2"/>
      <c r="G1225" s="2"/>
    </row>
    <row r="1226" spans="3:7" ht="14.25" customHeight="1">
      <c r="C1226" s="2"/>
      <c r="E1226" s="2"/>
      <c r="G1226" s="2"/>
    </row>
    <row r="1227" spans="3:7" ht="14.25" customHeight="1">
      <c r="C1227" s="2"/>
      <c r="E1227" s="2"/>
      <c r="G1227" s="2"/>
    </row>
    <row r="1228" spans="3:7" ht="14.25" customHeight="1">
      <c r="C1228" s="2"/>
      <c r="E1228" s="2"/>
      <c r="G1228" s="2"/>
    </row>
    <row r="1229" spans="3:7" ht="14.25" customHeight="1">
      <c r="C1229" s="2"/>
      <c r="E1229" s="2"/>
      <c r="G1229" s="2"/>
    </row>
    <row r="1230" spans="3:7" ht="14.25" customHeight="1">
      <c r="C1230" s="2"/>
      <c r="E1230" s="2"/>
      <c r="G1230" s="2"/>
    </row>
    <row r="1231" spans="3:7" ht="14.25" customHeight="1">
      <c r="C1231" s="2"/>
      <c r="E1231" s="2"/>
      <c r="G1231" s="2"/>
    </row>
    <row r="1232" spans="3:7" ht="14.25" customHeight="1">
      <c r="C1232" s="2"/>
      <c r="E1232" s="2"/>
      <c r="G1232" s="2"/>
    </row>
    <row r="1233" spans="3:7" ht="14.25" customHeight="1">
      <c r="C1233" s="2"/>
      <c r="E1233" s="2"/>
      <c r="G1233" s="2"/>
    </row>
    <row r="1234" spans="3:7" ht="14.25" customHeight="1">
      <c r="C1234" s="2"/>
      <c r="E1234" s="2"/>
      <c r="G1234" s="2"/>
    </row>
    <row r="1235" spans="3:7" ht="14.25" customHeight="1">
      <c r="C1235" s="2"/>
      <c r="E1235" s="2"/>
      <c r="G1235" s="2"/>
    </row>
    <row r="1236" spans="3:7" ht="14.25" customHeight="1">
      <c r="C1236" s="2"/>
      <c r="E1236" s="2"/>
      <c r="G1236" s="2"/>
    </row>
    <row r="1237" spans="3:7" ht="14.25" customHeight="1">
      <c r="C1237" s="2"/>
      <c r="E1237" s="2"/>
      <c r="G1237" s="2"/>
    </row>
    <row r="1238" spans="3:7" ht="14.25" customHeight="1">
      <c r="C1238" s="2"/>
      <c r="E1238" s="2"/>
      <c r="G1238" s="2"/>
    </row>
    <row r="1239" spans="3:7" ht="14.25" customHeight="1">
      <c r="C1239" s="2"/>
      <c r="E1239" s="2"/>
      <c r="G1239" s="2"/>
    </row>
    <row r="1240" spans="3:7" ht="14.25" customHeight="1">
      <c r="C1240" s="2"/>
      <c r="E1240" s="2"/>
      <c r="G1240" s="2"/>
    </row>
    <row r="1241" spans="3:7" ht="14.25" customHeight="1">
      <c r="C1241" s="2"/>
      <c r="E1241" s="2"/>
      <c r="G1241" s="2"/>
    </row>
    <row r="1242" spans="3:7" ht="14.25" customHeight="1">
      <c r="C1242" s="2"/>
      <c r="E1242" s="2"/>
      <c r="G1242" s="2"/>
    </row>
    <row r="1243" spans="3:7" ht="14.25" customHeight="1">
      <c r="C1243" s="2"/>
      <c r="E1243" s="2"/>
      <c r="G1243" s="2"/>
    </row>
    <row r="1244" spans="3:7" ht="14.25" customHeight="1">
      <c r="C1244" s="2"/>
      <c r="E1244" s="2"/>
      <c r="G1244" s="2"/>
    </row>
    <row r="1245" spans="3:7" ht="14.25" customHeight="1">
      <c r="C1245" s="2"/>
      <c r="E1245" s="2"/>
      <c r="G1245" s="2"/>
    </row>
    <row r="1246" spans="3:7" ht="14.25" customHeight="1">
      <c r="C1246" s="2"/>
      <c r="E1246" s="2"/>
      <c r="G1246" s="2"/>
    </row>
    <row r="1247" spans="3:7" ht="14.25" customHeight="1">
      <c r="C1247" s="2"/>
      <c r="E1247" s="2"/>
      <c r="G1247" s="2"/>
    </row>
    <row r="1248" spans="3:7" ht="14.25" customHeight="1">
      <c r="C1248" s="2"/>
      <c r="E1248" s="2"/>
      <c r="G1248" s="2"/>
    </row>
    <row r="1249" spans="3:7" ht="14.25" customHeight="1">
      <c r="C1249" s="2"/>
      <c r="E1249" s="2"/>
      <c r="G1249" s="2"/>
    </row>
    <row r="1250" spans="3:7" ht="14.25" customHeight="1">
      <c r="C1250" s="2"/>
      <c r="E1250" s="2"/>
      <c r="G1250" s="2"/>
    </row>
    <row r="1251" spans="3:7" ht="14.25" customHeight="1">
      <c r="C1251" s="2"/>
      <c r="E1251" s="2"/>
      <c r="G1251" s="2"/>
    </row>
    <row r="1252" spans="3:7" ht="14.25" customHeight="1">
      <c r="C1252" s="2"/>
      <c r="E1252" s="2"/>
      <c r="G1252" s="2"/>
    </row>
    <row r="1253" spans="3:7" ht="14.25" customHeight="1">
      <c r="C1253" s="2"/>
      <c r="E1253" s="2"/>
      <c r="G1253" s="2"/>
    </row>
    <row r="1254" spans="3:7" ht="14.25" customHeight="1">
      <c r="C1254" s="2"/>
      <c r="E1254" s="2"/>
      <c r="G1254" s="2"/>
    </row>
    <row r="1255" spans="3:7" ht="14.25" customHeight="1">
      <c r="C1255" s="2"/>
      <c r="E1255" s="2"/>
      <c r="G1255" s="2"/>
    </row>
    <row r="1256" spans="3:7" ht="14.25" customHeight="1">
      <c r="C1256" s="2"/>
      <c r="E1256" s="2"/>
      <c r="G1256" s="2"/>
    </row>
    <row r="1257" spans="3:7" ht="14.25" customHeight="1">
      <c r="C1257" s="2"/>
      <c r="E1257" s="2"/>
      <c r="G1257" s="2"/>
    </row>
    <row r="1258" spans="3:7" ht="14.25" customHeight="1">
      <c r="C1258" s="2"/>
      <c r="E1258" s="2"/>
      <c r="G1258" s="2"/>
    </row>
    <row r="1259" spans="3:7" ht="14.25" customHeight="1">
      <c r="C1259" s="2"/>
      <c r="E1259" s="2"/>
      <c r="G1259" s="2"/>
    </row>
    <row r="1260" spans="3:7" ht="14.25" customHeight="1">
      <c r="C1260" s="2"/>
      <c r="E1260" s="2"/>
      <c r="G1260" s="2"/>
    </row>
    <row r="1261" spans="3:7" ht="14.25" customHeight="1">
      <c r="C1261" s="2"/>
      <c r="E1261" s="2"/>
      <c r="G1261" s="2"/>
    </row>
    <row r="1262" spans="3:7" ht="14.25" customHeight="1">
      <c r="C1262" s="2"/>
      <c r="E1262" s="2"/>
      <c r="G1262" s="2"/>
    </row>
    <row r="1263" spans="3:7" ht="14.25" customHeight="1">
      <c r="C1263" s="2"/>
      <c r="E1263" s="2"/>
      <c r="G1263" s="2"/>
    </row>
    <row r="1264" spans="3:7" ht="14.25" customHeight="1">
      <c r="C1264" s="2"/>
      <c r="E1264" s="2"/>
      <c r="G1264" s="2"/>
    </row>
    <row r="1265" spans="3:7" ht="14.25" customHeight="1">
      <c r="C1265" s="2"/>
      <c r="E1265" s="2"/>
      <c r="G1265" s="2"/>
    </row>
    <row r="1266" spans="3:7" ht="14.25" customHeight="1">
      <c r="C1266" s="2"/>
      <c r="E1266" s="2"/>
      <c r="G1266" s="2"/>
    </row>
    <row r="1267" spans="3:7" ht="14.25" customHeight="1">
      <c r="C1267" s="2"/>
      <c r="E1267" s="2"/>
      <c r="G1267" s="2"/>
    </row>
    <row r="1268" spans="3:7" ht="14.25" customHeight="1">
      <c r="C1268" s="2"/>
      <c r="E1268" s="2"/>
      <c r="G1268" s="2"/>
    </row>
    <row r="1269" spans="3:7" ht="14.25" customHeight="1">
      <c r="C1269" s="2"/>
      <c r="E1269" s="2"/>
      <c r="G1269" s="2"/>
    </row>
    <row r="1270" spans="3:7" ht="14.25" customHeight="1">
      <c r="C1270" s="2"/>
      <c r="E1270" s="2"/>
      <c r="G1270" s="2"/>
    </row>
    <row r="1271" spans="3:7" ht="14.25" customHeight="1">
      <c r="C1271" s="2"/>
      <c r="E1271" s="2"/>
      <c r="G1271" s="2"/>
    </row>
    <row r="1272" spans="3:7" ht="14.25" customHeight="1">
      <c r="C1272" s="2"/>
      <c r="E1272" s="2"/>
      <c r="G1272" s="2"/>
    </row>
    <row r="1273" spans="3:7" ht="14.25" customHeight="1">
      <c r="C1273" s="2"/>
      <c r="E1273" s="2"/>
      <c r="G1273" s="2"/>
    </row>
    <row r="1274" spans="3:7" ht="14.25" customHeight="1">
      <c r="C1274" s="2"/>
      <c r="E1274" s="2"/>
      <c r="G1274" s="2"/>
    </row>
    <row r="1275" spans="3:7" ht="14.25" customHeight="1">
      <c r="C1275" s="2"/>
      <c r="E1275" s="2"/>
      <c r="G1275" s="2"/>
    </row>
    <row r="1276" spans="3:7" ht="14.25" customHeight="1">
      <c r="C1276" s="2"/>
      <c r="E1276" s="2"/>
      <c r="G1276" s="2"/>
    </row>
    <row r="1277" spans="3:7" ht="14.25" customHeight="1">
      <c r="C1277" s="2"/>
      <c r="E1277" s="2"/>
      <c r="G1277" s="2"/>
    </row>
    <row r="1278" spans="3:7" ht="14.25" customHeight="1">
      <c r="C1278" s="2"/>
      <c r="E1278" s="2"/>
      <c r="G1278" s="2"/>
    </row>
    <row r="1279" spans="3:7" ht="14.25" customHeight="1">
      <c r="C1279" s="2"/>
      <c r="E1279" s="2"/>
      <c r="G1279" s="2"/>
    </row>
    <row r="1280" spans="3:7" ht="14.25" customHeight="1">
      <c r="C1280" s="2"/>
      <c r="E1280" s="2"/>
      <c r="G1280" s="2"/>
    </row>
    <row r="1281" spans="3:7" ht="14.25" customHeight="1">
      <c r="C1281" s="2"/>
      <c r="E1281" s="2"/>
      <c r="G1281" s="2"/>
    </row>
    <row r="1282" spans="3:7" ht="14.25" customHeight="1">
      <c r="C1282" s="2"/>
      <c r="E1282" s="2"/>
      <c r="G1282" s="2"/>
    </row>
    <row r="1283" spans="3:7" ht="14.25" customHeight="1">
      <c r="C1283" s="2"/>
      <c r="E1283" s="2"/>
      <c r="G1283" s="2"/>
    </row>
    <row r="1284" spans="3:7" ht="14.25" customHeight="1">
      <c r="C1284" s="2"/>
      <c r="E1284" s="2"/>
      <c r="G1284" s="2"/>
    </row>
    <row r="1285" spans="3:7" ht="14.25" customHeight="1">
      <c r="C1285" s="2"/>
      <c r="E1285" s="2"/>
      <c r="G1285" s="2"/>
    </row>
    <row r="1286" spans="3:7" ht="14.25" customHeight="1">
      <c r="C1286" s="2"/>
      <c r="E1286" s="2"/>
      <c r="G1286" s="2"/>
    </row>
    <row r="1287" spans="3:7" ht="14.25" customHeight="1">
      <c r="C1287" s="2"/>
      <c r="E1287" s="2"/>
      <c r="G1287" s="2"/>
    </row>
    <row r="1288" spans="3:7" ht="14.25" customHeight="1">
      <c r="C1288" s="2"/>
      <c r="E1288" s="2"/>
      <c r="G1288" s="2"/>
    </row>
  </sheetData>
  <mergeCells count="20">
    <mergeCell ref="C2:F2"/>
    <mergeCell ref="C16:H16"/>
    <mergeCell ref="C30:H30"/>
    <mergeCell ref="C45:H45"/>
    <mergeCell ref="C60:H60"/>
    <mergeCell ref="C75:H75"/>
    <mergeCell ref="C90:H90"/>
    <mergeCell ref="C102:H102"/>
    <mergeCell ref="C121:H121"/>
    <mergeCell ref="C140:H140"/>
    <mergeCell ref="C159:H159"/>
    <mergeCell ref="C179:H179"/>
    <mergeCell ref="C199:H199"/>
    <mergeCell ref="C218:H218"/>
    <mergeCell ref="C234:H234"/>
    <mergeCell ref="C255:H255"/>
    <mergeCell ref="C273:H273"/>
    <mergeCell ref="C291:H291"/>
    <mergeCell ref="C312:G312"/>
    <mergeCell ref="C333:G333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Ahmed</dc:creator>
  <cp:lastModifiedBy>Akbar Ahmed</cp:lastModifiedBy>
  <dcterms:created xsi:type="dcterms:W3CDTF">2020-01-20T15:18:06Z</dcterms:created>
  <dcterms:modified xsi:type="dcterms:W3CDTF">2020-01-21T03:59:14Z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