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mc:AlternateContent xmlns:mc="http://schemas.openxmlformats.org/markup-compatibility/2006">
    <mc:Choice Requires="x15">
      <x15ac:absPath xmlns:x15ac="http://schemas.microsoft.com/office/spreadsheetml/2010/11/ac" url="C:\Users\ranis\Downloads\"/>
    </mc:Choice>
  </mc:AlternateContent>
  <xr:revisionPtr revIDLastSave="0" documentId="8_{B8627059-A844-4424-8F0E-663648987D08}" xr6:coauthVersionLast="47" xr6:coauthVersionMax="47" xr10:uidLastSave="{00000000-0000-0000-0000-000000000000}"/>
  <bookViews>
    <workbookView xWindow="-108" yWindow="-108" windowWidth="23256" windowHeight="12456" firstSheet="8" activeTab="8" xr2:uid="{00000000-000D-0000-FFFF-FFFF00000000}"/>
  </bookViews>
  <sheets>
    <sheet name="Group8" sheetId="13" r:id="rId1"/>
    <sheet name="IncomeStatement" sheetId="14" r:id="rId2"/>
    <sheet name="BalanceSheet" sheetId="9" r:id="rId3"/>
    <sheet name="CAPM" sheetId="15" r:id="rId4"/>
    <sheet name="CashFlows" sheetId="10" r:id="rId5"/>
    <sheet name="Risk Free Rate" sheetId="2" r:id="rId6"/>
    <sheet name="WACC" sheetId="6" r:id="rId7"/>
    <sheet name="DCF" sheetId="19" r:id="rId8"/>
    <sheet name="Ratio Analysis" sheetId="21" r:id="rId9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1" l="1"/>
  <c r="B12" i="6"/>
  <c r="B11" i="6"/>
  <c r="B10" i="6"/>
  <c r="J30" i="15"/>
  <c r="I24" i="15"/>
  <c r="J28" i="15"/>
  <c r="J27" i="15"/>
  <c r="I28" i="15"/>
  <c r="I27" i="15"/>
  <c r="I26" i="15"/>
  <c r="I23" i="15"/>
  <c r="I3" i="15"/>
  <c r="F121" i="15"/>
  <c r="C121" i="15"/>
  <c r="F120" i="15"/>
  <c r="C120" i="15"/>
  <c r="F119" i="15"/>
  <c r="C119" i="15"/>
  <c r="F118" i="15"/>
  <c r="C118" i="15"/>
  <c r="F117" i="15"/>
  <c r="C117" i="15"/>
  <c r="F116" i="15"/>
  <c r="C116" i="15"/>
  <c r="F115" i="15"/>
  <c r="C115" i="15"/>
  <c r="F114" i="15"/>
  <c r="C114" i="15"/>
  <c r="F113" i="15"/>
  <c r="C113" i="15"/>
  <c r="F112" i="15"/>
  <c r="C112" i="15"/>
  <c r="F111" i="15"/>
  <c r="C111" i="15"/>
  <c r="F110" i="15"/>
  <c r="C110" i="15"/>
  <c r="F109" i="15"/>
  <c r="C109" i="15"/>
  <c r="F108" i="15"/>
  <c r="C108" i="15"/>
  <c r="F107" i="15"/>
  <c r="C107" i="15"/>
  <c r="F106" i="15"/>
  <c r="C106" i="15"/>
  <c r="F105" i="15"/>
  <c r="C105" i="15"/>
  <c r="F104" i="15"/>
  <c r="C104" i="15"/>
  <c r="F103" i="15"/>
  <c r="C103" i="15"/>
  <c r="F102" i="15"/>
  <c r="C102" i="15"/>
  <c r="F101" i="15"/>
  <c r="C101" i="15"/>
  <c r="F100" i="15"/>
  <c r="C100" i="15"/>
  <c r="F99" i="15"/>
  <c r="C99" i="15"/>
  <c r="F98" i="15"/>
  <c r="C98" i="15"/>
  <c r="F97" i="15"/>
  <c r="C97" i="15"/>
  <c r="F96" i="15"/>
  <c r="C96" i="15"/>
  <c r="F95" i="15"/>
  <c r="C95" i="15"/>
  <c r="F94" i="15"/>
  <c r="C94" i="15"/>
  <c r="F93" i="15"/>
  <c r="C93" i="15"/>
  <c r="F92" i="15"/>
  <c r="C92" i="15"/>
  <c r="F91" i="15"/>
  <c r="C91" i="15"/>
  <c r="F90" i="15"/>
  <c r="C90" i="15"/>
  <c r="F89" i="15"/>
  <c r="C89" i="15"/>
  <c r="F88" i="15"/>
  <c r="C88" i="15"/>
  <c r="F87" i="15"/>
  <c r="C87" i="15"/>
  <c r="F86" i="15"/>
  <c r="C86" i="15"/>
  <c r="F85" i="15"/>
  <c r="C85" i="15"/>
  <c r="F84" i="15"/>
  <c r="C84" i="15"/>
  <c r="F83" i="15"/>
  <c r="C83" i="15"/>
  <c r="F82" i="15"/>
  <c r="C82" i="15"/>
  <c r="F81" i="15"/>
  <c r="C81" i="15"/>
  <c r="F80" i="15"/>
  <c r="C80" i="15"/>
  <c r="F79" i="15"/>
  <c r="C79" i="15"/>
  <c r="F78" i="15"/>
  <c r="C78" i="15"/>
  <c r="F77" i="15"/>
  <c r="C77" i="15"/>
  <c r="F76" i="15"/>
  <c r="C76" i="15"/>
  <c r="F75" i="15"/>
  <c r="C75" i="15"/>
  <c r="F74" i="15"/>
  <c r="C74" i="15"/>
  <c r="F73" i="15"/>
  <c r="C73" i="15"/>
  <c r="F72" i="15"/>
  <c r="C72" i="15"/>
  <c r="F71" i="15"/>
  <c r="C71" i="15"/>
  <c r="F70" i="15"/>
  <c r="C70" i="15"/>
  <c r="F69" i="15"/>
  <c r="C69" i="15"/>
  <c r="F68" i="15"/>
  <c r="C68" i="15"/>
  <c r="F67" i="15"/>
  <c r="C67" i="15"/>
  <c r="F66" i="15"/>
  <c r="C66" i="15"/>
  <c r="F65" i="15"/>
  <c r="C65" i="15"/>
  <c r="F64" i="15"/>
  <c r="C64" i="15"/>
  <c r="F63" i="15"/>
  <c r="C63" i="15"/>
  <c r="F62" i="15"/>
  <c r="C62" i="15"/>
  <c r="F61" i="15"/>
  <c r="C61" i="15"/>
  <c r="F60" i="15"/>
  <c r="C60" i="15"/>
  <c r="F59" i="15"/>
  <c r="C59" i="15"/>
  <c r="F58" i="15"/>
  <c r="C58" i="15"/>
  <c r="F57" i="15"/>
  <c r="C57" i="15"/>
  <c r="F56" i="15"/>
  <c r="C56" i="15"/>
  <c r="F55" i="15"/>
  <c r="C55" i="15"/>
  <c r="F54" i="15"/>
  <c r="C54" i="15"/>
  <c r="F53" i="15"/>
  <c r="C53" i="15"/>
  <c r="F52" i="15"/>
  <c r="C52" i="15"/>
  <c r="F51" i="15"/>
  <c r="C51" i="15"/>
  <c r="F50" i="15"/>
  <c r="C50" i="15"/>
  <c r="F49" i="15"/>
  <c r="C49" i="15"/>
  <c r="F48" i="15"/>
  <c r="C48" i="15"/>
  <c r="F47" i="15"/>
  <c r="C47" i="15"/>
  <c r="F46" i="15"/>
  <c r="C46" i="15"/>
  <c r="F45" i="15"/>
  <c r="C45" i="15"/>
  <c r="F44" i="15"/>
  <c r="C44" i="15"/>
  <c r="F43" i="15"/>
  <c r="C43" i="15"/>
  <c r="F42" i="15"/>
  <c r="C42" i="15"/>
  <c r="F41" i="15"/>
  <c r="C41" i="15"/>
  <c r="F40" i="15"/>
  <c r="C40" i="15"/>
  <c r="F39" i="15"/>
  <c r="C39" i="15"/>
  <c r="F38" i="15"/>
  <c r="C38" i="15"/>
  <c r="F37" i="15"/>
  <c r="C37" i="15"/>
  <c r="F36" i="15"/>
  <c r="C36" i="15"/>
  <c r="F35" i="15"/>
  <c r="C35" i="15"/>
  <c r="F34" i="15"/>
  <c r="C34" i="15"/>
  <c r="F33" i="15"/>
  <c r="C33" i="15"/>
  <c r="F32" i="15"/>
  <c r="C32" i="15"/>
  <c r="F31" i="15"/>
  <c r="C31" i="15"/>
  <c r="F30" i="15"/>
  <c r="C30" i="15"/>
  <c r="F29" i="15"/>
  <c r="C29" i="15"/>
  <c r="F28" i="15"/>
  <c r="C28" i="15"/>
  <c r="F27" i="15"/>
  <c r="C27" i="15"/>
  <c r="F26" i="15"/>
  <c r="C26" i="15"/>
  <c r="F25" i="15"/>
  <c r="C25" i="15"/>
  <c r="F24" i="15"/>
  <c r="C24" i="15"/>
  <c r="F23" i="15"/>
  <c r="C23" i="15"/>
  <c r="F22" i="15"/>
  <c r="C22" i="15"/>
  <c r="F21" i="15"/>
  <c r="C21" i="15"/>
  <c r="F20" i="15"/>
  <c r="C20" i="15"/>
  <c r="F19" i="15"/>
  <c r="C19" i="15"/>
  <c r="F18" i="15"/>
  <c r="C18" i="15"/>
  <c r="F17" i="15"/>
  <c r="C17" i="15"/>
  <c r="F16" i="15"/>
  <c r="C16" i="15"/>
  <c r="F15" i="15"/>
  <c r="C15" i="15"/>
  <c r="F14" i="15"/>
  <c r="C14" i="15"/>
  <c r="F13" i="15"/>
  <c r="C13" i="15"/>
  <c r="F12" i="15"/>
  <c r="C12" i="15"/>
  <c r="F11" i="15"/>
  <c r="C11" i="15"/>
  <c r="F10" i="15"/>
  <c r="C10" i="15"/>
  <c r="F9" i="15"/>
  <c r="C9" i="15"/>
  <c r="F8" i="15"/>
  <c r="C8" i="15"/>
  <c r="F7" i="15"/>
  <c r="C7" i="15"/>
  <c r="F6" i="15"/>
  <c r="C6" i="15"/>
  <c r="F5" i="15"/>
  <c r="C5" i="15"/>
  <c r="F4" i="15"/>
  <c r="C4" i="15"/>
  <c r="F3" i="15"/>
  <c r="C3" i="15"/>
  <c r="I13" i="21"/>
  <c r="I4" i="21"/>
  <c r="I11" i="21"/>
  <c r="I6" i="21"/>
  <c r="B6" i="6"/>
  <c r="B5" i="6"/>
  <c r="I12" i="21"/>
  <c r="I14" i="21"/>
  <c r="I18" i="21" s="1"/>
  <c r="I7" i="21"/>
  <c r="I9" i="21"/>
  <c r="I15" i="21" l="1"/>
  <c r="I16" i="21" s="1"/>
  <c r="I10" i="21"/>
  <c r="I5" i="21"/>
  <c r="F27" i="21"/>
  <c r="G17" i="19" l="1"/>
  <c r="I17" i="19"/>
  <c r="G16" i="19"/>
  <c r="G3" i="6"/>
  <c r="M5" i="10"/>
  <c r="L5" i="10"/>
  <c r="K5" i="10"/>
  <c r="J5" i="10"/>
  <c r="I20" i="19"/>
  <c r="I16" i="19"/>
  <c r="I15" i="19"/>
  <c r="I18" i="19" l="1"/>
  <c r="B21" i="6" l="1"/>
  <c r="C16" i="19"/>
  <c r="B16" i="19"/>
  <c r="D16" i="19"/>
  <c r="D17" i="19"/>
  <c r="D18" i="19"/>
  <c r="D19" i="19"/>
  <c r="C17" i="19"/>
  <c r="C18" i="19"/>
  <c r="C19" i="19"/>
  <c r="B17" i="19"/>
  <c r="B18" i="19"/>
  <c r="B19" i="19"/>
  <c r="C15" i="19"/>
  <c r="D15" i="19"/>
  <c r="B15" i="19"/>
  <c r="B22" i="6" l="1"/>
  <c r="B8" i="19"/>
  <c r="E15" i="19"/>
  <c r="F2" i="19" s="1"/>
  <c r="E16" i="19"/>
  <c r="F3" i="19" s="1"/>
  <c r="G3" i="19" s="1"/>
  <c r="H3" i="19" s="1"/>
  <c r="I3" i="19" s="1"/>
  <c r="J3" i="19" s="1"/>
  <c r="K3" i="19" s="1"/>
  <c r="E19" i="19"/>
  <c r="F6" i="19" s="1"/>
  <c r="G6" i="19" s="1"/>
  <c r="H6" i="19" s="1"/>
  <c r="I6" i="19" s="1"/>
  <c r="J6" i="19" s="1"/>
  <c r="K6" i="19" s="1"/>
  <c r="E18" i="19"/>
  <c r="F5" i="19" s="1"/>
  <c r="E17" i="19"/>
  <c r="F4" i="19" s="1"/>
  <c r="G4" i="19" s="1"/>
  <c r="H4" i="19" s="1"/>
  <c r="I4" i="19" s="1"/>
  <c r="J4" i="19" s="1"/>
  <c r="K4" i="19" s="1"/>
  <c r="G2" i="19" l="1"/>
  <c r="F7" i="19"/>
  <c r="F10" i="19" s="1"/>
  <c r="G5" i="19"/>
  <c r="H2" i="19" l="1"/>
  <c r="G7" i="19"/>
  <c r="H5" i="19"/>
  <c r="G10" i="19"/>
  <c r="I2" i="19" l="1"/>
  <c r="H7" i="19"/>
  <c r="I5" i="19"/>
  <c r="H10" i="19"/>
  <c r="J2" i="19" l="1"/>
  <c r="I7" i="19"/>
  <c r="I10" i="19" s="1"/>
  <c r="J5" i="19"/>
  <c r="K2" i="19" l="1"/>
  <c r="K7" i="19" s="1"/>
  <c r="J7" i="19"/>
  <c r="K5" i="19"/>
  <c r="J10" i="19"/>
  <c r="K10" i="19" l="1"/>
  <c r="B18" i="6"/>
  <c r="B24" i="6" s="1"/>
  <c r="B7" i="6" l="1"/>
  <c r="B13" i="6"/>
  <c r="B27" i="6" s="1"/>
  <c r="B23" i="19" l="1"/>
  <c r="G13" i="6"/>
  <c r="G14" i="6" s="1"/>
  <c r="G15" i="6" s="1"/>
  <c r="F12" i="19" l="1"/>
  <c r="G12" i="19"/>
  <c r="H12" i="19"/>
  <c r="I12" i="19"/>
  <c r="J12" i="19"/>
  <c r="K11" i="19"/>
  <c r="K12" i="19"/>
  <c r="K13" i="19" l="1"/>
  <c r="G15" i="19"/>
  <c r="G18" i="19" s="1"/>
  <c r="G20" i="19" s="1"/>
  <c r="K15" i="19" s="1"/>
</calcChain>
</file>

<file path=xl/sharedStrings.xml><?xml version="1.0" encoding="utf-8"?>
<sst xmlns="http://schemas.openxmlformats.org/spreadsheetml/2006/main" count="440" uniqueCount="350">
  <si>
    <t>https://www.dollarama.com/en-CA/corp/news-release?id=122714</t>
  </si>
  <si>
    <t>https://finance.yahoo.com/news/dollarama-reports-fourth-quarter-fiscal-110000441.html</t>
  </si>
  <si>
    <t>Dollarama Full Year 2024 Earnings: EPS Beats Expectations (yahoo.com)</t>
  </si>
  <si>
    <t>Dollarama Inc. (DOL.TO)</t>
  </si>
  <si>
    <t>Income Statement</t>
  </si>
  <si>
    <t>Breakdown</t>
  </si>
  <si>
    <t>TTM</t>
  </si>
  <si>
    <t>1/31/2024</t>
  </si>
  <si>
    <t>1/31/2023</t>
  </si>
  <si>
    <t>1/31/2022</t>
  </si>
  <si>
    <t>1/31/2021</t>
  </si>
  <si>
    <t>Total Revenue</t>
  </si>
  <si>
    <t>Operating Revenue</t>
  </si>
  <si>
    <t>Cost of Revenue</t>
  </si>
  <si>
    <t>Gross Profit</t>
  </si>
  <si>
    <t>Operating Expense</t>
  </si>
  <si>
    <t>Selling General and Administrative</t>
  </si>
  <si>
    <t>General &amp; Administrative Expense</t>
  </si>
  <si>
    <t>Other G and A</t>
  </si>
  <si>
    <t>Depreciation Amortization Depletion</t>
  </si>
  <si>
    <t>Depreciation &amp; amortization</t>
  </si>
  <si>
    <t>Depreciation</t>
  </si>
  <si>
    <t>Amortization</t>
  </si>
  <si>
    <t>Amortization of Intangibles</t>
  </si>
  <si>
    <t>Operating Income</t>
  </si>
  <si>
    <t>Net Non Operating Interest Income Expense</t>
  </si>
  <si>
    <t>Interest Income Non Operating</t>
  </si>
  <si>
    <t>-</t>
  </si>
  <si>
    <t>Interest Expense Non Operating</t>
  </si>
  <si>
    <t>Total Other Finance Cost</t>
  </si>
  <si>
    <t>Other Income Expense</t>
  </si>
  <si>
    <t>Earnings from Equity Interest</t>
  </si>
  <si>
    <t>Pretax Income</t>
  </si>
  <si>
    <t>Tax Provision</t>
  </si>
  <si>
    <t>Net Income Common Stockholders</t>
  </si>
  <si>
    <t>Net Income</t>
  </si>
  <si>
    <t>Net Income Including Non-Controlling Interests</t>
  </si>
  <si>
    <t>Net Income Continuous Operations</t>
  </si>
  <si>
    <t>Diluted NI Available to Com Stockholders</t>
  </si>
  <si>
    <t>Basic EPS</t>
  </si>
  <si>
    <t>Diluted EPS</t>
  </si>
  <si>
    <t>Basic Average Shares</t>
  </si>
  <si>
    <t>Diluted Average Shares</t>
  </si>
  <si>
    <t>Total Operating Income as Reported</t>
  </si>
  <si>
    <t>Rent Expense Supplemental</t>
  </si>
  <si>
    <t>Total Expenses</t>
  </si>
  <si>
    <t>Net Income from Continuing &amp; Discontinued Operation</t>
  </si>
  <si>
    <t>Normalized Income</t>
  </si>
  <si>
    <t>Interest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</si>
  <si>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</si>
  <si>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</si>
  <si>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</si>
  <si>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</si>
  <si>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</si>
  <si>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</si>
  <si>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</si>
  <si>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Normalized EBITDA</t>
  </si>
  <si>
    <t>Tax Rate for Calcs</t>
  </si>
  <si>
    <t>Tax Effect of Unusual Items</t>
  </si>
  <si>
    <t>Balance Sheet</t>
  </si>
  <si>
    <t>Total Assets</t>
  </si>
  <si>
    <t>Total Liabilities Net Minority Interest</t>
  </si>
  <si>
    <t>Current Liabilities</t>
  </si>
  <si>
    <t>Payables And Accrued Expenses</t>
  </si>
  <si>
    <t>Payables</t>
  </si>
  <si>
    <t>Accounts Payable</t>
  </si>
  <si>
    <t>Total Tax Payable</t>
  </si>
  <si>
    <t>Income Tax Payable</t>
  </si>
  <si>
    <t>Dividends Payable</t>
  </si>
  <si>
    <t>Other Payable</t>
  </si>
  <si>
    <t>Current Accrued Expenses</t>
  </si>
  <si>
    <t>Pension &amp; Other Post Retirement Benefit Plans Current</t>
  </si>
  <si>
    <t>Current Debt And Capital Lease Obligation</t>
  </si>
  <si>
    <t>Current Debt</t>
  </si>
  <si>
    <t>Commercial Paper</t>
  </si>
  <si>
    <t>Other Current Borrowings</t>
  </si>
  <si>
    <t>Current Capital Lease Obligation</t>
  </si>
  <si>
    <t>Other Current Liabilities</t>
  </si>
  <si>
    <t>Total Non Current Liabilities Net Minority Interest</t>
  </si>
  <si>
    <t>Long Term Debt And Capital Lease Obligation</t>
  </si>
  <si>
    <t>Long Term Debt</t>
  </si>
  <si>
    <t>Long Term Capital Lease Obligation</t>
  </si>
  <si>
    <t>Non Current Deferred Liabilities</t>
  </si>
  <si>
    <t>Non Current Deferred Taxes Liabilities</t>
  </si>
  <si>
    <t>Derivative Product Liabilities</t>
  </si>
  <si>
    <t>Total Equity Gross Minority Interest</t>
  </si>
  <si>
    <t>Stockholders' Equity</t>
  </si>
  <si>
    <t>Capital Stock</t>
  </si>
  <si>
    <t>Common Stock</t>
  </si>
  <si>
    <t>Additional Paid in Capital</t>
  </si>
  <si>
    <t>Retained Earnings</t>
  </si>
  <si>
    <t>Gains Losses Not Affecting Retained Earnings</t>
  </si>
  <si>
    <t>Other Equity Adjustments</t>
  </si>
  <si>
    <t>Total Capitalization</t>
  </si>
  <si>
    <t>Common Stock Equity</t>
  </si>
  <si>
    <t>Capital Lease Obligations</t>
  </si>
  <si>
    <t>Net Tangible Assets</t>
  </si>
  <si>
    <t>Working Capital</t>
  </si>
  <si>
    <t>Invested Capital</t>
  </si>
  <si>
    <t>Tangible Book Value</t>
  </si>
  <si>
    <t>Total Debt</t>
  </si>
  <si>
    <t>Net Debt</t>
  </si>
  <si>
    <t>Share Issued</t>
  </si>
  <si>
    <t>Ordinary Shares Number</t>
  </si>
  <si>
    <t xml:space="preserve"> </t>
  </si>
  <si>
    <t>Date</t>
  </si>
  <si>
    <t>DOL Adj Close</t>
  </si>
  <si>
    <t>DOL R</t>
  </si>
  <si>
    <t>Date2</t>
  </si>
  <si>
    <t>SP Adj Close </t>
  </si>
  <si>
    <t>S&amp;P Date</t>
  </si>
  <si>
    <t>Beta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</si>
  <si>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</si>
  <si>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</si>
  <si>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</si>
  <si>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</si>
  <si>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</si>
  <si>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</si>
  <si>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</si>
  <si>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</si>
  <si>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</si>
  <si>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</si>
  <si>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</si>
  <si>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</si>
  <si>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</si>
  <si>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</si>
  <si>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</si>
  <si>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</si>
  <si>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</si>
  <si>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</si>
  <si>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</si>
  <si>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</si>
  <si>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</si>
  <si>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</si>
  <si>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</si>
  <si>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</si>
  <si>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</si>
  <si>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Market Return</t>
  </si>
  <si>
    <t>% Return</t>
  </si>
  <si>
    <t>Risk free rate (Rf)</t>
  </si>
  <si>
    <t>Componded</t>
  </si>
  <si>
    <t>Rm (S&amp;P)</t>
  </si>
  <si>
    <t>Rm (DOL)</t>
  </si>
  <si>
    <t>Ra = Rf + βa (Rm – Rf)</t>
  </si>
  <si>
    <t>Ra</t>
  </si>
  <si>
    <t>Dollarama Inc. (DOL.TO</t>
  </si>
  <si>
    <t>Cash Flows</t>
  </si>
  <si>
    <t>Operating Cash Flow</t>
  </si>
  <si>
    <t>Capital Expenditure</t>
  </si>
  <si>
    <t>Cash Flow from Continuing Operating Activities</t>
  </si>
  <si>
    <t>Free Cash Flow</t>
  </si>
  <si>
    <t>Net Income from Continuing Operations</t>
  </si>
  <si>
    <t>Operating Gains Losses</t>
  </si>
  <si>
    <t>Gain Loss On Investment Securities</t>
  </si>
  <si>
    <t>Earnings Losses from Equity Investments</t>
  </si>
  <si>
    <t>Deferred Tax</t>
  </si>
  <si>
    <t>Deferred Income Tax</t>
  </si>
  <si>
    <t>Amortization of Securities</t>
  </si>
  <si>
    <t>Stock based compensation</t>
  </si>
  <si>
    <t>Other non-cash items</t>
  </si>
  <si>
    <t>Change in working capital</t>
  </si>
  <si>
    <t>Change in Receivables</t>
  </si>
  <si>
    <t>Changes in Account Receivables</t>
  </si>
  <si>
    <t>Change in Inventory</t>
  </si>
  <si>
    <t>Change in Prepaid Assets</t>
  </si>
  <si>
    <t>Change in Payables And Accrued Expense</t>
  </si>
  <si>
    <t>Change in Payable</t>
  </si>
  <si>
    <t>Change in Tax Payable</t>
  </si>
  <si>
    <t>Change in Income Tax Payable</t>
  </si>
  <si>
    <t>Change in Account Payable</t>
  </si>
  <si>
    <t>Interest Received CFO</t>
  </si>
  <si>
    <t>Investing Cash Flow</t>
  </si>
  <si>
    <t>Cash Flow from Continuing Investing Activities</t>
  </si>
  <si>
    <t>Net PPE Purchase And Sale</t>
  </si>
  <si>
    <t>Purchase of PPE</t>
  </si>
  <si>
    <t>Sale of PPE</t>
  </si>
  <si>
    <t>Net Intangibles Purchase And Sale</t>
  </si>
  <si>
    <t>Purchase of Intangibles</t>
  </si>
  <si>
    <t>Net Business Purchase And Sale</t>
  </si>
  <si>
    <t>Purchase of Business</t>
  </si>
  <si>
    <t>Dividends Received CFI</t>
  </si>
  <si>
    <t>Financing Cash Flow</t>
  </si>
  <si>
    <t>Cash Flow from Continuing Financing Activities</t>
  </si>
  <si>
    <t>Net Issuance Payments of Debt</t>
  </si>
  <si>
    <t>Net Long Term Debt Issuance</t>
  </si>
  <si>
    <t>Long Term Debt Issuance</t>
  </si>
  <si>
    <t>Long Term Debt Payments</t>
  </si>
  <si>
    <t>Net Short Term Debt Issuance</t>
  </si>
  <si>
    <t>Short Term Debt Issuance</t>
  </si>
  <si>
    <t>Short Term Debt Payments</t>
  </si>
  <si>
    <t>Net Common Stock Issuance</t>
  </si>
  <si>
    <t>Common Stock Issuance</t>
  </si>
  <si>
    <t>Common Stock Payments</t>
  </si>
  <si>
    <t>Cash Dividends Paid</t>
  </si>
  <si>
    <t>Common Stock Dividend Paid</t>
  </si>
  <si>
    <t>Interest Paid CFF</t>
  </si>
  <si>
    <t>Net Other Financing Charges</t>
  </si>
  <si>
    <t>End Cash Position</t>
  </si>
  <si>
    <t>Changes in Cash</t>
  </si>
  <si>
    <t>Beginning Cash Position</t>
  </si>
  <si>
    <t>Income Tax Paid Supplemental Data</t>
  </si>
  <si>
    <t>Interest Paid Supplemental Data</t>
  </si>
  <si>
    <t>Issuance of Capital Stock</t>
  </si>
  <si>
    <t>Issuance of Debt</t>
  </si>
  <si>
    <t>Repayment of Debt</t>
  </si>
  <si>
    <t>Repurchase of Capital Stock</t>
  </si>
  <si>
    <t>https://fred.stlouisfed.org/series/DGS10/</t>
  </si>
  <si>
    <t>Risk free Rate</t>
  </si>
  <si>
    <t>WACC</t>
  </si>
  <si>
    <t>No. of shares outstanding</t>
  </si>
  <si>
    <t>Market Value</t>
  </si>
  <si>
    <t>Weight of Debt and Weight of Equity</t>
  </si>
  <si>
    <t>Market Capitalization</t>
  </si>
  <si>
    <t>Total Equity</t>
  </si>
  <si>
    <t>Cash and Cash Equivalents</t>
  </si>
  <si>
    <t>Weight of Debt</t>
  </si>
  <si>
    <t>Weight of Equity</t>
  </si>
  <si>
    <t>TOTAL</t>
  </si>
  <si>
    <t>Actual Share Value</t>
  </si>
  <si>
    <t>Cost of Equity</t>
  </si>
  <si>
    <t>`</t>
  </si>
  <si>
    <t>Cashflow</t>
  </si>
  <si>
    <t>Market Return(Rm)</t>
  </si>
  <si>
    <t>Using WACC</t>
  </si>
  <si>
    <t>Cost of Equity [Rf+β×(Rm−Rf)]</t>
  </si>
  <si>
    <t>EV</t>
  </si>
  <si>
    <t>Equity</t>
  </si>
  <si>
    <t>Cost of Debt</t>
  </si>
  <si>
    <t>Value of Share</t>
  </si>
  <si>
    <t>Total Interest Expenses</t>
  </si>
  <si>
    <t>Interest Rate (Interest Exp/ Total Debt)</t>
  </si>
  <si>
    <t>Income before taxes</t>
  </si>
  <si>
    <t>Income after taxes</t>
  </si>
  <si>
    <t>Tax Rate [(Income before taxes-Income after taxes)/Income before taxes]</t>
  </si>
  <si>
    <t>Cost of Debt=Total Interest Expense/Total Debt ×(1−Tax Rate)</t>
  </si>
  <si>
    <t>s</t>
  </si>
  <si>
    <t>After-tax cost of debt</t>
  </si>
  <si>
    <t>Weighted Average Cost of Capital (WACC)</t>
  </si>
  <si>
    <t>weightof debt *After-tax cost of debt+Weight of Equity*Cost of Equity</t>
  </si>
  <si>
    <t>Values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</si>
  <si>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</si>
  <si>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</si>
  <si>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</si>
  <si>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</si>
  <si>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</si>
  <si>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</si>
  <si>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</si>
  <si>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</si>
  <si>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</si>
  <si>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</si>
  <si>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Revenue</t>
  </si>
  <si>
    <t>Depreciation and Amortization</t>
  </si>
  <si>
    <t>Required Investment</t>
  </si>
  <si>
    <t>Tax Rate</t>
  </si>
  <si>
    <t>FCF (FCF = EBIT(1− T) + Deprec − Required Investment)</t>
  </si>
  <si>
    <t>Free Cash Flows</t>
  </si>
  <si>
    <t>Horizon Value</t>
  </si>
  <si>
    <t>PV</t>
  </si>
  <si>
    <t>Total NPV</t>
  </si>
  <si>
    <t>Growth Rate</t>
  </si>
  <si>
    <t>Average</t>
  </si>
  <si>
    <t>Intrinsic Value</t>
  </si>
  <si>
    <t>Market Price</t>
  </si>
  <si>
    <t>Enterprice Value</t>
  </si>
  <si>
    <t>Market Cap</t>
  </si>
  <si>
    <t>Delta</t>
  </si>
  <si>
    <t>Plus: Cash</t>
  </si>
  <si>
    <t>Plus: Debt</t>
  </si>
  <si>
    <t>Less:Debt</t>
  </si>
  <si>
    <t>Less: Cash</t>
  </si>
  <si>
    <t>Equity Value</t>
  </si>
  <si>
    <t>Enterprise Value</t>
  </si>
  <si>
    <t>Equity Value/Share</t>
  </si>
  <si>
    <t>Long term growth rate (g)</t>
  </si>
  <si>
    <t>Discount rate /Wacc</t>
  </si>
  <si>
    <t>Solution</t>
  </si>
  <si>
    <t>Formulae</t>
  </si>
  <si>
    <t>Company's Ratios</t>
  </si>
  <si>
    <t>Dollarama
Statement of Income
For the year ending as of 28th January 2024</t>
  </si>
  <si>
    <t>Ratios</t>
  </si>
  <si>
    <t>Current Ratio</t>
  </si>
  <si>
    <t>Current Assets / Current Liabilities</t>
  </si>
  <si>
    <t>Cost of Sales</t>
  </si>
  <si>
    <t>Quick Ratio</t>
  </si>
  <si>
    <t>(Current Assets – inventory)/ Current Liabilities</t>
  </si>
  <si>
    <t>Cash Ratio</t>
  </si>
  <si>
    <t>Cash + Cash equivalents / Current Liabilities</t>
  </si>
  <si>
    <t>Expenses:</t>
  </si>
  <si>
    <t>Debt-to-Equity Ratio</t>
  </si>
  <si>
    <t>Total Debt / Shareholders’ Equity</t>
  </si>
  <si>
    <t>Distribution Costs</t>
  </si>
  <si>
    <t>Operating Profit Margin</t>
  </si>
  <si>
    <t>Operating Income/Revenue * 100</t>
  </si>
  <si>
    <t>Lease</t>
  </si>
  <si>
    <t>Gross Profit Margin</t>
  </si>
  <si>
    <r>
      <t xml:space="preserve">Gross Profit/Net Sales * 100 
OR 
</t>
    </r>
    <r>
      <rPr>
        <sz val="14"/>
        <color theme="1"/>
        <rFont val="Calibri (Body)"/>
      </rPr>
      <t>Gross Profit/Revenue</t>
    </r>
  </si>
  <si>
    <t>Return on Sales Ratio</t>
  </si>
  <si>
    <t>Operating profit/net sales
OR
(Net Income /Revenue)*100</t>
  </si>
  <si>
    <t>Administrative expenses</t>
  </si>
  <si>
    <t>Return on Investment</t>
  </si>
  <si>
    <t>Net Income / Cost of Investment</t>
  </si>
  <si>
    <t>Return on Total Assets</t>
  </si>
  <si>
    <t>Net Income / Assets *100</t>
  </si>
  <si>
    <t>Finance Costs</t>
  </si>
  <si>
    <t>Dividend Payout Ratio</t>
  </si>
  <si>
    <t>Total Dividends Paid / Net Income * 100</t>
  </si>
  <si>
    <t>Return on Equity Ratio</t>
  </si>
  <si>
    <t>Net income /shareholder’s equity*100</t>
  </si>
  <si>
    <t>Profit Before Taxes</t>
  </si>
  <si>
    <t>Earnings per share</t>
  </si>
  <si>
    <t>Profit/Number of shares Outstanding</t>
  </si>
  <si>
    <t>Income Tax Expense</t>
  </si>
  <si>
    <t>Price/Earnings Ratio</t>
  </si>
  <si>
    <t>Market value per share/Earnings per share (EPS)</t>
  </si>
  <si>
    <t>Profit for the year</t>
  </si>
  <si>
    <t>Number of Common Shares Outstanding</t>
  </si>
  <si>
    <t>x`</t>
  </si>
  <si>
    <t>Sustainable Growth Rate</t>
  </si>
  <si>
    <t>ROE*(1-Dividend Payout Ratio)</t>
  </si>
  <si>
    <t>Price per common share</t>
  </si>
  <si>
    <t>Total Dividends Paid</t>
  </si>
  <si>
    <t>Cost of Investment</t>
  </si>
  <si>
    <t>Dollarama
Statement of Financial Position
For the year ending as of 28th January 2024</t>
  </si>
  <si>
    <t>Non-current Assets</t>
  </si>
  <si>
    <t>Property, plant and equipment</t>
  </si>
  <si>
    <t>Shares issued</t>
  </si>
  <si>
    <t>Common Shares</t>
  </si>
  <si>
    <t>Accumulated Depreciation</t>
  </si>
  <si>
    <t>Retained earnings</t>
  </si>
  <si>
    <t>Preferred Shares</t>
  </si>
  <si>
    <t>Total non-current assets</t>
  </si>
  <si>
    <t>Total non current liabilitites</t>
  </si>
  <si>
    <t>Long-term Borrowings</t>
  </si>
  <si>
    <t>Current Assets</t>
  </si>
  <si>
    <t>Inventories</t>
  </si>
  <si>
    <t>Trade and other Payables</t>
  </si>
  <si>
    <t>Trade Receivables</t>
  </si>
  <si>
    <t>Dividend Payable</t>
  </si>
  <si>
    <t>Prepaid Expenses</t>
  </si>
  <si>
    <t>Accruals</t>
  </si>
  <si>
    <t>Included in Trade &amp; other Payables</t>
  </si>
  <si>
    <t>Term Deposits</t>
  </si>
  <si>
    <t>Included in Cash</t>
  </si>
  <si>
    <t>Current income tax payable</t>
  </si>
  <si>
    <t>Cash</t>
  </si>
  <si>
    <t>Total Current Liabilities</t>
  </si>
  <si>
    <t>Total current assets</t>
  </si>
  <si>
    <t>Total Liabilities</t>
  </si>
  <si>
    <t>Total assets</t>
  </si>
  <si>
    <t>Total Equity and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</si>
</sst>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%"/>
    <numFmt numFmtId="167" formatCode="0.000%"/>
    <numFmt numFmtId="168" formatCode="[$$-1009]#,##0"/>
    <numFmt numFmtId="169" formatCode="_([$$-409]* #,##0.00_);_([$$-409]* \(#,##0.00\);_([$$-409]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 (Body)"/>
    </font>
    <font>
      <sz val="11"/>
      <color rgb="FF232A3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1"/>
      <color rgb="FF232A3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9" borderId="0" applyNumberFormat="0" applyBorder="0" applyAlignment="0" applyProtection="0"/>
  </cellStyleXfs>
  <cellXfs count="122">
    <xf numFmtId="0" fontId="0" fillId="0" borderId="0" xfId="0"/>
    <xf numFmtId="0" fontId="0" fillId="0" borderId="1" xfId="0" applyBorder="1"/>
    <xf numFmtId="3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  <xf numFmtId="10" fontId="0" fillId="0" borderId="0" xfId="0" applyNumberFormat="1"/>
    <xf numFmtId="0" fontId="4" fillId="0" borderId="0" xfId="0" applyFont="1"/>
    <xf numFmtId="166" fontId="0" fillId="0" borderId="0" xfId="0" applyNumberFormat="1"/>
    <xf numFmtId="16" fontId="0" fillId="0" borderId="0" xfId="0" applyNumberFormat="1"/>
    <xf numFmtId="0" fontId="5" fillId="0" borderId="0" xfId="7"/>
    <xf numFmtId="0" fontId="4" fillId="8" borderId="1" xfId="0" applyFont="1" applyFill="1" applyBorder="1"/>
    <xf numFmtId="0" fontId="0" fillId="8" borderId="1" xfId="0" applyFill="1" applyBorder="1"/>
    <xf numFmtId="0" fontId="4" fillId="8" borderId="5" xfId="0" applyFont="1" applyFill="1" applyBorder="1"/>
    <xf numFmtId="0" fontId="0" fillId="8" borderId="5" xfId="0" applyFill="1" applyBorder="1"/>
    <xf numFmtId="15" fontId="0" fillId="0" borderId="0" xfId="0" applyNumberFormat="1"/>
    <xf numFmtId="14" fontId="0" fillId="0" borderId="0" xfId="0" applyNumberFormat="1"/>
    <xf numFmtId="0" fontId="1" fillId="2" borderId="1" xfId="9" applyBorder="1"/>
    <xf numFmtId="10" fontId="1" fillId="2" borderId="1" xfId="9" applyNumberFormat="1" applyBorder="1"/>
    <xf numFmtId="0" fontId="7" fillId="4" borderId="0" xfId="11" applyAlignment="1">
      <alignment wrapText="1"/>
    </xf>
    <xf numFmtId="0" fontId="1" fillId="5" borderId="1" xfId="12" applyBorder="1" applyAlignment="1">
      <alignment wrapText="1"/>
    </xf>
    <xf numFmtId="0" fontId="1" fillId="5" borderId="1" xfId="12" applyNumberFormat="1" applyBorder="1"/>
    <xf numFmtId="10" fontId="1" fillId="5" borderId="1" xfId="12" applyNumberFormat="1" applyBorder="1"/>
    <xf numFmtId="0" fontId="1" fillId="5" borderId="1" xfId="12" applyBorder="1"/>
    <xf numFmtId="166" fontId="1" fillId="5" borderId="1" xfId="12" applyNumberFormat="1" applyBorder="1"/>
    <xf numFmtId="167" fontId="1" fillId="5" borderId="1" xfId="12" applyNumberFormat="1" applyBorder="1"/>
    <xf numFmtId="0" fontId="1" fillId="2" borderId="5" xfId="9" applyBorder="1"/>
    <xf numFmtId="44" fontId="0" fillId="0" borderId="0" xfId="8" applyFont="1"/>
    <xf numFmtId="44" fontId="0" fillId="0" borderId="0" xfId="0" applyNumberFormat="1"/>
    <xf numFmtId="9" fontId="0" fillId="0" borderId="0" xfId="0" applyNumberFormat="1"/>
    <xf numFmtId="0" fontId="6" fillId="7" borderId="1" xfId="0" applyFont="1" applyFill="1" applyBorder="1"/>
    <xf numFmtId="10" fontId="1" fillId="3" borderId="1" xfId="10" applyNumberFormat="1" applyBorder="1"/>
    <xf numFmtId="2" fontId="1" fillId="3" borderId="1" xfId="10" applyNumberFormat="1" applyBorder="1"/>
    <xf numFmtId="0" fontId="6" fillId="7" borderId="1" xfId="9" applyFont="1" applyFill="1" applyBorder="1"/>
    <xf numFmtId="0" fontId="10" fillId="0" borderId="0" xfId="0" applyFont="1"/>
    <xf numFmtId="44" fontId="1" fillId="2" borderId="1" xfId="9" applyNumberFormat="1" applyBorder="1"/>
    <xf numFmtId="0" fontId="9" fillId="0" borderId="0" xfId="0" applyFont="1"/>
    <xf numFmtId="0" fontId="6" fillId="7" borderId="7" xfId="0" applyFont="1" applyFill="1" applyBorder="1"/>
    <xf numFmtId="44" fontId="1" fillId="3" borderId="7" xfId="10" applyNumberFormat="1" applyBorder="1"/>
    <xf numFmtId="44" fontId="7" fillId="4" borderId="1" xfId="11" applyNumberFormat="1" applyBorder="1"/>
    <xf numFmtId="0" fontId="1" fillId="9" borderId="1" xfId="16" applyBorder="1"/>
    <xf numFmtId="44" fontId="1" fillId="9" borderId="1" xfId="16" applyNumberFormat="1" applyBorder="1"/>
    <xf numFmtId="8" fontId="1" fillId="9" borderId="1" xfId="16" applyNumberFormat="1" applyBorder="1"/>
    <xf numFmtId="0" fontId="6" fillId="6" borderId="1" xfId="13" applyFont="1" applyBorder="1"/>
    <xf numFmtId="10" fontId="1" fillId="6" borderId="1" xfId="13" applyNumberFormat="1" applyBorder="1"/>
    <xf numFmtId="0" fontId="1" fillId="6" borderId="1" xfId="13" applyBorder="1"/>
    <xf numFmtId="10" fontId="1" fillId="2" borderId="2" xfId="9" applyNumberFormat="1" applyBorder="1"/>
    <xf numFmtId="8" fontId="1" fillId="9" borderId="1" xfId="16" applyNumberFormat="1" applyBorder="1" applyAlignment="1">
      <alignment wrapText="1"/>
    </xf>
    <xf numFmtId="0" fontId="7" fillId="4" borderId="1" xfId="11" applyBorder="1"/>
    <xf numFmtId="14" fontId="7" fillId="4" borderId="1" xfId="11" applyNumberFormat="1" applyBorder="1"/>
    <xf numFmtId="0" fontId="4" fillId="0" borderId="1" xfId="0" applyFont="1" applyBorder="1"/>
    <xf numFmtId="3" fontId="0" fillId="8" borderId="1" xfId="0" applyNumberFormat="1" applyFill="1" applyBorder="1"/>
    <xf numFmtId="0" fontId="4" fillId="10" borderId="1" xfId="0" applyFont="1" applyFill="1" applyBorder="1"/>
    <xf numFmtId="3" fontId="4" fillId="10" borderId="1" xfId="0" applyNumberFormat="1" applyFont="1" applyFill="1" applyBorder="1"/>
    <xf numFmtId="3" fontId="1" fillId="5" borderId="1" xfId="12" applyNumberFormat="1" applyBorder="1"/>
    <xf numFmtId="0" fontId="12" fillId="11" borderId="0" xfId="0" applyFont="1" applyFill="1"/>
    <xf numFmtId="0" fontId="13" fillId="11" borderId="1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 applyAlignment="1">
      <alignment horizontal="center"/>
    </xf>
    <xf numFmtId="0" fontId="14" fillId="0" borderId="1" xfId="0" applyFont="1" applyBorder="1"/>
    <xf numFmtId="0" fontId="13" fillId="12" borderId="1" xfId="0" applyFont="1" applyFill="1" applyBorder="1"/>
    <xf numFmtId="0" fontId="14" fillId="0" borderId="1" xfId="0" applyFont="1" applyBorder="1" applyAlignment="1">
      <alignment horizontal="right"/>
    </xf>
    <xf numFmtId="0" fontId="13" fillId="12" borderId="1" xfId="0" applyFont="1" applyFill="1" applyBorder="1" applyAlignment="1">
      <alignment horizontal="left"/>
    </xf>
    <xf numFmtId="0" fontId="13" fillId="12" borderId="1" xfId="0" applyFont="1" applyFill="1" applyBorder="1" applyAlignment="1">
      <alignment wrapText="1"/>
    </xf>
    <xf numFmtId="0" fontId="17" fillId="0" borderId="1" xfId="0" applyFont="1" applyBorder="1"/>
    <xf numFmtId="0" fontId="14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1" fillId="0" borderId="0" xfId="0" applyFont="1" applyAlignment="1">
      <alignment horizontal="center" wrapText="1"/>
    </xf>
    <xf numFmtId="0" fontId="17" fillId="0" borderId="7" xfId="0" applyFont="1" applyBorder="1"/>
    <xf numFmtId="3" fontId="16" fillId="0" borderId="0" xfId="0" applyNumberFormat="1" applyFont="1"/>
    <xf numFmtId="164" fontId="16" fillId="0" borderId="0" xfId="15" applyFont="1" applyBorder="1"/>
    <xf numFmtId="164" fontId="0" fillId="13" borderId="0" xfId="15" applyFont="1" applyFill="1" applyBorder="1"/>
    <xf numFmtId="168" fontId="14" fillId="13" borderId="1" xfId="0" applyNumberFormat="1" applyFont="1" applyFill="1" applyBorder="1"/>
    <xf numFmtId="168" fontId="14" fillId="13" borderId="0" xfId="0" applyNumberFormat="1" applyFont="1" applyFill="1"/>
    <xf numFmtId="0" fontId="0" fillId="13" borderId="1" xfId="15" applyNumberFormat="1" applyFont="1" applyFill="1" applyBorder="1" applyAlignment="1">
      <alignment horizontal="center"/>
    </xf>
    <xf numFmtId="0" fontId="0" fillId="13" borderId="0" xfId="15" applyNumberFormat="1" applyFont="1" applyFill="1" applyBorder="1" applyAlignment="1">
      <alignment horizontal="center"/>
    </xf>
    <xf numFmtId="164" fontId="14" fillId="13" borderId="1" xfId="15" applyFont="1" applyFill="1" applyBorder="1" applyAlignment="1">
      <alignment horizontal="center"/>
    </xf>
    <xf numFmtId="164" fontId="0" fillId="0" borderId="0" xfId="15" applyFont="1"/>
    <xf numFmtId="2" fontId="13" fillId="12" borderId="1" xfId="0" applyNumberFormat="1" applyFont="1" applyFill="1" applyBorder="1"/>
    <xf numFmtId="10" fontId="13" fillId="12" borderId="1" xfId="1" applyNumberFormat="1" applyFont="1" applyFill="1" applyBorder="1"/>
    <xf numFmtId="10" fontId="13" fillId="12" borderId="1" xfId="0" applyNumberFormat="1" applyFont="1" applyFill="1" applyBorder="1"/>
    <xf numFmtId="164" fontId="13" fillId="12" borderId="1" xfId="15" applyFont="1" applyFill="1" applyBorder="1"/>
    <xf numFmtId="0" fontId="14" fillId="0" borderId="7" xfId="0" applyFont="1" applyBorder="1"/>
    <xf numFmtId="0" fontId="16" fillId="0" borderId="1" xfId="0" applyFont="1" applyBorder="1"/>
    <xf numFmtId="0" fontId="0" fillId="2" borderId="1" xfId="9" applyFont="1" applyBorder="1"/>
    <xf numFmtId="44" fontId="14" fillId="0" borderId="1" xfId="8" applyFont="1" applyBorder="1"/>
    <xf numFmtId="44" fontId="14" fillId="13" borderId="1" xfId="8" applyFont="1" applyFill="1" applyBorder="1"/>
    <xf numFmtId="44" fontId="0" fillId="0" borderId="1" xfId="8" applyFont="1" applyBorder="1"/>
    <xf numFmtId="44" fontId="16" fillId="0" borderId="1" xfId="8" applyFont="1" applyBorder="1"/>
    <xf numFmtId="44" fontId="0" fillId="13" borderId="1" xfId="8" applyFont="1" applyFill="1" applyBorder="1"/>
    <xf numFmtId="1" fontId="14" fillId="13" borderId="1" xfId="8" applyNumberFormat="1" applyFont="1" applyFill="1" applyBorder="1"/>
    <xf numFmtId="0" fontId="13" fillId="12" borderId="0" xfId="0" applyFont="1" applyFill="1"/>
    <xf numFmtId="0" fontId="18" fillId="0" borderId="0" xfId="0" applyFont="1"/>
    <xf numFmtId="2" fontId="13" fillId="12" borderId="0" xfId="0" applyNumberFormat="1" applyFont="1" applyFill="1"/>
    <xf numFmtId="0" fontId="0" fillId="12" borderId="1" xfId="0" applyFill="1" applyBorder="1"/>
    <xf numFmtId="164" fontId="0" fillId="12" borderId="1" xfId="0" applyNumberFormat="1" applyFill="1" applyBorder="1"/>
    <xf numFmtId="0" fontId="0" fillId="10" borderId="0" xfId="0" applyFill="1"/>
    <xf numFmtId="0" fontId="6" fillId="10" borderId="0" xfId="0" applyFont="1" applyFill="1"/>
    <xf numFmtId="3" fontId="16" fillId="10" borderId="0" xfId="0" applyNumberFormat="1" applyFont="1" applyFill="1"/>
    <xf numFmtId="44" fontId="1" fillId="2" borderId="5" xfId="9" applyNumberFormat="1" applyBorder="1"/>
    <xf numFmtId="0" fontId="0" fillId="13" borderId="0" xfId="9" applyFont="1" applyFill="1" applyBorder="1"/>
    <xf numFmtId="44" fontId="1" fillId="13" borderId="0" xfId="9" applyNumberFormat="1" applyFill="1" applyBorder="1"/>
    <xf numFmtId="0" fontId="1" fillId="13" borderId="0" xfId="9" applyFill="1" applyBorder="1"/>
    <xf numFmtId="44" fontId="1" fillId="13" borderId="0" xfId="8" applyFill="1" applyBorder="1"/>
    <xf numFmtId="14" fontId="4" fillId="0" borderId="0" xfId="0" applyNumberFormat="1" applyFont="1"/>
    <xf numFmtId="0" fontId="7" fillId="4" borderId="0" xfId="11"/>
    <xf numFmtId="10" fontId="1" fillId="9" borderId="1" xfId="16" applyNumberFormat="1" applyBorder="1"/>
    <xf numFmtId="0" fontId="1" fillId="9" borderId="1" xfId="16" applyBorder="1" applyAlignment="1">
      <alignment horizontal="center"/>
    </xf>
    <xf numFmtId="0" fontId="1" fillId="5" borderId="1" xfId="12" applyBorder="1" applyAlignment="1">
      <alignment horizontal="center"/>
    </xf>
    <xf numFmtId="0" fontId="4" fillId="5" borderId="1" xfId="12" applyFont="1" applyBorder="1"/>
    <xf numFmtId="0" fontId="4" fillId="5" borderId="1" xfId="12" applyFont="1" applyBorder="1" applyAlignment="1">
      <alignment horizontal="centerContinuous"/>
    </xf>
    <xf numFmtId="0" fontId="4" fillId="9" borderId="1" xfId="16" applyFont="1" applyBorder="1"/>
    <xf numFmtId="10" fontId="7" fillId="4" borderId="1" xfId="11" applyNumberFormat="1" applyBorder="1"/>
    <xf numFmtId="0" fontId="19" fillId="0" borderId="1" xfId="0" applyFont="1" applyBorder="1"/>
    <xf numFmtId="169" fontId="20" fillId="0" borderId="8" xfId="0" applyNumberFormat="1" applyFont="1" applyBorder="1"/>
    <xf numFmtId="169" fontId="0" fillId="0" borderId="0" xfId="8" applyNumberFormat="1" applyFont="1"/>
    <xf numFmtId="0" fontId="8" fillId="7" borderId="2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1" fillId="11" borderId="0" xfId="0" applyFont="1" applyFill="1" applyAlignment="1">
      <alignment horizontal="left" vertical="top" wrapText="1"/>
    </xf>
    <xf numFmtId="0" fontId="11" fillId="11" borderId="0" xfId="0" applyFont="1" applyFill="1" applyAlignment="1">
      <alignment horizontal="left" vertical="top"/>
    </xf>
    <xf numFmtId="0" fontId="11" fillId="11" borderId="6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center" wrapText="1"/>
    </xf>
  </cellXfs>
  <cellStyles count="17">
    <cellStyle name="20% - Accent1" xfId="9" builtinId="30"/>
    <cellStyle name="20% - Accent5" xfId="12" builtinId="46"/>
    <cellStyle name="40% - Accent1" xfId="10" builtinId="31"/>
    <cellStyle name="40% - Accent5" xfId="16" builtinId="47"/>
    <cellStyle name="60% - Accent5" xfId="13" builtinId="48"/>
    <cellStyle name="Accent5" xfId="11" builtinId="45"/>
    <cellStyle name="Comma 2" xfId="3" xr:uid="{00000000-0005-0000-0000-000007000000}"/>
    <cellStyle name="Currency" xfId="8" builtinId="4"/>
    <cellStyle name="Currency 2" xfId="15" xr:uid="{00000000-0005-0000-0000-000009000000}"/>
    <cellStyle name="Hyperlink" xfId="7" builtinId="8"/>
    <cellStyle name="Normal" xfId="0" builtinId="0"/>
    <cellStyle name="Normal 2" xfId="2" xr:uid="{00000000-0005-0000-0000-00000C000000}"/>
    <cellStyle name="Normal 2 2 2" xfId="4" xr:uid="{00000000-0005-0000-0000-00000D000000}"/>
    <cellStyle name="Normal 3" xfId="5" xr:uid="{00000000-0005-0000-0000-00000E000000}"/>
    <cellStyle name="Percent" xfId="1" builtinId="5"/>
    <cellStyle name="Percent 2" xfId="6" xr:uid="{00000000-0005-0000-0000-000010000000}"/>
    <cellStyle name="Style 1" xfId="14" xr:uid="{00000000-0005-0000-0000-000011000000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Equity Value Per Share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DCF!$F$14</c:f>
              <c:strCache>
                <c:ptCount val="1"/>
                <c:pt idx="0">
                  <c:v>Intrinsic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D30-4DC0-B58E-7D80005EE1F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30-4DC0-B58E-7D80005EE1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DCF!$F$20</c:f>
              <c:strCache>
                <c:ptCount val="1"/>
                <c:pt idx="0">
                  <c:v>Equity Value/Share</c:v>
                </c:pt>
              </c:strCache>
            </c:strRef>
          </c:cat>
          <c:val>
            <c:numRef>
              <c:f>DCF!$G$20</c:f>
              <c:numCache>
                <c:formatCode>"$"#,##0.00_);[Red]\("$"#,##0.00\)</c:formatCode>
                <c:ptCount val="1"/>
                <c:pt idx="0">
                  <c:v>879.50537121048706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0-4DC0-B58E-7D80005EE1F7}"/>
            </c:ext>
          </c:extLst>
        </c:ser>
        <c:ser>
          <c:idx val="1"/>
          <c:order val="1"/>
          <c:tx>
            <c:strRef>
              <c:f>DCF!$H$14</c:f>
              <c:strCache>
                <c:ptCount val="1"/>
                <c:pt idx="0">
                  <c:v>Market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31-43FC-AA67-3CDAE6BEE0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DCF!$F$20</c:f>
              <c:strCache>
                <c:ptCount val="1"/>
                <c:pt idx="0">
                  <c:v>Equity Value/Share</c:v>
                </c:pt>
              </c:strCache>
            </c:strRef>
          </c:cat>
          <c:val>
            <c:numRef>
              <c:f>DCF!$I$20</c:f>
              <c:numCache>
                <c:formatCode>_("$"* #,##0.00_);_("$"* \(#,##0.00\);_("$"* "-"??_);_(@_)</c:formatCode>
                <c:ptCount val="1"/>
                <c:pt idx="0">
                  <c:v>109.75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0-4DC0-B58E-7D80005EE1F7}"/>
            </c:ext>
          </c:extLst>
        </c:ser>
        <c:ser>
          <c:idx val="2"/>
          <c:order val="2"/>
          <c:tx>
            <c:strRef>
              <c:f>DCF!$J$15</c:f>
              <c:strCache>
                <c:ptCount val="1"/>
                <c:pt idx="0">
                  <c:v> Delta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DCF!$K$15</c:f>
              <c:numCache>
                <c:formatCode>_("$"* #,##0.00_);_("$"* \(#,##0.00\);_("$"* "-"??_);_(@_)</c:formatCode>
                <c:ptCount val="1"/>
                <c:pt idx="0">
                  <c:v>769.75537121048706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31-43FC-AA67-3CDAE6BEE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081440"/>
        <c:axId val="698086240"/>
      </c:barChart>
      <c:catAx>
        <c:axId val="6980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86240"/>
        <c:crosses val="autoZero"/>
        <c:auto val="1"/>
        <c:lblAlgn val="ctr"/>
        <c:lblOffset val="100"/>
        <c:noMultiLvlLbl val="0"/>
      </c:catAx>
      <c:valAx>
        <c:axId val="6980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121920</xdr:rowOff>
    </xdr:from>
    <xdr:to>
      <xdr:col>10</xdr:col>
      <xdr:colOff>312420</xdr:colOff>
      <xdr:row>21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4EFB6F-BFB1-7336-1D69-92ADA87DFFF3}"/>
            </a:ext>
          </a:extLst>
        </xdr:cNvPr>
        <xdr:cNvSpPr txBox="1"/>
      </xdr:nvSpPr>
      <xdr:spPr>
        <a:xfrm>
          <a:off x="411480" y="304800"/>
          <a:ext cx="5996940" cy="3627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ctr"/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fontAlgn="ctr"/>
          <a:endParaRPr lang="en-C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ctr"/>
          <a:r>
            <a:rPr lang="en-CA" sz="3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Financial Assessment of </a:t>
          </a:r>
          <a:r>
            <a:rPr lang="en-CA" sz="3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Dollarama </a:t>
          </a:r>
        </a:p>
        <a:p>
          <a:pPr fontAlgn="ctr"/>
          <a:endParaRPr lang="en-CA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ctr"/>
          <a:endParaRPr lang="en-CA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ctr"/>
          <a:endParaRPr lang="en-CA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ctr"/>
          <a:r>
            <a:rPr lang="en-CA" sz="3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8</a:t>
          </a:r>
        </a:p>
        <a:p>
          <a:pPr fontAlgn="ctr"/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 Babu Treeza</a:t>
          </a:r>
        </a:p>
        <a:p>
          <a:pPr fontAlgn="ctr"/>
          <a:r>
            <a:rPr lang="en-CA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Abigail Sunil Dsilva</a:t>
          </a:r>
        </a:p>
        <a:p>
          <a:pPr fontAlgn="ctr"/>
          <a:r>
            <a:rPr lang="en-CA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Ranisha Rajagopalan Girija</a:t>
          </a:r>
        </a:p>
        <a:p>
          <a:pPr fontAlgn="ctr"/>
          <a:r>
            <a:rPr lang="en-CA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Aesha Bhavanisinh Rathod</a:t>
          </a:r>
        </a:p>
        <a:p>
          <a:pPr fontAlgn="ctr"/>
          <a:r>
            <a:rPr lang="en-CA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Srinivas Venuvanka</a:t>
          </a:r>
        </a:p>
        <a:p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23</xdr:col>
      <xdr:colOff>222231</xdr:colOff>
      <xdr:row>83</xdr:row>
      <xdr:rowOff>46374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BE32CF-97B1-03AD-B4AD-BAACDDE3E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80960"/>
          <a:ext cx="14441151" cy="75444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11430</xdr:rowOff>
    </xdr:from>
    <xdr:to>
      <xdr:col>3</xdr:col>
      <xdr:colOff>944880</xdr:colOff>
      <xdr:row>40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BE6651-460A-5498-1C0A-DC444AEB4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3:F50" totalsRowShown="0" tableBorderDxfId="28">
  <autoFilter ref="A3:F50" xr:uid="{00000000-0009-0000-0100-000005000000}"/>
  <tableColumns count="6">
    <tableColumn id="1" xr3:uid="{00000000-0010-0000-0000-000001000000}" name="Breakdown"/>
    <tableColumn id="2" xr3:uid="{00000000-0010-0000-0000-000002000000}" name="TTM" dataDxfId="27"/>
    <tableColumn id="3" xr3:uid="{00000000-0010-0000-0000-000003000000}" name="1/31/2024" dataDxfId="26"/>
    <tableColumn id="4" xr3:uid="{00000000-0010-0000-0000-000004000000}" name="1/31/2023" dataDxfId="25"/>
    <tableColumn id="5" xr3:uid="{00000000-0010-0000-0000-000005000000}" name="1/31/2022" dataDxfId="24"/>
    <tableColumn id="6" xr3:uid="{00000000-0010-0000-0000-000006000000}" name="1/31/2021" dataDxfId="2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15" displayName="Table15" ref="A3:E47" totalsRowShown="0">
  <autoFilter ref="A3:E47" xr:uid="{00000000-0009-0000-0100-00000F000000}"/>
  <tableColumns count="5">
    <tableColumn id="1" xr3:uid="{00000000-0010-0000-0100-000001000000}" name="Breakdown"/>
    <tableColumn id="2" xr3:uid="{00000000-0010-0000-0100-000002000000}" name="1/31/2024" dataDxfId="22"/>
    <tableColumn id="3" xr3:uid="{00000000-0010-0000-0100-000003000000}" name="1/31/2023" dataDxfId="21"/>
    <tableColumn id="4" xr3:uid="{00000000-0010-0000-0100-000004000000}" name="1/31/2022" dataDxfId="20"/>
    <tableColumn id="5" xr3:uid="{00000000-0010-0000-0100-000005000000}" name="1/31/2021" dataDxfId="1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ABEB90-2C5B-4AD3-9FEC-41AFBDBFC327}" name="Table1" displayName="Table1" ref="A1:F1048576" totalsRowShown="0" headerRowDxfId="18">
  <autoFilter ref="A1:F1048576" xr:uid="{B6ABEB90-2C5B-4AD3-9FEC-41AFBDBFC327}"/>
  <tableColumns count="6">
    <tableColumn id="1" xr3:uid="{FB6EC745-5F09-4B1C-89BC-682EF615B142}" name="Date"/>
    <tableColumn id="2" xr3:uid="{244AD92B-539A-4585-B27A-33C7AF48C160}" name="DOL Adj Close"/>
    <tableColumn id="3" xr3:uid="{C0FF96CA-3B22-41BF-8487-480ED9FC294D}" name="DOL R"/>
    <tableColumn id="4" xr3:uid="{373EC614-0D8D-4EA7-B177-5C899ADE734E}" name="Date2" dataDxfId="17"/>
    <tableColumn id="5" xr3:uid="{3E37B5DB-8931-4647-8E3A-03C8037642FF}" name="SP Adj Close "/>
    <tableColumn id="6" xr3:uid="{9A20F0B8-DE4D-4135-9916-7C5DF5F43A86}" name="S&amp;P Da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F67" totalsRowShown="0" headerRowDxfId="16">
  <autoFilter ref="A3:F67" xr:uid="{00000000-0009-0000-0100-000004000000}"/>
  <tableColumns count="6">
    <tableColumn id="1" xr3:uid="{00000000-0010-0000-0300-000001000000}" name="Breakdown"/>
    <tableColumn id="2" xr3:uid="{00000000-0010-0000-0300-000002000000}" name="TTM" dataDxfId="15"/>
    <tableColumn id="3" xr3:uid="{00000000-0010-0000-0300-000003000000}" name="1/31/2024" dataDxfId="14"/>
    <tableColumn id="4" xr3:uid="{00000000-0010-0000-0300-000004000000}" name="1/31/2023" dataDxfId="13"/>
    <tableColumn id="5" xr3:uid="{00000000-0010-0000-0300-000005000000}" name="1/31/2022" dataDxfId="12"/>
    <tableColumn id="6" xr3:uid="{00000000-0010-0000-0300-000006000000}" name="1/31/2021" dataDxfId="11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4000000}" name="Table16" displayName="Table16" ref="A1:K8" totalsRowShown="0" dataDxfId="10" dataCellStyle="Currency">
  <autoFilter ref="A1:K8" xr:uid="{00000000-0009-0000-0100-000010000000}"/>
  <tableColumns count="11">
    <tableColumn id="1" xr3:uid="{00000000-0010-0000-0400-000001000000}" name="Values"/>
    <tableColumn id="2" xr3:uid="{00000000-0010-0000-0400-000002000000}" name="2021" dataDxfId="9"/>
    <tableColumn id="3" xr3:uid="{00000000-0010-0000-0400-000003000000}" name="2022" dataDxfId="8"/>
    <tableColumn id="4" xr3:uid="{00000000-0010-0000-0400-000004000000}" name="2023" dataDxfId="7"/>
    <tableColumn id="5" xr3:uid="{00000000-0010-0000-0400-000005000000}" name="2024" dataDxfId="6"/>
    <tableColumn id="6" xr3:uid="{00000000-0010-0000-0400-000006000000}" name="2025" dataDxfId="5" dataCellStyle="Currency"/>
    <tableColumn id="7" xr3:uid="{00000000-0010-0000-0400-000007000000}" name="2026" dataDxfId="4" dataCellStyle="Currency"/>
    <tableColumn id="8" xr3:uid="{00000000-0010-0000-0400-000008000000}" name="2027" dataDxfId="3" dataCellStyle="Currency"/>
    <tableColumn id="9" xr3:uid="{00000000-0010-0000-0400-000009000000}" name="2028" dataDxfId="2" dataCellStyle="Currency"/>
    <tableColumn id="10" xr3:uid="{00000000-0010-0000-0400-00000A000000}" name="2029" dataDxfId="1" dataCellStyle="Currency"/>
    <tableColumn id="11" xr3:uid="{00000000-0010-0000-0400-00000B000000}" name="2030" dataDxfId="0" dataCellStyle="Currency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ollarama.com/en-CA/corp/news-release?id=122714" TargetMode="External"/><Relationship Id="rId2" Type="http://schemas.openxmlformats.org/officeDocument/2006/relationships/hyperlink" Target="https://finance.yahoo.com/news/dollarama-full-2024-earnings-eps-185758185.html" TargetMode="External"/><Relationship Id="rId1" Type="http://schemas.openxmlformats.org/officeDocument/2006/relationships/hyperlink" Target="https://finance.yahoo.com/news/dollarama-reports-fourth-quarter-fiscal-110000441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fred.stlouisfed.org/series/DGS10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B25"/>
  <sheetViews>
    <sheetView workbookViewId="0">
      <selection activeCell="B23" sqref="B23"/>
    </sheetView>
  </sheetViews>
  <sheetFormatPr defaultRowHeight="14.45"/>
  <sheetData>
    <row r="23" spans="2:2">
      <c r="B23" s="9" t="s">
        <v>0</v>
      </c>
    </row>
    <row r="24" spans="2:2">
      <c r="B24" s="9" t="s">
        <v>1</v>
      </c>
    </row>
    <row r="25" spans="2:2">
      <c r="B25" s="9" t="s">
        <v>2</v>
      </c>
    </row>
  </sheetData>
  <hyperlinks>
    <hyperlink ref="B24" r:id="rId1" xr:uid="{00000000-0004-0000-0000-000000000000}"/>
    <hyperlink ref="B25" r:id="rId2" display="https://finance.yahoo.com/news/dollarama-full-2024-earnings-eps-185758185.html" xr:uid="{00000000-0004-0000-0000-000001000000}"/>
    <hyperlink ref="B23" r:id="rId3" xr:uid="{00000000-0004-0000-00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workbookViewId="0">
      <selection activeCell="N19" sqref="N19"/>
    </sheetView>
  </sheetViews>
  <sheetFormatPr defaultRowHeight="14.45"/>
  <cols>
    <col min="1" max="1" width="51.42578125" bestFit="1" customWidth="1"/>
    <col min="3" max="6" width="11.42578125" customWidth="1"/>
  </cols>
  <sheetData>
    <row r="1" spans="1:6" ht="18">
      <c r="A1" s="115" t="s">
        <v>3</v>
      </c>
      <c r="B1" s="116"/>
      <c r="C1" s="116"/>
      <c r="D1" s="116"/>
      <c r="E1" s="116"/>
      <c r="F1" s="117"/>
    </row>
    <row r="2" spans="1:6">
      <c r="A2" s="12" t="s">
        <v>4</v>
      </c>
      <c r="B2" s="13"/>
      <c r="C2" s="13"/>
      <c r="D2" s="13"/>
      <c r="E2" s="13"/>
      <c r="F2" s="13"/>
    </row>
    <row r="3" spans="1:6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</row>
    <row r="4" spans="1:6">
      <c r="A4" t="s">
        <v>11</v>
      </c>
      <c r="B4" s="2">
        <v>5867348</v>
      </c>
      <c r="C4" s="2">
        <v>5867348</v>
      </c>
      <c r="D4" s="2">
        <v>5052741</v>
      </c>
      <c r="E4" s="2">
        <v>4330761</v>
      </c>
      <c r="F4" s="2">
        <v>4026259</v>
      </c>
    </row>
    <row r="5" spans="1:6">
      <c r="A5" t="s">
        <v>12</v>
      </c>
      <c r="B5" s="2">
        <v>5867348</v>
      </c>
      <c r="C5" s="2">
        <v>5867348</v>
      </c>
      <c r="D5" s="2">
        <v>5052741</v>
      </c>
      <c r="E5" s="2">
        <v>4330761</v>
      </c>
      <c r="F5" s="2">
        <v>4026259</v>
      </c>
    </row>
    <row r="6" spans="1:6">
      <c r="A6" t="s">
        <v>13</v>
      </c>
      <c r="B6" s="2">
        <v>3253907</v>
      </c>
      <c r="C6" s="2">
        <v>3253907</v>
      </c>
      <c r="D6" s="2">
        <v>2854535</v>
      </c>
      <c r="E6" s="2">
        <v>2428536</v>
      </c>
      <c r="F6" s="2">
        <v>2261248</v>
      </c>
    </row>
    <row r="7" spans="1:6">
      <c r="A7" t="s">
        <v>14</v>
      </c>
      <c r="B7" s="2">
        <v>2613441</v>
      </c>
      <c r="C7" s="2">
        <v>2613441</v>
      </c>
      <c r="D7" s="2">
        <v>2198206</v>
      </c>
      <c r="E7" s="2">
        <v>1902225</v>
      </c>
      <c r="F7" s="2">
        <v>1765011</v>
      </c>
    </row>
    <row r="8" spans="1:6">
      <c r="A8" t="s">
        <v>15</v>
      </c>
      <c r="B8" s="2">
        <v>1193013</v>
      </c>
      <c r="C8" s="2">
        <v>1193013</v>
      </c>
      <c r="D8" s="2">
        <v>1052104</v>
      </c>
      <c r="E8" s="2">
        <v>950792</v>
      </c>
      <c r="F8" s="2">
        <v>923665</v>
      </c>
    </row>
    <row r="9" spans="1:6">
      <c r="A9" t="s">
        <v>16</v>
      </c>
      <c r="B9" s="2">
        <v>844871</v>
      </c>
      <c r="C9" s="2">
        <v>844871</v>
      </c>
      <c r="D9" s="2">
        <v>720312</v>
      </c>
      <c r="E9" s="2">
        <v>652832</v>
      </c>
      <c r="F9" s="2">
        <v>654032</v>
      </c>
    </row>
    <row r="10" spans="1:6">
      <c r="A10" t="s">
        <v>17</v>
      </c>
      <c r="B10" s="2">
        <v>844871</v>
      </c>
      <c r="C10" s="2">
        <v>844871</v>
      </c>
      <c r="D10" s="2">
        <v>720312</v>
      </c>
      <c r="E10" s="2">
        <v>652832</v>
      </c>
      <c r="F10" s="2">
        <v>654032</v>
      </c>
    </row>
    <row r="11" spans="1:6">
      <c r="A11" t="s">
        <v>18</v>
      </c>
      <c r="B11" s="2">
        <v>844871</v>
      </c>
      <c r="C11" s="2">
        <v>844871</v>
      </c>
      <c r="D11" s="2">
        <v>720312</v>
      </c>
      <c r="E11" s="2">
        <v>652832</v>
      </c>
      <c r="F11" s="2">
        <v>654032</v>
      </c>
    </row>
    <row r="12" spans="1:6">
      <c r="A12" t="s">
        <v>19</v>
      </c>
      <c r="B12" s="2">
        <v>348142</v>
      </c>
      <c r="C12" s="2">
        <v>348142</v>
      </c>
      <c r="D12" s="2">
        <v>331792</v>
      </c>
      <c r="E12" s="2">
        <v>297960</v>
      </c>
      <c r="F12" s="2">
        <v>269633</v>
      </c>
    </row>
    <row r="13" spans="1:6">
      <c r="A13" t="s">
        <v>20</v>
      </c>
      <c r="B13" s="2">
        <v>348142</v>
      </c>
      <c r="C13" s="2">
        <v>348142</v>
      </c>
      <c r="D13" s="2">
        <v>331792</v>
      </c>
      <c r="E13" s="2">
        <v>297960</v>
      </c>
      <c r="F13" s="2">
        <v>269633</v>
      </c>
    </row>
    <row r="14" spans="1:6">
      <c r="A14" t="s">
        <v>21</v>
      </c>
      <c r="B14" s="2">
        <v>325232</v>
      </c>
      <c r="C14" s="2">
        <v>325232</v>
      </c>
      <c r="D14" s="2">
        <v>309602</v>
      </c>
      <c r="E14" s="2">
        <v>277495</v>
      </c>
      <c r="F14" s="2">
        <v>250660</v>
      </c>
    </row>
    <row r="15" spans="1:6">
      <c r="A15" t="s">
        <v>22</v>
      </c>
      <c r="B15" s="2">
        <v>22910</v>
      </c>
      <c r="C15" s="2">
        <v>22910</v>
      </c>
      <c r="D15" s="2">
        <v>22190</v>
      </c>
      <c r="E15" s="2">
        <v>20465</v>
      </c>
      <c r="F15" s="2">
        <v>18973</v>
      </c>
    </row>
    <row r="16" spans="1:6">
      <c r="A16" t="s">
        <v>23</v>
      </c>
      <c r="B16" s="2">
        <v>22910</v>
      </c>
      <c r="C16" s="2">
        <v>22910</v>
      </c>
      <c r="D16" s="2">
        <v>22190</v>
      </c>
      <c r="E16" s="2">
        <v>20465</v>
      </c>
      <c r="F16" s="2">
        <v>18973</v>
      </c>
    </row>
    <row r="17" spans="1:6">
      <c r="A17" t="s">
        <v>24</v>
      </c>
      <c r="B17" s="2">
        <v>1420428</v>
      </c>
      <c r="C17" s="2">
        <v>1420428</v>
      </c>
      <c r="D17" s="2">
        <v>1146102</v>
      </c>
      <c r="E17" s="2">
        <v>951433</v>
      </c>
      <c r="F17" s="2">
        <v>841346</v>
      </c>
    </row>
    <row r="18" spans="1:6">
      <c r="A18" t="s">
        <v>25</v>
      </c>
      <c r="B18" s="2">
        <v>-144842</v>
      </c>
      <c r="C18" s="2">
        <v>-144842</v>
      </c>
      <c r="D18" s="2">
        <v>-115394</v>
      </c>
      <c r="E18" s="2">
        <v>-91216</v>
      </c>
      <c r="F18" s="2">
        <v>-95646</v>
      </c>
    </row>
    <row r="19" spans="1:6">
      <c r="A19" t="s">
        <v>26</v>
      </c>
      <c r="B19" s="2">
        <v>27250</v>
      </c>
      <c r="C19" s="2">
        <v>27250</v>
      </c>
      <c r="D19" s="2">
        <v>11436</v>
      </c>
      <c r="E19" t="s">
        <v>27</v>
      </c>
      <c r="F19" t="s">
        <v>27</v>
      </c>
    </row>
    <row r="20" spans="1:6">
      <c r="A20" t="s">
        <v>28</v>
      </c>
      <c r="B20" s="2">
        <v>172092</v>
      </c>
      <c r="C20" s="2">
        <v>172092</v>
      </c>
      <c r="D20" s="2">
        <v>126830</v>
      </c>
      <c r="E20" s="2">
        <v>88900</v>
      </c>
      <c r="F20" s="2">
        <v>92973</v>
      </c>
    </row>
    <row r="21" spans="1:6">
      <c r="A21" t="s">
        <v>29</v>
      </c>
      <c r="B21" t="s">
        <v>27</v>
      </c>
      <c r="C21" t="s">
        <v>27</v>
      </c>
      <c r="D21" s="2">
        <v>2749</v>
      </c>
      <c r="E21" s="2">
        <v>2316</v>
      </c>
      <c r="F21" s="2">
        <v>2673</v>
      </c>
    </row>
    <row r="22" spans="1:6">
      <c r="A22" t="s">
        <v>30</v>
      </c>
      <c r="B22" s="2">
        <v>75293</v>
      </c>
      <c r="C22" s="2">
        <v>75293</v>
      </c>
      <c r="D22" s="2">
        <v>45399</v>
      </c>
      <c r="E22" s="2">
        <v>33184</v>
      </c>
      <c r="F22" s="2">
        <v>19654</v>
      </c>
    </row>
    <row r="23" spans="1:6">
      <c r="A23" t="s">
        <v>31</v>
      </c>
      <c r="B23" s="2">
        <v>75293</v>
      </c>
      <c r="C23" s="2">
        <v>75293</v>
      </c>
      <c r="D23" s="2">
        <v>45399</v>
      </c>
      <c r="E23" s="2">
        <v>33184</v>
      </c>
      <c r="F23" s="2">
        <v>19654</v>
      </c>
    </row>
    <row r="24" spans="1:6">
      <c r="A24" t="s">
        <v>32</v>
      </c>
      <c r="B24" s="2">
        <v>1350879</v>
      </c>
      <c r="C24" s="2">
        <v>1350879</v>
      </c>
      <c r="D24" s="2">
        <v>1076107</v>
      </c>
      <c r="E24" s="2">
        <v>893401</v>
      </c>
      <c r="F24" s="2">
        <v>765354</v>
      </c>
    </row>
    <row r="25" spans="1:6">
      <c r="A25" t="s">
        <v>33</v>
      </c>
      <c r="B25" s="2">
        <v>340419</v>
      </c>
      <c r="C25" s="2">
        <v>340419</v>
      </c>
      <c r="D25" s="2">
        <v>274244</v>
      </c>
      <c r="E25" s="2">
        <v>230232</v>
      </c>
      <c r="F25" s="2">
        <v>201006</v>
      </c>
    </row>
    <row r="26" spans="1:6">
      <c r="A26" t="s">
        <v>34</v>
      </c>
      <c r="B26" s="2">
        <v>1010460</v>
      </c>
      <c r="C26" s="2">
        <v>1010460</v>
      </c>
      <c r="D26" s="2">
        <v>801863</v>
      </c>
      <c r="E26" s="2">
        <v>663169</v>
      </c>
      <c r="F26" s="2">
        <v>564348</v>
      </c>
    </row>
    <row r="27" spans="1:6">
      <c r="A27" t="s">
        <v>35</v>
      </c>
      <c r="B27" s="2">
        <v>1010460</v>
      </c>
      <c r="C27" s="2">
        <v>1010460</v>
      </c>
      <c r="D27" s="2">
        <v>801863</v>
      </c>
      <c r="E27" s="2">
        <v>663169</v>
      </c>
      <c r="F27" s="2">
        <v>564348</v>
      </c>
    </row>
    <row r="28" spans="1:6">
      <c r="A28" t="s">
        <v>36</v>
      </c>
      <c r="B28" s="2">
        <v>1010460</v>
      </c>
      <c r="C28" s="2">
        <v>1010460</v>
      </c>
      <c r="D28" s="2">
        <v>801863</v>
      </c>
      <c r="E28" s="2">
        <v>663169</v>
      </c>
      <c r="F28" s="2">
        <v>564348</v>
      </c>
    </row>
    <row r="29" spans="1:6">
      <c r="A29" t="s">
        <v>37</v>
      </c>
      <c r="B29" s="2">
        <v>1010460</v>
      </c>
      <c r="C29" s="2">
        <v>1010460</v>
      </c>
      <c r="D29" s="2">
        <v>801863</v>
      </c>
      <c r="E29" s="2">
        <v>663169</v>
      </c>
      <c r="F29" s="2">
        <v>564348</v>
      </c>
    </row>
    <row r="30" spans="1:6">
      <c r="A30" t="s">
        <v>38</v>
      </c>
      <c r="B30" s="2">
        <v>1010460</v>
      </c>
      <c r="C30" s="2">
        <v>1010460</v>
      </c>
      <c r="D30" s="2">
        <v>801863</v>
      </c>
      <c r="E30" s="2">
        <v>663169</v>
      </c>
      <c r="F30" s="2">
        <v>564348</v>
      </c>
    </row>
    <row r="31" spans="1:6">
      <c r="A31" t="s">
        <v>39</v>
      </c>
      <c r="B31">
        <v>3.33</v>
      </c>
      <c r="C31" t="s">
        <v>27</v>
      </c>
      <c r="D31">
        <v>2.77</v>
      </c>
      <c r="E31">
        <v>2.19</v>
      </c>
      <c r="F31">
        <v>1.82</v>
      </c>
    </row>
    <row r="32" spans="1:6">
      <c r="A32" t="s">
        <v>40</v>
      </c>
      <c r="B32">
        <v>3.32</v>
      </c>
      <c r="C32" t="s">
        <v>27</v>
      </c>
      <c r="D32">
        <v>2.76</v>
      </c>
      <c r="E32">
        <v>2.1800000000000002</v>
      </c>
      <c r="F32">
        <v>1.81</v>
      </c>
    </row>
    <row r="33" spans="1:6">
      <c r="A33" t="s">
        <v>41</v>
      </c>
      <c r="B33" s="2">
        <v>284593</v>
      </c>
      <c r="C33" t="s">
        <v>27</v>
      </c>
      <c r="D33" s="2">
        <v>289412</v>
      </c>
      <c r="E33" s="2">
        <v>302963</v>
      </c>
      <c r="F33" s="2">
        <v>310738</v>
      </c>
    </row>
    <row r="34" spans="1:6">
      <c r="A34" t="s">
        <v>42</v>
      </c>
      <c r="B34" s="2">
        <v>285721</v>
      </c>
      <c r="C34" t="s">
        <v>27</v>
      </c>
      <c r="D34" s="2">
        <v>291005</v>
      </c>
      <c r="E34" s="2">
        <v>304416</v>
      </c>
      <c r="F34" s="2">
        <v>312455</v>
      </c>
    </row>
    <row r="35" spans="1:6">
      <c r="A35" t="s">
        <v>43</v>
      </c>
      <c r="B35" s="2">
        <v>1495721</v>
      </c>
      <c r="C35" s="2">
        <v>1495721</v>
      </c>
      <c r="D35" s="2">
        <v>1191501</v>
      </c>
      <c r="E35" s="2">
        <v>984617</v>
      </c>
      <c r="F35" s="2">
        <v>861000</v>
      </c>
    </row>
    <row r="36" spans="1:6">
      <c r="A36" t="s">
        <v>44</v>
      </c>
      <c r="B36" s="2">
        <v>169283</v>
      </c>
      <c r="C36" s="2">
        <v>169283</v>
      </c>
      <c r="D36" s="2">
        <v>152747</v>
      </c>
      <c r="E36" s="2">
        <v>146742</v>
      </c>
      <c r="F36" s="2">
        <v>143715</v>
      </c>
    </row>
    <row r="37" spans="1:6">
      <c r="A37" t="s">
        <v>45</v>
      </c>
      <c r="B37" s="2">
        <v>4446920</v>
      </c>
      <c r="C37" s="2">
        <v>4446920</v>
      </c>
      <c r="D37" s="2">
        <v>3906639</v>
      </c>
      <c r="E37" s="2">
        <v>3379328</v>
      </c>
      <c r="F37" s="2">
        <v>3184913</v>
      </c>
    </row>
    <row r="38" spans="1:6">
      <c r="A38" t="s">
        <v>46</v>
      </c>
      <c r="B38" s="2">
        <v>1010460</v>
      </c>
      <c r="C38" s="2">
        <v>1010460</v>
      </c>
      <c r="D38" s="2">
        <v>801863</v>
      </c>
      <c r="E38" s="2">
        <v>663169</v>
      </c>
      <c r="F38" s="2">
        <v>564348</v>
      </c>
    </row>
    <row r="39" spans="1:6">
      <c r="A39" t="s">
        <v>47</v>
      </c>
      <c r="B39" s="2">
        <v>1010460</v>
      </c>
      <c r="C39" s="2">
        <v>1010460</v>
      </c>
      <c r="D39" s="2">
        <v>801863</v>
      </c>
      <c r="E39" s="2">
        <v>663169</v>
      </c>
      <c r="F39" s="2">
        <v>564348</v>
      </c>
    </row>
    <row r="40" spans="1:6">
      <c r="A40" t="s">
        <v>48</v>
      </c>
      <c r="B40" s="2">
        <v>27250</v>
      </c>
      <c r="C40" s="2">
        <v>27250</v>
      </c>
      <c r="D40" s="2">
        <v>11436</v>
      </c>
      <c r="E40" t="s">
        <v>27</v>
      </c>
      <c r="F40" t="s">
        <v>27</v>
      </c>
    </row>
    <row r="41" spans="1:6">
      <c r="A41" t="s">
        <v>49</v>
      </c>
      <c r="B41" s="2">
        <v>172092</v>
      </c>
      <c r="C41" s="2">
        <v>172092</v>
      </c>
      <c r="D41" s="2">
        <v>126830</v>
      </c>
      <c r="E41" s="2">
        <v>88900</v>
      </c>
      <c r="F41" s="2">
        <v>92973</v>
      </c>
    </row>
    <row r="42" spans="1:6">
      <c r="A42" t="s">
        <v>50</v>
      </c>
      <c r="B42" s="2">
        <v>-144842</v>
      </c>
      <c r="C42" s="2">
        <v>-144842</v>
      </c>
      <c r="D42" s="2">
        <v>-115394</v>
      </c>
      <c r="E42" s="2">
        <v>-91216</v>
      </c>
      <c r="F42" s="2">
        <v>-95646</v>
      </c>
    </row>
    <row r="43" spans="1:6">
      <c r="A43" t="s">
        <v>51</v>
      </c>
      <c r="B43" s="2">
        <v>1522971</v>
      </c>
      <c r="C43" s="2">
        <v>1522971</v>
      </c>
      <c r="D43" s="2">
        <v>1202937</v>
      </c>
      <c r="E43" s="2">
        <v>982301</v>
      </c>
      <c r="F43" s="2">
        <v>858327</v>
      </c>
    </row>
    <row r="44" spans="1:6">
      <c r="A44" t="s">
        <v>52</v>
      </c>
      <c r="B44" s="2">
        <v>1888416</v>
      </c>
      <c r="C44" s="2">
        <v>1888416</v>
      </c>
      <c r="D44" s="2">
        <v>1534729</v>
      </c>
      <c r="E44" s="2">
        <v>1280261</v>
      </c>
      <c r="F44" s="2">
        <v>1127960</v>
      </c>
    </row>
    <row r="45" spans="1:6">
      <c r="A45" t="s">
        <v>53</v>
      </c>
      <c r="B45" s="2">
        <v>3236604</v>
      </c>
      <c r="C45" s="2">
        <v>3236604</v>
      </c>
      <c r="D45" s="2">
        <v>2854535</v>
      </c>
      <c r="E45" s="2">
        <v>2428536</v>
      </c>
      <c r="F45" s="2">
        <v>2261248</v>
      </c>
    </row>
    <row r="46" spans="1:6">
      <c r="A46" t="s">
        <v>54</v>
      </c>
      <c r="B46" s="2">
        <v>365445</v>
      </c>
      <c r="C46" s="2">
        <v>365445</v>
      </c>
      <c r="D46" s="2">
        <v>331792</v>
      </c>
      <c r="E46" s="2">
        <v>297960</v>
      </c>
      <c r="F46" s="2">
        <v>269633</v>
      </c>
    </row>
    <row r="47" spans="1:6">
      <c r="A47" t="s">
        <v>55</v>
      </c>
      <c r="B47" s="2">
        <v>1010460</v>
      </c>
      <c r="C47" s="2">
        <v>1010460</v>
      </c>
      <c r="D47" s="2">
        <v>801863</v>
      </c>
      <c r="E47" s="2">
        <v>663169</v>
      </c>
      <c r="F47" s="2">
        <v>564348</v>
      </c>
    </row>
    <row r="48" spans="1:6">
      <c r="A48" t="s">
        <v>56</v>
      </c>
      <c r="B48" s="2">
        <v>1888416</v>
      </c>
      <c r="C48" s="2">
        <v>1888416</v>
      </c>
      <c r="D48" s="2">
        <v>1534729</v>
      </c>
      <c r="E48" s="2">
        <v>1280261</v>
      </c>
      <c r="F48" s="2">
        <v>1127960</v>
      </c>
    </row>
    <row r="49" spans="1:6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3"/>
  <sheetViews>
    <sheetView workbookViewId="0">
      <selection activeCell="K20" sqref="K20"/>
    </sheetView>
  </sheetViews>
  <sheetFormatPr defaultRowHeight="14.45"/>
  <cols>
    <col min="1" max="1" width="46.42578125" bestFit="1" customWidth="1"/>
    <col min="2" max="5" width="11.42578125" customWidth="1"/>
  </cols>
  <sheetData>
    <row r="1" spans="1:5" ht="18">
      <c r="A1" s="115" t="s">
        <v>3</v>
      </c>
      <c r="B1" s="116"/>
      <c r="C1" s="116"/>
      <c r="D1" s="116"/>
      <c r="E1" s="116"/>
    </row>
    <row r="2" spans="1:5">
      <c r="A2" s="12" t="s">
        <v>59</v>
      </c>
      <c r="B2" s="13"/>
      <c r="C2" s="13"/>
      <c r="D2" s="13"/>
      <c r="E2" s="13"/>
    </row>
    <row r="3" spans="1:5">
      <c r="A3" t="s">
        <v>5</v>
      </c>
      <c r="B3" t="s">
        <v>7</v>
      </c>
      <c r="C3" t="s">
        <v>8</v>
      </c>
      <c r="D3" t="s">
        <v>9</v>
      </c>
      <c r="E3" t="s">
        <v>10</v>
      </c>
    </row>
    <row r="4" spans="1:5">
      <c r="A4" t="s">
        <v>60</v>
      </c>
      <c r="B4" s="2">
        <v>5263607</v>
      </c>
      <c r="C4" s="2">
        <v>4819656</v>
      </c>
      <c r="D4" s="2">
        <v>4063562</v>
      </c>
      <c r="E4" s="2">
        <v>4223746</v>
      </c>
    </row>
    <row r="5" spans="1:5">
      <c r="A5" t="s">
        <v>61</v>
      </c>
      <c r="B5" s="2">
        <v>4882759</v>
      </c>
      <c r="C5" s="2">
        <v>4791246</v>
      </c>
      <c r="D5" s="2">
        <v>4129596</v>
      </c>
      <c r="E5" s="2">
        <v>3888892</v>
      </c>
    </row>
    <row r="6" spans="1:5">
      <c r="A6" t="s">
        <v>62</v>
      </c>
      <c r="B6" s="2">
        <v>677846</v>
      </c>
      <c r="C6" s="2">
        <v>1162874</v>
      </c>
      <c r="D6" s="2">
        <v>911891</v>
      </c>
      <c r="E6" s="2">
        <v>1321165</v>
      </c>
    </row>
    <row r="7" spans="1:5">
      <c r="A7" t="s">
        <v>63</v>
      </c>
      <c r="B7" s="2">
        <v>418182</v>
      </c>
      <c r="C7" s="2">
        <v>425262</v>
      </c>
      <c r="D7" s="2">
        <v>360532</v>
      </c>
      <c r="E7" s="2">
        <v>280630</v>
      </c>
    </row>
    <row r="8" spans="1:5">
      <c r="A8" t="s">
        <v>64</v>
      </c>
      <c r="B8" s="2">
        <v>294246</v>
      </c>
      <c r="C8" s="2">
        <v>321430</v>
      </c>
      <c r="D8" s="2">
        <v>251981</v>
      </c>
      <c r="E8" s="2">
        <v>190684</v>
      </c>
    </row>
    <row r="9" spans="1:5">
      <c r="A9" t="s">
        <v>65</v>
      </c>
      <c r="B9" s="2">
        <v>109399</v>
      </c>
      <c r="C9" s="2">
        <v>102911</v>
      </c>
      <c r="D9" s="2">
        <v>66646</v>
      </c>
      <c r="E9" s="2">
        <v>66691</v>
      </c>
    </row>
    <row r="10" spans="1:5">
      <c r="A10" t="s">
        <v>66</v>
      </c>
      <c r="B10" s="2">
        <v>75824</v>
      </c>
      <c r="C10" s="2">
        <v>123304</v>
      </c>
      <c r="D10" s="2">
        <v>103959</v>
      </c>
      <c r="E10" s="2">
        <v>47617</v>
      </c>
    </row>
    <row r="11" spans="1:5">
      <c r="A11" t="s">
        <v>67</v>
      </c>
      <c r="B11" s="2">
        <v>63998</v>
      </c>
      <c r="C11" s="2">
        <v>72572</v>
      </c>
      <c r="D11" s="2">
        <v>62516</v>
      </c>
      <c r="E11" s="2">
        <v>12975</v>
      </c>
    </row>
    <row r="12" spans="1:5">
      <c r="A12" t="s">
        <v>68</v>
      </c>
      <c r="B12" s="2">
        <v>19827</v>
      </c>
      <c r="C12" s="2">
        <v>15828</v>
      </c>
      <c r="D12" s="2">
        <v>14891</v>
      </c>
      <c r="E12" s="2">
        <v>14583</v>
      </c>
    </row>
    <row r="13" spans="1:5">
      <c r="A13" t="s">
        <v>69</v>
      </c>
      <c r="B13" s="2">
        <v>89196</v>
      </c>
      <c r="C13" s="2">
        <v>79387</v>
      </c>
      <c r="D13" s="2">
        <v>66485</v>
      </c>
      <c r="E13" s="2">
        <v>61793</v>
      </c>
    </row>
    <row r="14" spans="1:5">
      <c r="A14" t="s">
        <v>70</v>
      </c>
      <c r="B14" s="2">
        <v>123936</v>
      </c>
      <c r="C14" s="2">
        <v>103832</v>
      </c>
      <c r="D14" s="2">
        <v>108551</v>
      </c>
      <c r="E14" s="2">
        <v>89946</v>
      </c>
    </row>
    <row r="15" spans="1:5">
      <c r="A15" t="s">
        <v>71</v>
      </c>
      <c r="B15" t="s">
        <v>27</v>
      </c>
      <c r="C15" t="s">
        <v>27</v>
      </c>
      <c r="D15" s="2">
        <v>66485</v>
      </c>
      <c r="E15" s="2">
        <v>61793</v>
      </c>
    </row>
    <row r="16" spans="1:5">
      <c r="A16" t="s">
        <v>72</v>
      </c>
      <c r="B16" s="2">
        <v>255983</v>
      </c>
      <c r="C16" s="2">
        <v>729122</v>
      </c>
      <c r="D16" s="2">
        <v>547924</v>
      </c>
      <c r="E16" s="2">
        <v>1014714</v>
      </c>
    </row>
    <row r="17" spans="1:5">
      <c r="A17" t="s">
        <v>73</v>
      </c>
      <c r="B17" s="2">
        <v>21460</v>
      </c>
      <c r="C17" s="2">
        <v>510315</v>
      </c>
      <c r="D17" s="2">
        <v>347060</v>
      </c>
      <c r="E17" s="2">
        <v>832821</v>
      </c>
    </row>
    <row r="18" spans="1:5">
      <c r="A18" t="s">
        <v>74</v>
      </c>
      <c r="B18" t="s">
        <v>27</v>
      </c>
      <c r="C18">
        <v>0</v>
      </c>
      <c r="D18" s="2">
        <v>89386</v>
      </c>
      <c r="E18">
        <v>0</v>
      </c>
    </row>
    <row r="19" spans="1:5">
      <c r="A19" t="s">
        <v>75</v>
      </c>
      <c r="B19" s="2">
        <v>21460</v>
      </c>
      <c r="C19" s="2">
        <v>510315</v>
      </c>
      <c r="D19" s="2">
        <v>257674</v>
      </c>
      <c r="E19" s="2">
        <v>832821</v>
      </c>
    </row>
    <row r="20" spans="1:5">
      <c r="A20" t="s">
        <v>76</v>
      </c>
      <c r="B20" s="2">
        <v>234523</v>
      </c>
      <c r="C20" s="2">
        <v>218807</v>
      </c>
      <c r="D20" s="2">
        <v>200864</v>
      </c>
      <c r="E20" s="2">
        <v>181893</v>
      </c>
    </row>
    <row r="21" spans="1:5">
      <c r="A21" t="s">
        <v>77</v>
      </c>
      <c r="B21" s="2">
        <v>3681</v>
      </c>
      <c r="C21" s="2">
        <v>8490</v>
      </c>
      <c r="D21" s="2">
        <v>3435</v>
      </c>
      <c r="E21" s="2">
        <v>25821</v>
      </c>
    </row>
    <row r="22" spans="1:5">
      <c r="A22" t="s">
        <v>78</v>
      </c>
      <c r="B22" s="2">
        <v>4204913</v>
      </c>
      <c r="C22" s="2">
        <v>3628372</v>
      </c>
      <c r="D22" s="2">
        <v>3217705</v>
      </c>
      <c r="E22" s="2">
        <v>2567727</v>
      </c>
    </row>
    <row r="23" spans="1:5">
      <c r="A23" t="s">
        <v>79</v>
      </c>
      <c r="B23" s="2">
        <v>4077640</v>
      </c>
      <c r="C23" s="2">
        <v>3483524</v>
      </c>
      <c r="D23" s="2">
        <v>3065804</v>
      </c>
      <c r="E23" s="2">
        <v>2445848</v>
      </c>
    </row>
    <row r="24" spans="1:5">
      <c r="A24" t="s">
        <v>80</v>
      </c>
      <c r="B24" s="2">
        <v>2242934</v>
      </c>
      <c r="C24" s="2">
        <v>1741588</v>
      </c>
      <c r="D24" s="2">
        <v>1539240</v>
      </c>
      <c r="E24" s="2">
        <v>1044079</v>
      </c>
    </row>
    <row r="25" spans="1:5">
      <c r="A25" t="s">
        <v>81</v>
      </c>
      <c r="B25" s="2">
        <v>1834706</v>
      </c>
      <c r="C25" s="2">
        <v>1741936</v>
      </c>
      <c r="D25" s="2">
        <v>1526564</v>
      </c>
      <c r="E25" s="2">
        <v>1401769</v>
      </c>
    </row>
    <row r="26" spans="1:5">
      <c r="A26" t="s">
        <v>82</v>
      </c>
      <c r="B26" s="2">
        <v>127273</v>
      </c>
      <c r="C26" s="2">
        <v>144848</v>
      </c>
      <c r="D26" s="2">
        <v>151901</v>
      </c>
      <c r="E26" s="2">
        <v>121879</v>
      </c>
    </row>
    <row r="27" spans="1:5">
      <c r="A27" t="s">
        <v>83</v>
      </c>
      <c r="B27" s="2">
        <v>127273</v>
      </c>
      <c r="C27" s="2">
        <v>144848</v>
      </c>
      <c r="D27" s="2">
        <v>151901</v>
      </c>
      <c r="E27" s="2">
        <v>121879</v>
      </c>
    </row>
    <row r="28" spans="1:5">
      <c r="A28" t="s">
        <v>84</v>
      </c>
      <c r="B28" t="s">
        <v>27</v>
      </c>
      <c r="C28" s="2">
        <v>6167</v>
      </c>
      <c r="D28" s="2">
        <v>2927</v>
      </c>
      <c r="E28" t="s">
        <v>27</v>
      </c>
    </row>
    <row r="29" spans="1:5">
      <c r="A29" t="s">
        <v>85</v>
      </c>
      <c r="B29" s="2">
        <v>380848</v>
      </c>
      <c r="C29" s="2">
        <v>28410</v>
      </c>
      <c r="D29" s="2">
        <v>-66034</v>
      </c>
      <c r="E29" s="2">
        <v>334854</v>
      </c>
    </row>
    <row r="30" spans="1:5">
      <c r="A30" t="s">
        <v>86</v>
      </c>
      <c r="B30" s="2">
        <v>380848</v>
      </c>
      <c r="C30" s="2">
        <v>28410</v>
      </c>
      <c r="D30" s="2">
        <v>-66034</v>
      </c>
      <c r="E30" s="2">
        <v>334854</v>
      </c>
    </row>
    <row r="31" spans="1:5">
      <c r="A31" t="s">
        <v>87</v>
      </c>
      <c r="B31" s="2">
        <v>523125</v>
      </c>
      <c r="C31" s="2">
        <v>488074</v>
      </c>
      <c r="D31" s="2">
        <v>479446</v>
      </c>
      <c r="E31" s="2">
        <v>485487</v>
      </c>
    </row>
    <row r="32" spans="1:5">
      <c r="A32" t="s">
        <v>88</v>
      </c>
      <c r="B32" s="2">
        <v>523125</v>
      </c>
      <c r="C32" s="2">
        <v>488074</v>
      </c>
      <c r="D32" s="2">
        <v>479446</v>
      </c>
      <c r="E32" s="2">
        <v>485487</v>
      </c>
    </row>
    <row r="33" spans="1:5">
      <c r="A33" t="s">
        <v>89</v>
      </c>
      <c r="B33" s="2">
        <v>49539</v>
      </c>
      <c r="C33" s="2">
        <v>42678</v>
      </c>
      <c r="D33" s="2">
        <v>32924</v>
      </c>
      <c r="E33" s="2">
        <v>28527</v>
      </c>
    </row>
    <row r="34" spans="1:5">
      <c r="A34" t="s">
        <v>90</v>
      </c>
      <c r="B34" s="2">
        <v>-226547</v>
      </c>
      <c r="C34" s="2">
        <v>-514078</v>
      </c>
      <c r="D34" s="2">
        <v>-578079</v>
      </c>
      <c r="E34" s="2">
        <v>-149983</v>
      </c>
    </row>
    <row r="35" spans="1:5">
      <c r="A35" t="s">
        <v>91</v>
      </c>
      <c r="B35" s="2">
        <v>34731</v>
      </c>
      <c r="C35" s="2">
        <v>11736</v>
      </c>
      <c r="D35">
        <v>-325</v>
      </c>
      <c r="E35" s="2">
        <v>-29177</v>
      </c>
    </row>
    <row r="36" spans="1:5">
      <c r="A36" t="s">
        <v>92</v>
      </c>
      <c r="B36" s="2">
        <v>34731</v>
      </c>
      <c r="C36" s="2">
        <v>11736</v>
      </c>
      <c r="D36">
        <v>-325</v>
      </c>
      <c r="E36" s="2">
        <v>-29177</v>
      </c>
    </row>
    <row r="37" spans="1:5">
      <c r="A37" t="s">
        <v>93</v>
      </c>
      <c r="B37" s="2">
        <v>2623782</v>
      </c>
      <c r="C37" s="2">
        <v>1769998</v>
      </c>
      <c r="D37" s="2">
        <v>1473206</v>
      </c>
      <c r="E37" s="2">
        <v>1378933</v>
      </c>
    </row>
    <row r="38" spans="1:5">
      <c r="A38" t="s">
        <v>94</v>
      </c>
      <c r="B38" s="2">
        <v>380848</v>
      </c>
      <c r="C38" s="2">
        <v>28410</v>
      </c>
      <c r="D38" s="2">
        <v>-66034</v>
      </c>
      <c r="E38" s="2">
        <v>334854</v>
      </c>
    </row>
    <row r="39" spans="1:5">
      <c r="A39" t="s">
        <v>95</v>
      </c>
      <c r="B39" s="2">
        <v>2069229</v>
      </c>
      <c r="C39" s="2">
        <v>1960743</v>
      </c>
      <c r="D39" s="2">
        <v>1727428</v>
      </c>
      <c r="E39" s="2">
        <v>1583662</v>
      </c>
    </row>
    <row r="40" spans="1:5">
      <c r="A40" t="s">
        <v>96</v>
      </c>
      <c r="B40" s="2">
        <v>-514769</v>
      </c>
      <c r="C40" s="2">
        <v>-864026</v>
      </c>
      <c r="D40" s="2">
        <v>-957882</v>
      </c>
      <c r="E40" s="2">
        <v>-554719</v>
      </c>
    </row>
    <row r="41" spans="1:5">
      <c r="A41" t="s">
        <v>97</v>
      </c>
      <c r="B41" s="2">
        <v>631247</v>
      </c>
      <c r="C41" s="2">
        <v>-5927</v>
      </c>
      <c r="D41" s="2">
        <v>-194524</v>
      </c>
      <c r="E41" s="2">
        <v>-220803</v>
      </c>
    </row>
    <row r="42" spans="1:5">
      <c r="A42" t="s">
        <v>98</v>
      </c>
      <c r="B42" s="2">
        <v>2645242</v>
      </c>
      <c r="C42" s="2">
        <v>2280313</v>
      </c>
      <c r="D42" s="2">
        <v>1820266</v>
      </c>
      <c r="E42" s="2">
        <v>2211754</v>
      </c>
    </row>
    <row r="43" spans="1:5">
      <c r="A43" t="s">
        <v>99</v>
      </c>
      <c r="B43" s="2">
        <v>-514769</v>
      </c>
      <c r="C43" s="2">
        <v>-864026</v>
      </c>
      <c r="D43" s="2">
        <v>-957882</v>
      </c>
      <c r="E43" s="2">
        <v>-554719</v>
      </c>
    </row>
    <row r="44" spans="1:5">
      <c r="A44" t="s">
        <v>100</v>
      </c>
      <c r="B44" s="2">
        <v>4333623</v>
      </c>
      <c r="C44" s="2">
        <v>4212646</v>
      </c>
      <c r="D44" s="2">
        <v>3613728</v>
      </c>
      <c r="E44" s="2">
        <v>3460562</v>
      </c>
    </row>
    <row r="45" spans="1:5">
      <c r="A45" t="s">
        <v>101</v>
      </c>
      <c r="B45" s="2">
        <v>1950479</v>
      </c>
      <c r="C45" s="2">
        <v>2150642</v>
      </c>
      <c r="D45" s="2">
        <v>1815242</v>
      </c>
      <c r="E45" s="2">
        <v>1437756</v>
      </c>
    </row>
    <row r="46" spans="1:5">
      <c r="A46" t="s">
        <v>102</v>
      </c>
      <c r="B46" s="2">
        <v>278761</v>
      </c>
      <c r="C46" s="2">
        <v>284506</v>
      </c>
      <c r="D46" s="2">
        <v>292814</v>
      </c>
      <c r="E46" s="2">
        <v>310266</v>
      </c>
    </row>
    <row r="47" spans="1:5">
      <c r="A47" t="s">
        <v>103</v>
      </c>
      <c r="B47" s="2">
        <v>278761</v>
      </c>
      <c r="C47" s="2">
        <v>284506</v>
      </c>
      <c r="D47" s="2">
        <v>292814</v>
      </c>
      <c r="E47" s="2">
        <v>310266</v>
      </c>
    </row>
    <row r="48" spans="1:5">
      <c r="A48" t="s">
        <v>104</v>
      </c>
    </row>
    <row r="53" spans="4:4">
      <c r="D53" s="5"/>
    </row>
    <row r="55" spans="4:4">
      <c r="D55" s="5"/>
    </row>
    <row r="57" spans="4:4">
      <c r="D57" s="5"/>
    </row>
    <row r="59" spans="4:4">
      <c r="D59" s="5"/>
    </row>
    <row r="61" spans="4:4">
      <c r="D61" s="5"/>
    </row>
    <row r="65" spans="4:4">
      <c r="D65" s="5"/>
    </row>
    <row r="67" spans="4:4">
      <c r="D67" s="5"/>
    </row>
    <row r="69" spans="4:4">
      <c r="D69" s="5"/>
    </row>
    <row r="71" spans="4:4">
      <c r="D71" s="5"/>
    </row>
    <row r="73" spans="4:4">
      <c r="D73" s="5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1"/>
  <sheetViews>
    <sheetView topLeftCell="A7" workbookViewId="0">
      <selection activeCell="L29" sqref="L29"/>
    </sheetView>
  </sheetViews>
  <sheetFormatPr defaultRowHeight="14.45"/>
  <cols>
    <col min="1" max="1" width="10.28515625" bestFit="1" customWidth="1"/>
    <col min="2" max="2" width="14.5703125" customWidth="1"/>
    <col min="3" max="3" width="12.28515625" customWidth="1"/>
    <col min="4" max="4" width="10.5703125" style="15" bestFit="1" customWidth="1"/>
    <col min="5" max="5" width="13.7109375" customWidth="1"/>
    <col min="6" max="6" width="12" bestFit="1" customWidth="1"/>
    <col min="8" max="8" width="18.85546875" bestFit="1" customWidth="1"/>
    <col min="9" max="9" width="12" bestFit="1" customWidth="1"/>
    <col min="10" max="10" width="20.28515625" bestFit="1" customWidth="1"/>
    <col min="13" max="13" width="12.42578125" bestFit="1" customWidth="1"/>
    <col min="14" max="14" width="12" bestFit="1" customWidth="1"/>
    <col min="15" max="16" width="12.140625" bestFit="1" customWidth="1"/>
  </cols>
  <sheetData>
    <row r="1" spans="1:13">
      <c r="A1" s="6" t="s">
        <v>105</v>
      </c>
      <c r="B1" s="6" t="s">
        <v>106</v>
      </c>
      <c r="C1" s="6" t="s">
        <v>107</v>
      </c>
      <c r="D1" s="103" t="s">
        <v>108</v>
      </c>
      <c r="E1" s="6" t="s">
        <v>109</v>
      </c>
      <c r="F1" s="6" t="s">
        <v>110</v>
      </c>
    </row>
    <row r="2" spans="1:13">
      <c r="A2" s="15">
        <v>41730</v>
      </c>
      <c r="B2">
        <v>14.613692</v>
      </c>
      <c r="D2" s="15">
        <v>41730</v>
      </c>
      <c r="E2">
        <v>1883.95</v>
      </c>
    </row>
    <row r="3" spans="1:13">
      <c r="A3" s="15">
        <v>41760</v>
      </c>
      <c r="B3">
        <v>14.689347</v>
      </c>
      <c r="C3">
        <f>B3/B2</f>
        <v>1.0051769942872752</v>
      </c>
      <c r="D3" s="15">
        <v>41760</v>
      </c>
      <c r="E3">
        <v>1923.57</v>
      </c>
      <c r="F3">
        <f>E3/E2</f>
        <v>1.0210302821200137</v>
      </c>
      <c r="H3" s="104" t="s">
        <v>111</v>
      </c>
      <c r="I3" s="104">
        <f>SLOPE(C3:C121,F3:F121)</f>
        <v>0.5388440218714422</v>
      </c>
    </row>
    <row r="4" spans="1:13">
      <c r="A4" s="15">
        <v>41791</v>
      </c>
      <c r="B4">
        <v>14.108006</v>
      </c>
      <c r="C4">
        <f t="shared" ref="C4:C67" si="0">B4/B3</f>
        <v>0.96042431293916608</v>
      </c>
      <c r="D4" s="15">
        <v>41791</v>
      </c>
      <c r="E4">
        <v>1960.23</v>
      </c>
      <c r="F4">
        <f t="shared" ref="F4:F67" si="1">E4/E3</f>
        <v>1.0190583134484319</v>
      </c>
      <c r="H4" s="108" t="s">
        <v>112</v>
      </c>
    </row>
    <row r="5" spans="1:13">
      <c r="A5" s="15">
        <v>41821</v>
      </c>
      <c r="B5">
        <v>14.413128</v>
      </c>
      <c r="C5">
        <f t="shared" si="0"/>
        <v>1.0216275779865702</v>
      </c>
      <c r="D5" s="15">
        <v>41821</v>
      </c>
      <c r="E5">
        <v>1930.67</v>
      </c>
      <c r="F5">
        <f t="shared" si="1"/>
        <v>0.98492013692270808</v>
      </c>
    </row>
    <row r="6" spans="1:13">
      <c r="A6" s="15">
        <v>41852</v>
      </c>
      <c r="B6">
        <v>14.893122</v>
      </c>
      <c r="C6">
        <f t="shared" si="0"/>
        <v>1.0333025558365956</v>
      </c>
      <c r="D6" s="15">
        <v>41852</v>
      </c>
      <c r="E6">
        <v>2003.37</v>
      </c>
      <c r="F6">
        <f t="shared" si="1"/>
        <v>1.0376553217276903</v>
      </c>
      <c r="H6" s="109" t="s">
        <v>113</v>
      </c>
      <c r="I6" s="109"/>
    </row>
    <row r="7" spans="1:13">
      <c r="A7" s="15">
        <v>41883</v>
      </c>
      <c r="B7">
        <v>15.284072999999999</v>
      </c>
      <c r="C7">
        <f t="shared" si="0"/>
        <v>1.0262504396324692</v>
      </c>
      <c r="D7" s="15">
        <v>41883</v>
      </c>
      <c r="E7">
        <v>1972.29</v>
      </c>
      <c r="F7">
        <f t="shared" si="1"/>
        <v>0.98448614085266328</v>
      </c>
      <c r="H7" s="22" t="s">
        <v>114</v>
      </c>
      <c r="I7" s="22">
        <v>0.37141934779900204</v>
      </c>
    </row>
    <row r="8" spans="1:13">
      <c r="A8" s="15">
        <v>41913</v>
      </c>
      <c r="B8">
        <v>15.957703</v>
      </c>
      <c r="C8">
        <f t="shared" si="0"/>
        <v>1.0440739847290708</v>
      </c>
      <c r="D8" s="15">
        <v>41913</v>
      </c>
      <c r="E8">
        <v>2018.05</v>
      </c>
      <c r="F8">
        <f t="shared" si="1"/>
        <v>1.0232014561753089</v>
      </c>
      <c r="H8" s="22" t="s">
        <v>115</v>
      </c>
      <c r="I8" s="22">
        <v>0.13795233191943604</v>
      </c>
    </row>
    <row r="9" spans="1:13">
      <c r="A9" s="15">
        <v>41944</v>
      </c>
      <c r="B9">
        <v>17.269524000000001</v>
      </c>
      <c r="C9">
        <f t="shared" si="0"/>
        <v>1.0822061295413257</v>
      </c>
      <c r="D9" s="15">
        <v>41944</v>
      </c>
      <c r="E9">
        <v>2067.56</v>
      </c>
      <c r="F9">
        <f t="shared" si="1"/>
        <v>1.024533584400783</v>
      </c>
      <c r="H9" s="22" t="s">
        <v>116</v>
      </c>
      <c r="I9" s="22">
        <v>0.13058440313242267</v>
      </c>
    </row>
    <row r="10" spans="1:13">
      <c r="A10" s="15">
        <v>41974</v>
      </c>
      <c r="B10">
        <v>19.145379999999999</v>
      </c>
      <c r="C10">
        <f t="shared" si="0"/>
        <v>1.1086223337713303</v>
      </c>
      <c r="D10" s="15">
        <v>41974</v>
      </c>
      <c r="E10">
        <v>2058.9</v>
      </c>
      <c r="F10">
        <f t="shared" si="1"/>
        <v>0.99581148793747221</v>
      </c>
      <c r="H10" s="22" t="s">
        <v>117</v>
      </c>
      <c r="I10" s="22">
        <v>5.937744892916727E-2</v>
      </c>
    </row>
    <row r="11" spans="1:13">
      <c r="A11" s="15">
        <v>42005</v>
      </c>
      <c r="B11">
        <v>19.451575999999999</v>
      </c>
      <c r="C11">
        <f t="shared" si="0"/>
        <v>1.015993205671551</v>
      </c>
      <c r="D11" s="15">
        <v>42005</v>
      </c>
      <c r="E11">
        <v>1994.99</v>
      </c>
      <c r="F11">
        <f t="shared" si="1"/>
        <v>0.96895915294574764</v>
      </c>
      <c r="H11" s="22" t="s">
        <v>118</v>
      </c>
      <c r="I11" s="22">
        <v>119</v>
      </c>
    </row>
    <row r="12" spans="1:13">
      <c r="A12" s="15">
        <v>42036</v>
      </c>
      <c r="B12">
        <v>20.178127</v>
      </c>
      <c r="C12">
        <f t="shared" si="0"/>
        <v>1.037351780647491</v>
      </c>
      <c r="D12" s="15">
        <v>42036</v>
      </c>
      <c r="E12">
        <v>2104.5</v>
      </c>
      <c r="F12">
        <f t="shared" si="1"/>
        <v>1.0548925057268457</v>
      </c>
    </row>
    <row r="13" spans="1:13">
      <c r="A13" s="15">
        <v>42064</v>
      </c>
      <c r="B13">
        <v>22.850470999999999</v>
      </c>
      <c r="C13">
        <f t="shared" si="0"/>
        <v>1.1324376638128999</v>
      </c>
      <c r="D13" s="15">
        <v>42064</v>
      </c>
      <c r="E13">
        <v>2067.89</v>
      </c>
      <c r="F13">
        <f t="shared" si="1"/>
        <v>0.98260394392967443</v>
      </c>
      <c r="H13" s="108" t="s">
        <v>119</v>
      </c>
      <c r="I13" s="22"/>
      <c r="J13" s="22"/>
      <c r="K13" s="22"/>
      <c r="L13" s="22"/>
      <c r="M13" s="22"/>
    </row>
    <row r="14" spans="1:13">
      <c r="A14" s="15">
        <v>42095</v>
      </c>
      <c r="B14">
        <v>22.3599</v>
      </c>
      <c r="C14">
        <f t="shared" si="0"/>
        <v>0.97853125215668424</v>
      </c>
      <c r="D14" s="15">
        <v>42095</v>
      </c>
      <c r="E14">
        <v>2085.5100000000002</v>
      </c>
      <c r="F14">
        <f t="shared" si="1"/>
        <v>1.0085207627098154</v>
      </c>
      <c r="H14" s="107"/>
      <c r="I14" s="107" t="s">
        <v>120</v>
      </c>
      <c r="J14" s="107" t="s">
        <v>121</v>
      </c>
      <c r="K14" s="107" t="s">
        <v>122</v>
      </c>
      <c r="L14" s="107" t="s">
        <v>123</v>
      </c>
      <c r="M14" s="107" t="s">
        <v>124</v>
      </c>
    </row>
    <row r="15" spans="1:13">
      <c r="A15" s="15">
        <v>42125</v>
      </c>
      <c r="B15">
        <v>22.259568999999999</v>
      </c>
      <c r="C15">
        <f t="shared" si="0"/>
        <v>0.995512904798322</v>
      </c>
      <c r="D15" s="15">
        <v>42125</v>
      </c>
      <c r="E15">
        <v>2107.39</v>
      </c>
      <c r="F15">
        <f t="shared" si="1"/>
        <v>1.0104914385450081</v>
      </c>
      <c r="H15" s="22" t="s">
        <v>125</v>
      </c>
      <c r="I15" s="22">
        <v>1</v>
      </c>
      <c r="J15" s="22">
        <v>6.6012578364579522E-2</v>
      </c>
      <c r="K15" s="22">
        <v>6.6012578364579522E-2</v>
      </c>
      <c r="L15" s="22">
        <v>18.723353049039961</v>
      </c>
      <c r="M15" s="22">
        <v>3.2004704120055739E-5</v>
      </c>
    </row>
    <row r="16" spans="1:13">
      <c r="A16" s="15">
        <v>42156</v>
      </c>
      <c r="B16">
        <v>24.463550999999999</v>
      </c>
      <c r="C16">
        <f t="shared" si="0"/>
        <v>1.0990127886123942</v>
      </c>
      <c r="D16" s="15">
        <v>42156</v>
      </c>
      <c r="E16">
        <v>2063.11</v>
      </c>
      <c r="F16">
        <f t="shared" si="1"/>
        <v>0.9789882271435284</v>
      </c>
      <c r="H16" s="22" t="s">
        <v>126</v>
      </c>
      <c r="I16" s="22">
        <v>117</v>
      </c>
      <c r="J16" s="22">
        <v>0.4125047286362965</v>
      </c>
      <c r="K16" s="22">
        <v>3.5256814413358677E-3</v>
      </c>
      <c r="L16" s="22"/>
      <c r="M16" s="22"/>
    </row>
    <row r="17" spans="1:16">
      <c r="A17" s="15">
        <v>42186</v>
      </c>
      <c r="B17">
        <v>25.158360999999999</v>
      </c>
      <c r="C17">
        <f t="shared" si="0"/>
        <v>1.028401845668276</v>
      </c>
      <c r="D17" s="15">
        <v>42186</v>
      </c>
      <c r="E17">
        <v>2103.84</v>
      </c>
      <c r="F17">
        <f t="shared" si="1"/>
        <v>1.0197420399300086</v>
      </c>
      <c r="H17" s="22" t="s">
        <v>127</v>
      </c>
      <c r="I17" s="22">
        <v>118</v>
      </c>
      <c r="J17" s="22">
        <v>0.47851730700087602</v>
      </c>
      <c r="K17" s="22"/>
      <c r="L17" s="22"/>
      <c r="M17" s="22"/>
    </row>
    <row r="18" spans="1:16">
      <c r="A18" s="15">
        <v>42217</v>
      </c>
      <c r="B18">
        <v>24.305009999999999</v>
      </c>
      <c r="C18">
        <f t="shared" si="0"/>
        <v>0.96608081901678733</v>
      </c>
      <c r="D18" s="15">
        <v>42217</v>
      </c>
      <c r="E18">
        <v>1972.18</v>
      </c>
      <c r="F18">
        <f t="shared" si="1"/>
        <v>0.93741919537607421</v>
      </c>
    </row>
    <row r="19" spans="1:16">
      <c r="A19" s="15">
        <v>42248</v>
      </c>
      <c r="B19">
        <v>29.161486</v>
      </c>
      <c r="C19">
        <f t="shared" si="0"/>
        <v>1.1998137832488034</v>
      </c>
      <c r="D19" s="15">
        <v>42248</v>
      </c>
      <c r="E19">
        <v>1920.03</v>
      </c>
      <c r="F19">
        <f t="shared" si="1"/>
        <v>0.97355718037907291</v>
      </c>
      <c r="H19" s="106"/>
      <c r="I19" s="106" t="s">
        <v>128</v>
      </c>
      <c r="J19" s="106" t="s">
        <v>117</v>
      </c>
      <c r="K19" s="106" t="s">
        <v>129</v>
      </c>
      <c r="L19" s="106" t="s">
        <v>130</v>
      </c>
      <c r="M19" s="106" t="s">
        <v>131</v>
      </c>
      <c r="N19" s="106" t="s">
        <v>132</v>
      </c>
      <c r="O19" s="106" t="s">
        <v>133</v>
      </c>
      <c r="P19" s="106" t="s">
        <v>134</v>
      </c>
    </row>
    <row r="20" spans="1:16">
      <c r="A20" s="15">
        <v>42278</v>
      </c>
      <c r="B20">
        <v>28.608355</v>
      </c>
      <c r="C20">
        <f t="shared" si="0"/>
        <v>0.981032139445843</v>
      </c>
      <c r="D20" s="15">
        <v>42278</v>
      </c>
      <c r="E20">
        <v>2079.36</v>
      </c>
      <c r="F20">
        <f t="shared" si="1"/>
        <v>1.0829830783894003</v>
      </c>
      <c r="H20" s="39" t="s">
        <v>135</v>
      </c>
      <c r="I20" s="39">
        <v>0.4745208654625459</v>
      </c>
      <c r="J20" s="39">
        <v>0.12584443941407453</v>
      </c>
      <c r="K20" s="39">
        <v>3.7706939430291202</v>
      </c>
      <c r="L20" s="39">
        <v>2.5681229119431831E-4</v>
      </c>
      <c r="M20" s="39">
        <v>0.22529254761728293</v>
      </c>
      <c r="N20" s="39">
        <v>0.72374918330780891</v>
      </c>
      <c r="O20" s="39">
        <v>0.22529254761728293</v>
      </c>
      <c r="P20" s="39">
        <v>0.72374918330780891</v>
      </c>
    </row>
    <row r="21" spans="1:16">
      <c r="A21" s="15">
        <v>42309</v>
      </c>
      <c r="B21">
        <v>28.922525</v>
      </c>
      <c r="C21">
        <f t="shared" si="0"/>
        <v>1.010981756902835</v>
      </c>
      <c r="D21" s="15">
        <v>42309</v>
      </c>
      <c r="E21">
        <v>2080.41</v>
      </c>
      <c r="F21">
        <f t="shared" si="1"/>
        <v>1.0005049630655585</v>
      </c>
      <c r="H21" s="110" t="s">
        <v>136</v>
      </c>
      <c r="I21" s="39">
        <v>0.5388440218714422</v>
      </c>
      <c r="J21" s="39">
        <v>0.12452921653123111</v>
      </c>
      <c r="K21" s="39">
        <v>4.3270490000738393</v>
      </c>
      <c r="L21" s="39">
        <v>3.2004704120054885E-5</v>
      </c>
      <c r="M21" s="39">
        <v>0.29222043402623993</v>
      </c>
      <c r="N21" s="39">
        <v>0.78546760971664442</v>
      </c>
      <c r="O21" s="39">
        <v>0.29222043402623993</v>
      </c>
      <c r="P21" s="39">
        <v>0.78546760971664442</v>
      </c>
    </row>
    <row r="22" spans="1:16">
      <c r="A22" s="15">
        <v>42339</v>
      </c>
      <c r="B22">
        <v>25.890996999999999</v>
      </c>
      <c r="C22">
        <f t="shared" si="0"/>
        <v>0.89518453177929658</v>
      </c>
      <c r="D22" s="15">
        <v>42339</v>
      </c>
      <c r="E22">
        <v>2043.94</v>
      </c>
      <c r="F22">
        <f t="shared" si="1"/>
        <v>0.98246980162564124</v>
      </c>
    </row>
    <row r="23" spans="1:16">
      <c r="A23" s="15">
        <v>42370</v>
      </c>
      <c r="B23">
        <v>24.34609</v>
      </c>
      <c r="C23">
        <f t="shared" si="0"/>
        <v>0.9403303395384891</v>
      </c>
      <c r="D23" s="15">
        <v>42370</v>
      </c>
      <c r="E23">
        <v>1940.24</v>
      </c>
      <c r="F23">
        <f t="shared" si="1"/>
        <v>0.94926465551826378</v>
      </c>
      <c r="H23" s="110" t="s">
        <v>137</v>
      </c>
      <c r="I23" s="39">
        <f>GEOMEAN(F3:F121)^12</f>
        <v>1.1089687035797164</v>
      </c>
      <c r="J23" s="39"/>
    </row>
    <row r="24" spans="1:16">
      <c r="A24" s="15">
        <v>42401</v>
      </c>
      <c r="B24">
        <v>25.537958</v>
      </c>
      <c r="C24">
        <f t="shared" si="0"/>
        <v>1.048955212110035</v>
      </c>
      <c r="D24" s="15">
        <v>42401</v>
      </c>
      <c r="E24">
        <v>1932.23</v>
      </c>
      <c r="F24">
        <f t="shared" si="1"/>
        <v>0.99587164474498002</v>
      </c>
      <c r="H24" s="47" t="s">
        <v>138</v>
      </c>
      <c r="I24" s="111">
        <f>I23-1</f>
        <v>0.10896870357971644</v>
      </c>
      <c r="J24" s="39"/>
    </row>
    <row r="25" spans="1:16">
      <c r="A25" s="15">
        <v>42430</v>
      </c>
      <c r="B25">
        <v>29.633241999999999</v>
      </c>
      <c r="C25">
        <f t="shared" si="0"/>
        <v>1.1603606678341314</v>
      </c>
      <c r="D25" s="15">
        <v>42430</v>
      </c>
      <c r="E25">
        <v>2059.7399999999998</v>
      </c>
      <c r="F25">
        <f t="shared" si="1"/>
        <v>1.0659911087189411</v>
      </c>
      <c r="H25" s="39"/>
      <c r="I25" s="39"/>
      <c r="J25" s="39"/>
    </row>
    <row r="26" spans="1:16">
      <c r="A26" s="15">
        <v>42461</v>
      </c>
      <c r="B26">
        <v>29.331692</v>
      </c>
      <c r="C26">
        <f t="shared" si="0"/>
        <v>0.98982392814124087</v>
      </c>
      <c r="D26" s="15">
        <v>42461</v>
      </c>
      <c r="E26">
        <v>2065.3000000000002</v>
      </c>
      <c r="F26">
        <f t="shared" si="1"/>
        <v>1.0026993698233759</v>
      </c>
      <c r="H26" s="39" t="s">
        <v>139</v>
      </c>
      <c r="I26" s="105">
        <f>4.4%</f>
        <v>4.4000000000000004E-2</v>
      </c>
      <c r="J26" s="39" t="s">
        <v>140</v>
      </c>
    </row>
    <row r="27" spans="1:16">
      <c r="A27" s="15">
        <v>42491</v>
      </c>
      <c r="B27">
        <v>29.312142999999999</v>
      </c>
      <c r="C27">
        <f t="shared" si="0"/>
        <v>0.99933351952556981</v>
      </c>
      <c r="D27" s="15">
        <v>42491</v>
      </c>
      <c r="E27">
        <v>2096.9499999999998</v>
      </c>
      <c r="F27">
        <f t="shared" si="1"/>
        <v>1.0153246501718878</v>
      </c>
      <c r="H27" s="39" t="s">
        <v>141</v>
      </c>
      <c r="I27" s="39">
        <f>GEOMEAN(F3:F121)^12</f>
        <v>1.1089687035797164</v>
      </c>
      <c r="J27" s="105">
        <f>I27-1</f>
        <v>0.10896870357971644</v>
      </c>
    </row>
    <row r="28" spans="1:16">
      <c r="A28" s="15">
        <v>42522</v>
      </c>
      <c r="B28">
        <v>29.279682000000001</v>
      </c>
      <c r="C28">
        <f t="shared" si="0"/>
        <v>0.99889257499869599</v>
      </c>
      <c r="D28" s="15">
        <v>42522</v>
      </c>
      <c r="E28">
        <v>2098.86</v>
      </c>
      <c r="F28">
        <f t="shared" si="1"/>
        <v>1.0009108467059302</v>
      </c>
      <c r="H28" s="39" t="s">
        <v>142</v>
      </c>
      <c r="I28" s="39">
        <f>GEOMEAN(C3:C121)^12</f>
        <v>1.2178704967126548</v>
      </c>
      <c r="J28" s="105">
        <f>I28-1</f>
        <v>0.21787049671265479</v>
      </c>
    </row>
    <row r="29" spans="1:16">
      <c r="A29" s="15">
        <v>42552</v>
      </c>
      <c r="B29">
        <v>31.337706000000001</v>
      </c>
      <c r="C29">
        <f t="shared" si="0"/>
        <v>1.0702884682968892</v>
      </c>
      <c r="D29" s="15">
        <v>42552</v>
      </c>
      <c r="E29">
        <v>2173.6</v>
      </c>
      <c r="F29">
        <f t="shared" si="1"/>
        <v>1.0356098072286859</v>
      </c>
      <c r="H29" s="39" t="s">
        <v>143</v>
      </c>
      <c r="I29" s="39"/>
      <c r="J29" s="39"/>
    </row>
    <row r="30" spans="1:16">
      <c r="A30" s="15">
        <v>42583</v>
      </c>
      <c r="B30">
        <v>31.489155</v>
      </c>
      <c r="C30">
        <f t="shared" si="0"/>
        <v>1.0048328042901418</v>
      </c>
      <c r="D30" s="15">
        <v>42583</v>
      </c>
      <c r="E30">
        <v>2170.9499999999998</v>
      </c>
      <c r="F30">
        <f t="shared" si="1"/>
        <v>0.99878082443871918</v>
      </c>
      <c r="H30" s="47" t="s">
        <v>144</v>
      </c>
      <c r="I30" s="47"/>
      <c r="J30" s="111">
        <f>I26+I21*(J27-I26)</f>
        <v>7.9007997532667962E-2</v>
      </c>
    </row>
    <row r="31" spans="1:16">
      <c r="A31" s="15">
        <v>42614</v>
      </c>
      <c r="B31">
        <v>33.286217000000001</v>
      </c>
      <c r="C31">
        <f t="shared" si="0"/>
        <v>1.0570692354240689</v>
      </c>
      <c r="D31" s="15">
        <v>42614</v>
      </c>
      <c r="E31">
        <v>2168.27</v>
      </c>
      <c r="F31">
        <f t="shared" si="1"/>
        <v>0.99876551740021657</v>
      </c>
    </row>
    <row r="32" spans="1:16">
      <c r="A32" s="15">
        <v>42644</v>
      </c>
      <c r="B32">
        <v>32.603045999999999</v>
      </c>
      <c r="C32">
        <f t="shared" si="0"/>
        <v>0.97947585933240777</v>
      </c>
      <c r="D32" s="15">
        <v>42644</v>
      </c>
      <c r="E32">
        <v>2126.15</v>
      </c>
      <c r="F32">
        <f t="shared" si="1"/>
        <v>0.98057437496252775</v>
      </c>
    </row>
    <row r="33" spans="1:6">
      <c r="A33" s="15">
        <v>42675</v>
      </c>
      <c r="B33">
        <v>32.498961999999999</v>
      </c>
      <c r="C33">
        <f t="shared" si="0"/>
        <v>0.99680753755339302</v>
      </c>
      <c r="D33" s="15">
        <v>42675</v>
      </c>
      <c r="E33">
        <v>2198.81</v>
      </c>
      <c r="F33">
        <f t="shared" si="1"/>
        <v>1.0341744467699832</v>
      </c>
    </row>
    <row r="34" spans="1:6">
      <c r="A34" s="15">
        <v>42705</v>
      </c>
      <c r="B34">
        <v>32.001277999999999</v>
      </c>
      <c r="C34">
        <f t="shared" si="0"/>
        <v>0.98468615705326223</v>
      </c>
      <c r="D34" s="15">
        <v>42705</v>
      </c>
      <c r="E34">
        <v>2238.83</v>
      </c>
      <c r="F34">
        <f t="shared" si="1"/>
        <v>1.018200754044233</v>
      </c>
    </row>
    <row r="35" spans="1:6">
      <c r="A35" s="15">
        <v>42736</v>
      </c>
      <c r="B35">
        <v>32.056579999999997</v>
      </c>
      <c r="C35">
        <f t="shared" si="0"/>
        <v>1.001728118483268</v>
      </c>
      <c r="D35" s="15">
        <v>42736</v>
      </c>
      <c r="E35">
        <v>2278.87</v>
      </c>
      <c r="F35">
        <f t="shared" si="1"/>
        <v>1.0178843413747358</v>
      </c>
    </row>
    <row r="36" spans="1:6">
      <c r="A36" s="15">
        <v>42767</v>
      </c>
      <c r="B36">
        <v>33.303576999999997</v>
      </c>
      <c r="C36">
        <f t="shared" si="0"/>
        <v>1.0388998764060295</v>
      </c>
      <c r="D36" s="15">
        <v>42767</v>
      </c>
      <c r="E36">
        <v>2363.64</v>
      </c>
      <c r="F36">
        <f t="shared" si="1"/>
        <v>1.0371982605414087</v>
      </c>
    </row>
    <row r="37" spans="1:6">
      <c r="A37" s="15">
        <v>42795</v>
      </c>
      <c r="B37">
        <v>35.885693000000003</v>
      </c>
      <c r="C37">
        <f t="shared" si="0"/>
        <v>1.0775326926594104</v>
      </c>
      <c r="D37" s="15">
        <v>42795</v>
      </c>
      <c r="E37">
        <v>2362.7199999999998</v>
      </c>
      <c r="F37">
        <f t="shared" si="1"/>
        <v>0.99961076982958486</v>
      </c>
    </row>
    <row r="38" spans="1:6">
      <c r="A38" s="15">
        <v>42826</v>
      </c>
      <c r="B38">
        <v>38.910621999999996</v>
      </c>
      <c r="C38">
        <f t="shared" si="0"/>
        <v>1.0842934536613238</v>
      </c>
      <c r="D38" s="15">
        <v>42826</v>
      </c>
      <c r="E38">
        <v>2384.1999999999998</v>
      </c>
      <c r="F38">
        <f t="shared" si="1"/>
        <v>1.009091216902553</v>
      </c>
    </row>
    <row r="39" spans="1:6">
      <c r="A39" s="15">
        <v>42856</v>
      </c>
      <c r="B39">
        <v>40.781829999999999</v>
      </c>
      <c r="C39">
        <f t="shared" si="0"/>
        <v>1.0480899020324066</v>
      </c>
      <c r="D39" s="15">
        <v>42856</v>
      </c>
      <c r="E39">
        <v>2411.8000000000002</v>
      </c>
      <c r="F39">
        <f t="shared" si="1"/>
        <v>1.0115762100494927</v>
      </c>
    </row>
    <row r="40" spans="1:6">
      <c r="A40" s="15">
        <v>42887</v>
      </c>
      <c r="B40">
        <v>40.384200999999997</v>
      </c>
      <c r="C40">
        <f t="shared" si="0"/>
        <v>0.99024984901364155</v>
      </c>
      <c r="D40" s="15">
        <v>42887</v>
      </c>
      <c r="E40">
        <v>2423.41</v>
      </c>
      <c r="F40">
        <f t="shared" si="1"/>
        <v>1.0048138319927025</v>
      </c>
    </row>
    <row r="41" spans="1:6">
      <c r="A41" s="15">
        <v>42917</v>
      </c>
      <c r="B41">
        <v>39.719341</v>
      </c>
      <c r="C41">
        <f t="shared" si="0"/>
        <v>0.98353663107015543</v>
      </c>
      <c r="D41" s="15">
        <v>42917</v>
      </c>
      <c r="E41">
        <v>2470.3000000000002</v>
      </c>
      <c r="F41">
        <f t="shared" si="1"/>
        <v>1.0193487688835154</v>
      </c>
    </row>
    <row r="42" spans="1:6">
      <c r="A42" s="15">
        <v>42948</v>
      </c>
      <c r="B42">
        <v>40.146172</v>
      </c>
      <c r="C42">
        <f t="shared" si="0"/>
        <v>1.0107461752701286</v>
      </c>
      <c r="D42" s="15">
        <v>42948</v>
      </c>
      <c r="E42">
        <v>2471.65</v>
      </c>
      <c r="F42">
        <f t="shared" si="1"/>
        <v>1.0005464923288669</v>
      </c>
    </row>
    <row r="43" spans="1:6">
      <c r="A43" s="15">
        <v>42979</v>
      </c>
      <c r="B43">
        <v>44.536903000000002</v>
      </c>
      <c r="C43">
        <f t="shared" si="0"/>
        <v>1.1093686092910677</v>
      </c>
      <c r="D43" s="15">
        <v>42979</v>
      </c>
      <c r="E43">
        <v>2519.36</v>
      </c>
      <c r="F43">
        <f t="shared" si="1"/>
        <v>1.0193028948273422</v>
      </c>
    </row>
    <row r="44" spans="1:6">
      <c r="A44" s="15">
        <v>43009</v>
      </c>
      <c r="B44">
        <v>46.846438999999997</v>
      </c>
      <c r="C44">
        <f t="shared" si="0"/>
        <v>1.0518566816376971</v>
      </c>
      <c r="D44" s="15">
        <v>43009</v>
      </c>
      <c r="E44">
        <v>2575.2600000000002</v>
      </c>
      <c r="F44">
        <f t="shared" si="1"/>
        <v>1.022188174774546</v>
      </c>
    </row>
    <row r="45" spans="1:6">
      <c r="A45" s="15">
        <v>43040</v>
      </c>
      <c r="B45">
        <v>51.487319999999997</v>
      </c>
      <c r="C45">
        <f t="shared" si="0"/>
        <v>1.0990658222709309</v>
      </c>
      <c r="D45" s="15">
        <v>43040</v>
      </c>
      <c r="E45">
        <v>2647.58</v>
      </c>
      <c r="F45">
        <f t="shared" si="1"/>
        <v>1.0280826013684055</v>
      </c>
    </row>
    <row r="46" spans="1:6">
      <c r="A46" s="15">
        <v>43070</v>
      </c>
      <c r="B46">
        <v>51.271850999999998</v>
      </c>
      <c r="C46">
        <f t="shared" si="0"/>
        <v>0.99581510554443309</v>
      </c>
      <c r="D46" s="15">
        <v>43070</v>
      </c>
      <c r="E46">
        <v>2673.61</v>
      </c>
      <c r="F46">
        <f t="shared" si="1"/>
        <v>1.0098316198188535</v>
      </c>
    </row>
    <row r="47" spans="1:6">
      <c r="A47" s="15">
        <v>43101</v>
      </c>
      <c r="B47">
        <v>54.905436999999999</v>
      </c>
      <c r="C47">
        <f t="shared" si="0"/>
        <v>1.0708690232385019</v>
      </c>
      <c r="D47" s="15">
        <v>43101</v>
      </c>
      <c r="E47">
        <v>2823.81</v>
      </c>
      <c r="F47">
        <f t="shared" si="1"/>
        <v>1.0561787246457037</v>
      </c>
    </row>
    <row r="48" spans="1:6">
      <c r="A48" s="15">
        <v>43132</v>
      </c>
      <c r="B48">
        <v>48.792622000000001</v>
      </c>
      <c r="C48">
        <f t="shared" si="0"/>
        <v>0.88866649035140188</v>
      </c>
      <c r="D48" s="15">
        <v>43132</v>
      </c>
      <c r="E48">
        <v>2713.83</v>
      </c>
      <c r="F48">
        <f t="shared" si="1"/>
        <v>0.96105262039584816</v>
      </c>
    </row>
    <row r="49" spans="1:6">
      <c r="A49" s="15">
        <v>43160</v>
      </c>
      <c r="B49">
        <v>51.154662999999999</v>
      </c>
      <c r="C49">
        <f t="shared" si="0"/>
        <v>1.0484097985142098</v>
      </c>
      <c r="D49" s="15">
        <v>43160</v>
      </c>
      <c r="E49">
        <v>2640.87</v>
      </c>
      <c r="F49">
        <f t="shared" si="1"/>
        <v>0.97311548623163568</v>
      </c>
    </row>
    <row r="50" spans="1:6">
      <c r="A50" s="15">
        <v>43191</v>
      </c>
      <c r="B50">
        <v>48.286223999999997</v>
      </c>
      <c r="C50">
        <f t="shared" si="0"/>
        <v>0.943926148042457</v>
      </c>
      <c r="D50" s="15">
        <v>43191</v>
      </c>
      <c r="E50">
        <v>2648.05</v>
      </c>
      <c r="F50">
        <f t="shared" si="1"/>
        <v>1.0027188010011854</v>
      </c>
    </row>
    <row r="51" spans="1:6">
      <c r="A51" s="15">
        <v>43221</v>
      </c>
      <c r="B51">
        <v>48.929985000000002</v>
      </c>
      <c r="C51">
        <f t="shared" si="0"/>
        <v>1.0133321876649539</v>
      </c>
      <c r="D51" s="15">
        <v>43221</v>
      </c>
      <c r="E51">
        <v>2705.27</v>
      </c>
      <c r="F51">
        <f t="shared" si="1"/>
        <v>1.0216083533165914</v>
      </c>
    </row>
    <row r="52" spans="1:6">
      <c r="A52" s="15">
        <v>43252</v>
      </c>
      <c r="B52">
        <v>49.986080000000001</v>
      </c>
      <c r="C52">
        <f t="shared" si="0"/>
        <v>1.0215837997906601</v>
      </c>
      <c r="D52" s="15">
        <v>43252</v>
      </c>
      <c r="E52">
        <v>2718.37</v>
      </c>
      <c r="F52">
        <f t="shared" si="1"/>
        <v>1.0048424002040461</v>
      </c>
    </row>
    <row r="53" spans="1:6">
      <c r="A53" s="15">
        <v>43282</v>
      </c>
      <c r="B53">
        <v>46.101765</v>
      </c>
      <c r="C53">
        <f t="shared" si="0"/>
        <v>0.9222920661112054</v>
      </c>
      <c r="D53" s="15">
        <v>43282</v>
      </c>
      <c r="E53">
        <v>2816.29</v>
      </c>
      <c r="F53">
        <f t="shared" si="1"/>
        <v>1.0360215864654188</v>
      </c>
    </row>
    <row r="54" spans="1:6">
      <c r="A54" s="15">
        <v>43313</v>
      </c>
      <c r="B54">
        <v>48.445231999999997</v>
      </c>
      <c r="C54">
        <f t="shared" si="0"/>
        <v>1.0508324789734189</v>
      </c>
      <c r="D54" s="15">
        <v>43313</v>
      </c>
      <c r="E54">
        <v>2901.52</v>
      </c>
      <c r="F54">
        <f t="shared" si="1"/>
        <v>1.0302632186316041</v>
      </c>
    </row>
    <row r="55" spans="1:6">
      <c r="A55" s="15">
        <v>43344</v>
      </c>
      <c r="B55">
        <v>39.944004</v>
      </c>
      <c r="C55">
        <f t="shared" si="0"/>
        <v>0.82451878855694205</v>
      </c>
      <c r="D55" s="15">
        <v>43344</v>
      </c>
      <c r="E55">
        <v>2913.98</v>
      </c>
      <c r="F55">
        <f t="shared" si="1"/>
        <v>1.0042943009181395</v>
      </c>
    </row>
    <row r="56" spans="1:6">
      <c r="A56" s="15">
        <v>43374</v>
      </c>
      <c r="B56">
        <v>35.742474000000001</v>
      </c>
      <c r="C56">
        <f t="shared" si="0"/>
        <v>0.89481450081969749</v>
      </c>
      <c r="D56" s="15">
        <v>43374</v>
      </c>
      <c r="E56">
        <v>2711.74</v>
      </c>
      <c r="F56">
        <f t="shared" si="1"/>
        <v>0.93059664102018536</v>
      </c>
    </row>
    <row r="57" spans="1:6">
      <c r="A57" s="15">
        <v>43405</v>
      </c>
      <c r="B57">
        <v>34.510807</v>
      </c>
      <c r="C57">
        <f t="shared" si="0"/>
        <v>0.96554052190119799</v>
      </c>
      <c r="D57" s="15">
        <v>43405</v>
      </c>
      <c r="E57">
        <v>2760.17</v>
      </c>
      <c r="F57">
        <f t="shared" si="1"/>
        <v>1.0178593817991402</v>
      </c>
    </row>
    <row r="58" spans="1:6">
      <c r="A58" s="15">
        <v>43435</v>
      </c>
      <c r="B58">
        <v>31.906777999999999</v>
      </c>
      <c r="C58">
        <f t="shared" si="0"/>
        <v>0.92454453470183995</v>
      </c>
      <c r="D58" s="15">
        <v>43435</v>
      </c>
      <c r="E58">
        <v>2506.85</v>
      </c>
      <c r="F58">
        <f t="shared" si="1"/>
        <v>0.90822304423278266</v>
      </c>
    </row>
    <row r="59" spans="1:6">
      <c r="A59" s="15">
        <v>43466</v>
      </c>
      <c r="B59">
        <v>34.756466000000003</v>
      </c>
      <c r="C59">
        <f t="shared" si="0"/>
        <v>1.0893129353267825</v>
      </c>
      <c r="D59" s="15">
        <v>43466</v>
      </c>
      <c r="E59">
        <v>2704.1</v>
      </c>
      <c r="F59">
        <f t="shared" si="1"/>
        <v>1.0786844047310369</v>
      </c>
    </row>
    <row r="60" spans="1:6">
      <c r="A60" s="15">
        <v>43497</v>
      </c>
      <c r="B60">
        <v>35.042324000000001</v>
      </c>
      <c r="C60">
        <f t="shared" si="0"/>
        <v>1.0082245991292669</v>
      </c>
      <c r="D60" s="15">
        <v>43497</v>
      </c>
      <c r="E60">
        <v>2784.49</v>
      </c>
      <c r="F60">
        <f t="shared" si="1"/>
        <v>1.0297289301431161</v>
      </c>
    </row>
    <row r="61" spans="1:6">
      <c r="A61" s="15">
        <v>43525</v>
      </c>
      <c r="B61">
        <v>35.071841999999997</v>
      </c>
      <c r="C61">
        <f t="shared" si="0"/>
        <v>1.0008423528074222</v>
      </c>
      <c r="D61" s="15">
        <v>43525</v>
      </c>
      <c r="E61">
        <v>2834.4</v>
      </c>
      <c r="F61">
        <f t="shared" si="1"/>
        <v>1.0179242877510783</v>
      </c>
    </row>
    <row r="62" spans="1:6">
      <c r="A62" s="15">
        <v>43556</v>
      </c>
      <c r="B62">
        <v>39.587395000000001</v>
      </c>
      <c r="C62">
        <f t="shared" si="0"/>
        <v>1.1287515209494843</v>
      </c>
      <c r="D62" s="15">
        <v>43556</v>
      </c>
      <c r="E62">
        <v>2945.83</v>
      </c>
      <c r="F62">
        <f t="shared" si="1"/>
        <v>1.0393134349421393</v>
      </c>
    </row>
    <row r="63" spans="1:6">
      <c r="A63" s="15">
        <v>43586</v>
      </c>
      <c r="B63">
        <v>42.045422000000002</v>
      </c>
      <c r="C63">
        <f t="shared" si="0"/>
        <v>1.0620911530046371</v>
      </c>
      <c r="D63" s="15">
        <v>43586</v>
      </c>
      <c r="E63">
        <v>2752.06</v>
      </c>
      <c r="F63">
        <f t="shared" si="1"/>
        <v>0.93422227351883846</v>
      </c>
    </row>
    <row r="64" spans="1:6">
      <c r="A64" s="15">
        <v>43617</v>
      </c>
      <c r="B64">
        <v>45.374386000000001</v>
      </c>
      <c r="C64">
        <f t="shared" si="0"/>
        <v>1.0791754212860558</v>
      </c>
      <c r="D64" s="15">
        <v>43617</v>
      </c>
      <c r="E64">
        <v>2941.76</v>
      </c>
      <c r="F64">
        <f t="shared" si="1"/>
        <v>1.068930183208215</v>
      </c>
    </row>
    <row r="65" spans="1:6">
      <c r="A65" s="15">
        <v>43647</v>
      </c>
      <c r="B65">
        <v>48.161659</v>
      </c>
      <c r="C65">
        <f t="shared" si="0"/>
        <v>1.0614283353608356</v>
      </c>
      <c r="D65" s="15">
        <v>43647</v>
      </c>
      <c r="E65">
        <v>2980.38</v>
      </c>
      <c r="F65">
        <f t="shared" si="1"/>
        <v>1.0131281953660394</v>
      </c>
    </row>
    <row r="66" spans="1:6">
      <c r="A66" s="15">
        <v>43678</v>
      </c>
      <c r="B66">
        <v>50.225613000000003</v>
      </c>
      <c r="C66">
        <f t="shared" si="0"/>
        <v>1.0428547114624935</v>
      </c>
      <c r="D66" s="15">
        <v>43678</v>
      </c>
      <c r="E66">
        <v>2926.46</v>
      </c>
      <c r="F66">
        <f t="shared" si="1"/>
        <v>0.98190834725773224</v>
      </c>
    </row>
    <row r="67" spans="1:6">
      <c r="A67" s="15">
        <v>43709</v>
      </c>
      <c r="B67">
        <v>46.755665</v>
      </c>
      <c r="C67">
        <f t="shared" si="0"/>
        <v>0.93091277950156626</v>
      </c>
      <c r="D67" s="15">
        <v>43709</v>
      </c>
      <c r="E67">
        <v>2976.74</v>
      </c>
      <c r="F67">
        <f t="shared" si="1"/>
        <v>1.0171811676906568</v>
      </c>
    </row>
    <row r="68" spans="1:6">
      <c r="A68" s="15">
        <v>43739</v>
      </c>
      <c r="B68">
        <v>43.680019000000001</v>
      </c>
      <c r="C68">
        <f t="shared" ref="C68:C121" si="2">B68/B67</f>
        <v>0.93421875188814019</v>
      </c>
      <c r="D68" s="15">
        <v>43739</v>
      </c>
      <c r="E68">
        <v>3037.56</v>
      </c>
      <c r="F68">
        <f t="shared" ref="F68:F121" si="3">E68/E67</f>
        <v>1.0204317474821449</v>
      </c>
    </row>
    <row r="69" spans="1:6">
      <c r="A69" s="15">
        <v>43770</v>
      </c>
      <c r="B69">
        <v>47.943356000000001</v>
      </c>
      <c r="C69">
        <f t="shared" si="2"/>
        <v>1.097603826591742</v>
      </c>
      <c r="D69" s="15">
        <v>43770</v>
      </c>
      <c r="E69">
        <v>3140.98</v>
      </c>
      <c r="F69">
        <f t="shared" si="3"/>
        <v>1.0340470640909152</v>
      </c>
    </row>
    <row r="70" spans="1:6">
      <c r="A70" s="15">
        <v>43800</v>
      </c>
      <c r="B70">
        <v>44.036057</v>
      </c>
      <c r="C70">
        <f t="shared" si="2"/>
        <v>0.91850176278857076</v>
      </c>
      <c r="D70" s="15">
        <v>43800</v>
      </c>
      <c r="E70">
        <v>3230.78</v>
      </c>
      <c r="F70">
        <f t="shared" si="3"/>
        <v>1.0285898031824463</v>
      </c>
    </row>
    <row r="71" spans="1:6">
      <c r="A71" s="15">
        <v>43831</v>
      </c>
      <c r="B71">
        <v>44.489933000000001</v>
      </c>
      <c r="C71">
        <f t="shared" si="2"/>
        <v>1.010306917351842</v>
      </c>
      <c r="D71" s="15">
        <v>43831</v>
      </c>
      <c r="E71">
        <v>3225.52</v>
      </c>
      <c r="F71">
        <f t="shared" si="3"/>
        <v>0.99837191018887073</v>
      </c>
    </row>
    <row r="72" spans="1:6">
      <c r="A72" s="15">
        <v>43862</v>
      </c>
      <c r="B72">
        <v>38.972458000000003</v>
      </c>
      <c r="C72">
        <f t="shared" si="2"/>
        <v>0.87598374220972652</v>
      </c>
      <c r="D72" s="15">
        <v>43862</v>
      </c>
      <c r="E72">
        <v>2954.22</v>
      </c>
      <c r="F72">
        <f t="shared" si="3"/>
        <v>0.91588953099035186</v>
      </c>
    </row>
    <row r="73" spans="1:6">
      <c r="A73" s="15">
        <v>43891</v>
      </c>
      <c r="B73">
        <v>38.557651999999997</v>
      </c>
      <c r="C73">
        <f t="shared" si="2"/>
        <v>0.98935643217576874</v>
      </c>
      <c r="D73" s="15">
        <v>43891</v>
      </c>
      <c r="E73">
        <v>2584.59</v>
      </c>
      <c r="F73">
        <f t="shared" si="3"/>
        <v>0.87488067916404344</v>
      </c>
    </row>
    <row r="74" spans="1:6">
      <c r="A74" s="15">
        <v>43922</v>
      </c>
      <c r="B74">
        <v>43.120567000000001</v>
      </c>
      <c r="C74">
        <f t="shared" si="2"/>
        <v>1.1183400638607353</v>
      </c>
      <c r="D74" s="15">
        <v>43922</v>
      </c>
      <c r="E74">
        <v>2912.43</v>
      </c>
      <c r="F74">
        <f t="shared" si="3"/>
        <v>1.1268441029331537</v>
      </c>
    </row>
    <row r="75" spans="1:6">
      <c r="A75" s="15">
        <v>43952</v>
      </c>
      <c r="B75">
        <v>46.150706999999997</v>
      </c>
      <c r="C75">
        <f t="shared" si="2"/>
        <v>1.0702713394283521</v>
      </c>
      <c r="D75" s="15">
        <v>43952</v>
      </c>
      <c r="E75">
        <v>3044.31</v>
      </c>
      <c r="F75">
        <f t="shared" si="3"/>
        <v>1.0452817750126184</v>
      </c>
    </row>
    <row r="76" spans="1:6">
      <c r="A76" s="15">
        <v>43983</v>
      </c>
      <c r="B76">
        <v>44.647942</v>
      </c>
      <c r="C76">
        <f t="shared" si="2"/>
        <v>0.96743787695386774</v>
      </c>
      <c r="D76" s="15">
        <v>43983</v>
      </c>
      <c r="E76">
        <v>3100.29</v>
      </c>
      <c r="F76">
        <f t="shared" si="3"/>
        <v>1.0183884032835027</v>
      </c>
    </row>
    <row r="77" spans="1:6">
      <c r="A77" s="15">
        <v>44013</v>
      </c>
      <c r="B77">
        <v>48.424621999999999</v>
      </c>
      <c r="C77">
        <f t="shared" si="2"/>
        <v>1.0845879973594303</v>
      </c>
      <c r="D77" s="15">
        <v>44013</v>
      </c>
      <c r="E77">
        <v>3271.12</v>
      </c>
      <c r="F77">
        <f t="shared" si="3"/>
        <v>1.0551012969754443</v>
      </c>
    </row>
    <row r="78" spans="1:6">
      <c r="A78" s="15">
        <v>44044</v>
      </c>
      <c r="B78">
        <v>50.390582999999999</v>
      </c>
      <c r="C78">
        <f t="shared" si="2"/>
        <v>1.040598375760166</v>
      </c>
      <c r="D78" s="15">
        <v>44044</v>
      </c>
      <c r="E78">
        <v>3500.31</v>
      </c>
      <c r="F78">
        <f t="shared" si="3"/>
        <v>1.0700646873242192</v>
      </c>
    </row>
    <row r="79" spans="1:6">
      <c r="A79" s="15">
        <v>44075</v>
      </c>
      <c r="B79">
        <v>50.509335</v>
      </c>
      <c r="C79">
        <f t="shared" si="2"/>
        <v>1.0023566308014338</v>
      </c>
      <c r="D79" s="15">
        <v>44075</v>
      </c>
      <c r="E79">
        <v>3363</v>
      </c>
      <c r="F79">
        <f t="shared" si="3"/>
        <v>0.9607720459045056</v>
      </c>
    </row>
    <row r="80" spans="1:6">
      <c r="A80" s="15">
        <v>44105</v>
      </c>
      <c r="B80">
        <v>45.402985000000001</v>
      </c>
      <c r="C80">
        <f t="shared" si="2"/>
        <v>0.89890284637483353</v>
      </c>
      <c r="D80" s="15">
        <v>44105</v>
      </c>
      <c r="E80">
        <v>3269.96</v>
      </c>
      <c r="F80">
        <f t="shared" si="3"/>
        <v>0.9723342253939935</v>
      </c>
    </row>
    <row r="81" spans="1:6">
      <c r="A81" s="15">
        <v>44136</v>
      </c>
      <c r="B81">
        <v>52.651370999999997</v>
      </c>
      <c r="C81">
        <f t="shared" si="2"/>
        <v>1.1596455827739078</v>
      </c>
      <c r="D81" s="15">
        <v>44136</v>
      </c>
      <c r="E81">
        <v>3621.63</v>
      </c>
      <c r="F81">
        <f t="shared" si="3"/>
        <v>1.1075456580508631</v>
      </c>
    </row>
    <row r="82" spans="1:6">
      <c r="A82" s="15">
        <v>44166</v>
      </c>
      <c r="B82">
        <v>51.383628999999999</v>
      </c>
      <c r="C82">
        <f t="shared" si="2"/>
        <v>0.97592195652417102</v>
      </c>
      <c r="D82" s="15">
        <v>44166</v>
      </c>
      <c r="E82">
        <v>3756.07</v>
      </c>
      <c r="F82">
        <f t="shared" si="3"/>
        <v>1.0371214066594323</v>
      </c>
    </row>
    <row r="83" spans="1:6">
      <c r="A83" s="15">
        <v>44197</v>
      </c>
      <c r="B83">
        <v>49.511715000000002</v>
      </c>
      <c r="C83">
        <f t="shared" si="2"/>
        <v>0.96356983661080076</v>
      </c>
      <c r="D83" s="15">
        <v>44197</v>
      </c>
      <c r="E83">
        <v>3714.24</v>
      </c>
      <c r="F83">
        <f t="shared" si="3"/>
        <v>0.98886335984153639</v>
      </c>
    </row>
    <row r="84" spans="1:6">
      <c r="A84" s="15">
        <v>44228</v>
      </c>
      <c r="B84">
        <v>48.009219999999999</v>
      </c>
      <c r="C84">
        <f t="shared" si="2"/>
        <v>0.96965374760296619</v>
      </c>
      <c r="D84" s="15">
        <v>44228</v>
      </c>
      <c r="E84">
        <v>3811.15</v>
      </c>
      <c r="F84">
        <f t="shared" si="3"/>
        <v>1.0260914749719998</v>
      </c>
    </row>
    <row r="85" spans="1:6">
      <c r="A85" s="15">
        <v>44256</v>
      </c>
      <c r="B85">
        <v>55.037621000000001</v>
      </c>
      <c r="C85">
        <f t="shared" si="2"/>
        <v>1.1463969004287093</v>
      </c>
      <c r="D85" s="15">
        <v>44256</v>
      </c>
      <c r="E85">
        <v>3972.89</v>
      </c>
      <c r="F85">
        <f t="shared" si="3"/>
        <v>1.0424386340081078</v>
      </c>
    </row>
    <row r="86" spans="1:6">
      <c r="A86" s="15">
        <v>44287</v>
      </c>
      <c r="B86">
        <v>56.782317999999997</v>
      </c>
      <c r="C86">
        <f t="shared" si="2"/>
        <v>1.0317000802051381</v>
      </c>
      <c r="D86" s="15">
        <v>44287</v>
      </c>
      <c r="E86">
        <v>4181.17</v>
      </c>
      <c r="F86">
        <f t="shared" si="3"/>
        <v>1.0524253125558474</v>
      </c>
    </row>
    <row r="87" spans="1:6">
      <c r="A87" s="15">
        <v>44317</v>
      </c>
      <c r="B87">
        <v>52.089576999999998</v>
      </c>
      <c r="C87">
        <f t="shared" si="2"/>
        <v>0.91735559298583058</v>
      </c>
      <c r="D87" s="15">
        <v>44317</v>
      </c>
      <c r="E87">
        <v>4204.1099999999997</v>
      </c>
      <c r="F87">
        <f t="shared" si="3"/>
        <v>1.0054865025818132</v>
      </c>
    </row>
    <row r="88" spans="1:6">
      <c r="A88" s="15">
        <v>44348</v>
      </c>
      <c r="B88">
        <v>56.296432000000003</v>
      </c>
      <c r="C88">
        <f t="shared" si="2"/>
        <v>1.0807619343885246</v>
      </c>
      <c r="D88" s="15">
        <v>44348</v>
      </c>
      <c r="E88">
        <v>4297.5</v>
      </c>
      <c r="F88">
        <f t="shared" si="3"/>
        <v>1.0222139763231695</v>
      </c>
    </row>
    <row r="89" spans="1:6">
      <c r="A89" s="15">
        <v>44378</v>
      </c>
      <c r="B89">
        <v>58.290714000000001</v>
      </c>
      <c r="C89">
        <f t="shared" si="2"/>
        <v>1.0354246606605548</v>
      </c>
      <c r="D89" s="15">
        <v>44378</v>
      </c>
      <c r="E89">
        <v>4395.26</v>
      </c>
      <c r="F89">
        <f t="shared" si="3"/>
        <v>1.0227481093659105</v>
      </c>
    </row>
    <row r="90" spans="1:6">
      <c r="A90" s="15">
        <v>44409</v>
      </c>
      <c r="B90">
        <v>57.130130999999999</v>
      </c>
      <c r="C90">
        <f t="shared" si="2"/>
        <v>0.98008974465469745</v>
      </c>
      <c r="D90" s="15">
        <v>44409</v>
      </c>
      <c r="E90">
        <v>4522.68</v>
      </c>
      <c r="F90">
        <f t="shared" si="3"/>
        <v>1.0289903213916811</v>
      </c>
    </row>
    <row r="91" spans="1:6">
      <c r="A91" s="15">
        <v>44440</v>
      </c>
      <c r="B91">
        <v>54.558132000000001</v>
      </c>
      <c r="C91">
        <f t="shared" si="2"/>
        <v>0.95497999120639165</v>
      </c>
      <c r="D91" s="15">
        <v>44440</v>
      </c>
      <c r="E91">
        <v>4307.54</v>
      </c>
      <c r="F91">
        <f t="shared" si="3"/>
        <v>0.95243085957883367</v>
      </c>
    </row>
    <row r="92" spans="1:6">
      <c r="A92" s="15">
        <v>44470</v>
      </c>
      <c r="B92">
        <v>55.551181999999997</v>
      </c>
      <c r="C92">
        <f t="shared" si="2"/>
        <v>1.0182016862307528</v>
      </c>
      <c r="D92" s="15">
        <v>44470</v>
      </c>
      <c r="E92">
        <v>4605.38</v>
      </c>
      <c r="F92">
        <f t="shared" si="3"/>
        <v>1.0691438733012346</v>
      </c>
    </row>
    <row r="93" spans="1:6">
      <c r="A93" s="15">
        <v>44501</v>
      </c>
      <c r="B93">
        <v>54.846775000000001</v>
      </c>
      <c r="C93">
        <f t="shared" si="2"/>
        <v>0.98731967575415414</v>
      </c>
      <c r="D93" s="15">
        <v>44501</v>
      </c>
      <c r="E93">
        <v>4567</v>
      </c>
      <c r="F93">
        <f t="shared" si="3"/>
        <v>0.99166626858152851</v>
      </c>
    </row>
    <row r="94" spans="1:6">
      <c r="A94" s="15">
        <v>44531</v>
      </c>
      <c r="B94">
        <v>62.927689000000001</v>
      </c>
      <c r="C94">
        <f t="shared" si="2"/>
        <v>1.1473361742782506</v>
      </c>
      <c r="D94" s="15">
        <v>44531</v>
      </c>
      <c r="E94">
        <v>4766.18</v>
      </c>
      <c r="F94">
        <f t="shared" si="3"/>
        <v>1.0436128749726299</v>
      </c>
    </row>
    <row r="95" spans="1:6">
      <c r="A95" s="15">
        <v>44562</v>
      </c>
      <c r="B95">
        <v>65.193916000000002</v>
      </c>
      <c r="C95">
        <f t="shared" si="2"/>
        <v>1.0360131928569631</v>
      </c>
      <c r="D95" s="15">
        <v>44562</v>
      </c>
      <c r="E95">
        <v>4515.55</v>
      </c>
      <c r="F95">
        <f t="shared" si="3"/>
        <v>0.94741491089300023</v>
      </c>
    </row>
    <row r="96" spans="1:6">
      <c r="A96" s="15">
        <v>44593</v>
      </c>
      <c r="B96">
        <v>65.156891000000002</v>
      </c>
      <c r="C96">
        <f t="shared" si="2"/>
        <v>0.99943207890748575</v>
      </c>
      <c r="D96" s="15">
        <v>44593</v>
      </c>
      <c r="E96">
        <v>4373.9399999999996</v>
      </c>
      <c r="F96">
        <f t="shared" si="3"/>
        <v>0.96863947913321735</v>
      </c>
    </row>
    <row r="97" spans="1:6">
      <c r="A97" s="15">
        <v>44621</v>
      </c>
      <c r="B97">
        <v>70.52861</v>
      </c>
      <c r="C97">
        <f t="shared" si="2"/>
        <v>1.0824428378573188</v>
      </c>
      <c r="D97" s="15">
        <v>44621</v>
      </c>
      <c r="E97">
        <v>4530.41</v>
      </c>
      <c r="F97">
        <f t="shared" si="3"/>
        <v>1.0357732387732801</v>
      </c>
    </row>
    <row r="98" spans="1:6">
      <c r="A98" s="15">
        <v>44652</v>
      </c>
      <c r="B98">
        <v>71.045876000000007</v>
      </c>
      <c r="C98">
        <f t="shared" si="2"/>
        <v>1.0073341300785597</v>
      </c>
      <c r="D98" s="15">
        <v>44652</v>
      </c>
      <c r="E98">
        <v>4131.93</v>
      </c>
      <c r="F98">
        <f t="shared" si="3"/>
        <v>0.91204328085096065</v>
      </c>
    </row>
    <row r="99" spans="1:6">
      <c r="A99" s="15">
        <v>44682</v>
      </c>
      <c r="B99">
        <v>73.030997999999997</v>
      </c>
      <c r="C99">
        <f t="shared" si="2"/>
        <v>1.0279414107020088</v>
      </c>
      <c r="D99" s="15">
        <v>44682</v>
      </c>
      <c r="E99">
        <v>4132.1499999999996</v>
      </c>
      <c r="F99">
        <f t="shared" si="3"/>
        <v>1.0000532438836087</v>
      </c>
    </row>
    <row r="100" spans="1:6">
      <c r="A100" s="15">
        <v>44713</v>
      </c>
      <c r="B100">
        <v>73.787604999999999</v>
      </c>
      <c r="C100">
        <f t="shared" si="2"/>
        <v>1.0103600802497592</v>
      </c>
      <c r="D100" s="15">
        <v>44713</v>
      </c>
      <c r="E100">
        <v>3785.38</v>
      </c>
      <c r="F100">
        <f t="shared" si="3"/>
        <v>0.91608000677613355</v>
      </c>
    </row>
    <row r="101" spans="1:6">
      <c r="A101" s="15">
        <v>44743</v>
      </c>
      <c r="B101">
        <v>77.261948000000004</v>
      </c>
      <c r="C101">
        <f t="shared" si="2"/>
        <v>1.0470857266610023</v>
      </c>
      <c r="D101" s="15">
        <v>44743</v>
      </c>
      <c r="E101">
        <v>4130.29</v>
      </c>
      <c r="F101">
        <f t="shared" si="3"/>
        <v>1.0911163476322059</v>
      </c>
    </row>
    <row r="102" spans="1:6">
      <c r="A102" s="15">
        <v>44774</v>
      </c>
      <c r="B102">
        <v>79.680205999999998</v>
      </c>
      <c r="C102">
        <f t="shared" si="2"/>
        <v>1.0312994696949653</v>
      </c>
      <c r="D102" s="15">
        <v>44774</v>
      </c>
      <c r="E102">
        <v>3955</v>
      </c>
      <c r="F102">
        <f t="shared" si="3"/>
        <v>0.95755988078318954</v>
      </c>
    </row>
    <row r="103" spans="1:6">
      <c r="A103" s="15">
        <v>44805</v>
      </c>
      <c r="B103">
        <v>79.002746999999999</v>
      </c>
      <c r="C103">
        <f t="shared" si="2"/>
        <v>0.9914977754952089</v>
      </c>
      <c r="D103" s="15">
        <v>44805</v>
      </c>
      <c r="E103">
        <v>3585.62</v>
      </c>
      <c r="F103">
        <f t="shared" si="3"/>
        <v>0.90660429835651068</v>
      </c>
    </row>
    <row r="104" spans="1:6">
      <c r="A104" s="15">
        <v>44835</v>
      </c>
      <c r="B104">
        <v>80.646561000000005</v>
      </c>
      <c r="C104">
        <f t="shared" si="2"/>
        <v>1.0208070486460428</v>
      </c>
      <c r="D104" s="15">
        <v>44835</v>
      </c>
      <c r="E104">
        <v>3871.98</v>
      </c>
      <c r="F104">
        <f t="shared" si="3"/>
        <v>1.0798634545768933</v>
      </c>
    </row>
    <row r="105" spans="1:6">
      <c r="A105" s="15">
        <v>44866</v>
      </c>
      <c r="B105">
        <v>82.075400999999999</v>
      </c>
      <c r="C105">
        <f t="shared" si="2"/>
        <v>1.0177173084913069</v>
      </c>
      <c r="D105" s="15">
        <v>44866</v>
      </c>
      <c r="E105">
        <v>4080.11</v>
      </c>
      <c r="F105">
        <f t="shared" si="3"/>
        <v>1.0537528602936999</v>
      </c>
    </row>
    <row r="106" spans="1:6">
      <c r="A106" s="15">
        <v>44896</v>
      </c>
      <c r="B106">
        <v>78.945106999999993</v>
      </c>
      <c r="C106">
        <f t="shared" si="2"/>
        <v>0.96186075289476802</v>
      </c>
      <c r="D106" s="15">
        <v>44896</v>
      </c>
      <c r="E106">
        <v>3839.5</v>
      </c>
      <c r="F106">
        <f t="shared" si="3"/>
        <v>0.94102855070083891</v>
      </c>
    </row>
    <row r="107" spans="1:6">
      <c r="A107" s="15">
        <v>44927</v>
      </c>
      <c r="B107">
        <v>79.323929000000007</v>
      </c>
      <c r="C107">
        <f t="shared" si="2"/>
        <v>1.0047985494528497</v>
      </c>
      <c r="D107" s="15">
        <v>44927</v>
      </c>
      <c r="E107">
        <v>4076.6</v>
      </c>
      <c r="F107">
        <f t="shared" si="3"/>
        <v>1.061752832400052</v>
      </c>
    </row>
    <row r="108" spans="1:6">
      <c r="A108" s="15">
        <v>44958</v>
      </c>
      <c r="B108">
        <v>78.630272000000005</v>
      </c>
      <c r="C108">
        <f t="shared" si="2"/>
        <v>0.99125538776577748</v>
      </c>
      <c r="D108" s="15">
        <v>44958</v>
      </c>
      <c r="E108">
        <v>3970.15</v>
      </c>
      <c r="F108">
        <f t="shared" si="3"/>
        <v>0.9738875533532847</v>
      </c>
    </row>
    <row r="109" spans="1:6">
      <c r="A109" s="15">
        <v>44986</v>
      </c>
      <c r="B109">
        <v>80.575569000000002</v>
      </c>
      <c r="C109">
        <f t="shared" si="2"/>
        <v>1.024739797415428</v>
      </c>
      <c r="D109" s="15">
        <v>44986</v>
      </c>
      <c r="E109">
        <v>4109.3100000000004</v>
      </c>
      <c r="F109">
        <f t="shared" si="3"/>
        <v>1.035051572358727</v>
      </c>
    </row>
    <row r="110" spans="1:6">
      <c r="A110" s="15">
        <v>45017</v>
      </c>
      <c r="B110">
        <v>83.717995000000002</v>
      </c>
      <c r="C110">
        <f t="shared" si="2"/>
        <v>1.0389997370046495</v>
      </c>
      <c r="D110" s="15">
        <v>45017</v>
      </c>
      <c r="E110">
        <v>4169.4799999999996</v>
      </c>
      <c r="F110">
        <f t="shared" si="3"/>
        <v>1.0146423608829704</v>
      </c>
    </row>
    <row r="111" spans="1:6">
      <c r="A111" s="15">
        <v>45047</v>
      </c>
      <c r="B111">
        <v>82.452667000000005</v>
      </c>
      <c r="C111">
        <f t="shared" si="2"/>
        <v>0.98488583010140174</v>
      </c>
      <c r="D111" s="15">
        <v>45047</v>
      </c>
      <c r="E111">
        <v>4179.83</v>
      </c>
      <c r="F111">
        <f t="shared" si="3"/>
        <v>1.0024823239348792</v>
      </c>
    </row>
    <row r="112" spans="1:6">
      <c r="A112" s="15">
        <v>45078</v>
      </c>
      <c r="B112">
        <v>89.581657000000007</v>
      </c>
      <c r="C112">
        <f t="shared" si="2"/>
        <v>1.0864616059053616</v>
      </c>
      <c r="D112" s="15">
        <v>45078</v>
      </c>
      <c r="E112">
        <v>4450.38</v>
      </c>
      <c r="F112">
        <f t="shared" si="3"/>
        <v>1.0647275128414313</v>
      </c>
    </row>
    <row r="113" spans="1:6">
      <c r="A113" s="15">
        <v>45108</v>
      </c>
      <c r="B113">
        <v>86.726059000000006</v>
      </c>
      <c r="C113">
        <f t="shared" si="2"/>
        <v>0.96812296070835124</v>
      </c>
      <c r="D113" s="15">
        <v>45108</v>
      </c>
      <c r="E113">
        <v>4588.96</v>
      </c>
      <c r="F113">
        <f t="shared" si="3"/>
        <v>1.0311389139803793</v>
      </c>
    </row>
    <row r="114" spans="1:6">
      <c r="A114" s="15">
        <v>45139</v>
      </c>
      <c r="B114">
        <v>87.544387999999998</v>
      </c>
      <c r="C114">
        <f t="shared" si="2"/>
        <v>1.0094357913807659</v>
      </c>
      <c r="D114" s="15">
        <v>45139</v>
      </c>
      <c r="E114">
        <v>4507.66</v>
      </c>
      <c r="F114">
        <f t="shared" si="3"/>
        <v>0.98228356751856627</v>
      </c>
    </row>
    <row r="115" spans="1:6">
      <c r="A115" s="15">
        <v>45170</v>
      </c>
      <c r="B115">
        <v>93.509917999999999</v>
      </c>
      <c r="C115">
        <f t="shared" si="2"/>
        <v>1.0681429173963728</v>
      </c>
      <c r="D115" s="15">
        <v>45170</v>
      </c>
      <c r="E115">
        <v>4288.05</v>
      </c>
      <c r="F115">
        <f t="shared" si="3"/>
        <v>0.95128070883784499</v>
      </c>
    </row>
    <row r="116" spans="1:6">
      <c r="A116" s="15">
        <v>45200</v>
      </c>
      <c r="B116">
        <v>94.629074000000003</v>
      </c>
      <c r="C116">
        <f t="shared" si="2"/>
        <v>1.011968313350462</v>
      </c>
      <c r="D116" s="15">
        <v>45200</v>
      </c>
      <c r="E116">
        <v>4193.8</v>
      </c>
      <c r="F116">
        <f t="shared" si="3"/>
        <v>0.97802031226314989</v>
      </c>
    </row>
    <row r="117" spans="1:6">
      <c r="A117" s="15">
        <v>45231</v>
      </c>
      <c r="B117">
        <v>98.476196000000002</v>
      </c>
      <c r="C117">
        <f t="shared" si="2"/>
        <v>1.0406547569090658</v>
      </c>
      <c r="D117" s="15">
        <v>45231</v>
      </c>
      <c r="E117">
        <v>4567.8</v>
      </c>
      <c r="F117">
        <f t="shared" si="3"/>
        <v>1.0891792646287377</v>
      </c>
    </row>
    <row r="118" spans="1:6">
      <c r="A118" s="15">
        <v>45261</v>
      </c>
      <c r="B118">
        <v>95.418480000000002</v>
      </c>
      <c r="C118">
        <f t="shared" si="2"/>
        <v>0.96894969419817967</v>
      </c>
      <c r="D118" s="15">
        <v>45261</v>
      </c>
      <c r="E118">
        <v>4769.83</v>
      </c>
      <c r="F118">
        <f t="shared" si="3"/>
        <v>1.0442291694032138</v>
      </c>
    </row>
    <row r="119" spans="1:6">
      <c r="A119" s="15">
        <v>45292</v>
      </c>
      <c r="B119">
        <v>98.596100000000007</v>
      </c>
      <c r="C119">
        <f t="shared" si="2"/>
        <v>1.0333019348034049</v>
      </c>
      <c r="D119" s="15">
        <v>45292</v>
      </c>
      <c r="E119">
        <v>4845.6499999999996</v>
      </c>
      <c r="F119">
        <f t="shared" si="3"/>
        <v>1.0158957447120756</v>
      </c>
    </row>
    <row r="120" spans="1:6">
      <c r="A120" s="15">
        <v>45323</v>
      </c>
      <c r="B120">
        <v>104.980003</v>
      </c>
      <c r="C120">
        <f t="shared" si="2"/>
        <v>1.0647480275588992</v>
      </c>
      <c r="D120" s="15">
        <v>45323</v>
      </c>
      <c r="E120">
        <v>5096.2700000000004</v>
      </c>
      <c r="F120">
        <f t="shared" si="3"/>
        <v>1.0517206153973153</v>
      </c>
    </row>
    <row r="121" spans="1:6">
      <c r="A121" s="15">
        <v>45352</v>
      </c>
      <c r="B121">
        <v>103.19000200000001</v>
      </c>
      <c r="C121">
        <f t="shared" si="2"/>
        <v>0.98294912412985935</v>
      </c>
      <c r="D121" s="15">
        <v>45352</v>
      </c>
      <c r="E121">
        <v>5254.35</v>
      </c>
      <c r="F121">
        <f t="shared" si="3"/>
        <v>1.0310187647043818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7"/>
  <sheetViews>
    <sheetView workbookViewId="0">
      <selection activeCell="I18" sqref="I18"/>
    </sheetView>
  </sheetViews>
  <sheetFormatPr defaultRowHeight="14.45"/>
  <cols>
    <col min="1" max="1" width="49.140625" bestFit="1" customWidth="1"/>
    <col min="2" max="2" width="9.5703125" bestFit="1" customWidth="1"/>
    <col min="3" max="6" width="11.42578125" customWidth="1"/>
    <col min="9" max="9" width="18.42578125" bestFit="1" customWidth="1"/>
    <col min="10" max="10" width="9.5703125" bestFit="1" customWidth="1"/>
    <col min="12" max="12" width="9.140625" customWidth="1"/>
    <col min="13" max="13" width="9.5703125" bestFit="1" customWidth="1"/>
  </cols>
  <sheetData>
    <row r="1" spans="1:13" ht="18">
      <c r="A1" s="115" t="s">
        <v>145</v>
      </c>
      <c r="B1" s="116"/>
      <c r="C1" s="116"/>
      <c r="D1" s="116"/>
      <c r="E1" s="116"/>
      <c r="F1" s="117"/>
    </row>
    <row r="2" spans="1:13">
      <c r="A2" s="10" t="s">
        <v>146</v>
      </c>
      <c r="B2" s="11"/>
      <c r="C2" s="11"/>
      <c r="D2" s="11"/>
      <c r="E2" s="11"/>
      <c r="F2" s="10"/>
      <c r="I2" s="1"/>
      <c r="J2" s="48" t="s">
        <v>7</v>
      </c>
      <c r="K2" s="48" t="s">
        <v>8</v>
      </c>
      <c r="L2" s="48" t="s">
        <v>9</v>
      </c>
      <c r="M2" s="48" t="s">
        <v>10</v>
      </c>
    </row>
    <row r="3" spans="1:13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I3" s="49" t="s">
        <v>147</v>
      </c>
      <c r="J3" s="50">
        <v>1530954</v>
      </c>
      <c r="K3" s="50">
        <v>869043</v>
      </c>
      <c r="L3" s="50">
        <v>1159218</v>
      </c>
      <c r="M3" s="50">
        <v>888622</v>
      </c>
    </row>
    <row r="4" spans="1:13">
      <c r="A4" s="2" t="s">
        <v>147</v>
      </c>
      <c r="B4" s="2">
        <v>1530954</v>
      </c>
      <c r="C4" s="2">
        <v>1530954</v>
      </c>
      <c r="D4" s="2">
        <v>869043</v>
      </c>
      <c r="E4" s="2">
        <v>1159218</v>
      </c>
      <c r="F4" s="2">
        <v>888622</v>
      </c>
      <c r="I4" s="49" t="s">
        <v>148</v>
      </c>
      <c r="J4" s="50">
        <v>-278764</v>
      </c>
      <c r="K4" s="50">
        <v>-156827</v>
      </c>
      <c r="L4" s="50">
        <v>-159512</v>
      </c>
      <c r="M4" s="50">
        <v>-167837</v>
      </c>
    </row>
    <row r="5" spans="1:13">
      <c r="A5" s="2" t="s">
        <v>149</v>
      </c>
      <c r="B5" s="2">
        <v>1530954</v>
      </c>
      <c r="C5" s="2">
        <v>1530954</v>
      </c>
      <c r="D5" s="2">
        <v>869043</v>
      </c>
      <c r="E5" s="2">
        <v>1159218</v>
      </c>
      <c r="F5" s="2">
        <v>888622</v>
      </c>
      <c r="I5" s="51" t="s">
        <v>150</v>
      </c>
      <c r="J5" s="52">
        <f>J3-(-J4)</f>
        <v>1252190</v>
      </c>
      <c r="K5" s="52">
        <f t="shared" ref="K5:M5" si="0">K3-(-K4)</f>
        <v>712216</v>
      </c>
      <c r="L5" s="52">
        <f t="shared" si="0"/>
        <v>999706</v>
      </c>
      <c r="M5" s="52">
        <f t="shared" si="0"/>
        <v>720785</v>
      </c>
    </row>
    <row r="6" spans="1:13">
      <c r="A6" s="2" t="s">
        <v>151</v>
      </c>
      <c r="B6" s="2">
        <v>1010460</v>
      </c>
      <c r="C6" s="2">
        <v>1010460</v>
      </c>
      <c r="D6" s="2">
        <v>801863</v>
      </c>
      <c r="E6" s="2">
        <v>663169</v>
      </c>
      <c r="F6" s="2">
        <v>564348</v>
      </c>
    </row>
    <row r="7" spans="1:13">
      <c r="A7" s="2" t="s">
        <v>152</v>
      </c>
      <c r="B7" s="2">
        <v>-75293</v>
      </c>
      <c r="C7" s="2">
        <v>-75293</v>
      </c>
      <c r="D7" s="2">
        <v>-45399</v>
      </c>
      <c r="E7" s="2">
        <v>-33184</v>
      </c>
      <c r="F7" s="2">
        <v>-24476</v>
      </c>
    </row>
    <row r="8" spans="1:13">
      <c r="A8" s="2" t="s">
        <v>153</v>
      </c>
      <c r="B8" s="2" t="s">
        <v>27</v>
      </c>
      <c r="C8" s="2" t="s">
        <v>27</v>
      </c>
      <c r="D8" s="2" t="s">
        <v>27</v>
      </c>
      <c r="E8" s="2">
        <v>-435</v>
      </c>
      <c r="F8">
        <v>-354</v>
      </c>
    </row>
    <row r="9" spans="1:13">
      <c r="A9" s="2" t="s">
        <v>154</v>
      </c>
      <c r="B9" s="2">
        <v>-75293</v>
      </c>
      <c r="C9" s="2">
        <v>-75293</v>
      </c>
      <c r="D9" s="2">
        <v>-45399</v>
      </c>
      <c r="E9" s="2">
        <v>-33184</v>
      </c>
      <c r="F9" s="2">
        <v>-19654</v>
      </c>
    </row>
    <row r="10" spans="1:13">
      <c r="A10" s="2" t="s">
        <v>19</v>
      </c>
      <c r="B10" s="2">
        <v>365445</v>
      </c>
      <c r="C10" s="2">
        <v>365445</v>
      </c>
      <c r="D10" s="2">
        <v>331792</v>
      </c>
      <c r="E10" s="2">
        <v>297960</v>
      </c>
      <c r="F10" s="2">
        <v>269633</v>
      </c>
    </row>
    <row r="11" spans="1:13">
      <c r="A11" s="2" t="s">
        <v>20</v>
      </c>
      <c r="B11" s="2">
        <v>365445</v>
      </c>
      <c r="C11" s="2">
        <v>365445</v>
      </c>
      <c r="D11" s="2">
        <v>331792</v>
      </c>
      <c r="E11" s="2">
        <v>297960</v>
      </c>
      <c r="F11" s="2">
        <v>269633</v>
      </c>
    </row>
    <row r="12" spans="1:13">
      <c r="A12" s="2" t="s">
        <v>21</v>
      </c>
      <c r="B12" s="2">
        <v>342535</v>
      </c>
      <c r="C12" s="2">
        <v>342535</v>
      </c>
      <c r="D12" s="2">
        <v>309602</v>
      </c>
      <c r="E12" s="2">
        <v>277495</v>
      </c>
      <c r="F12" s="2">
        <v>250660</v>
      </c>
    </row>
    <row r="13" spans="1:13">
      <c r="A13" s="2" t="s">
        <v>22</v>
      </c>
      <c r="B13" s="2">
        <v>22910</v>
      </c>
      <c r="C13" s="2">
        <v>22910</v>
      </c>
      <c r="D13" s="2">
        <v>22190</v>
      </c>
      <c r="E13" s="2">
        <v>20465</v>
      </c>
      <c r="F13" s="2">
        <v>18973</v>
      </c>
    </row>
    <row r="14" spans="1:13">
      <c r="A14" s="2" t="s">
        <v>23</v>
      </c>
      <c r="B14" s="2">
        <v>22910</v>
      </c>
      <c r="C14" s="2">
        <v>22910</v>
      </c>
      <c r="D14" s="2">
        <v>22190</v>
      </c>
      <c r="E14" s="2">
        <v>20465</v>
      </c>
      <c r="F14" s="2">
        <v>18973</v>
      </c>
    </row>
    <row r="15" spans="1:13">
      <c r="A15" t="s">
        <v>155</v>
      </c>
      <c r="B15" s="2">
        <v>-10237</v>
      </c>
      <c r="C15" s="2">
        <v>-10237</v>
      </c>
      <c r="D15" s="2">
        <v>-7488</v>
      </c>
      <c r="E15" s="2">
        <v>19529</v>
      </c>
      <c r="F15" s="2">
        <v>15843</v>
      </c>
    </row>
    <row r="16" spans="1:13">
      <c r="A16" t="s">
        <v>156</v>
      </c>
      <c r="B16" s="2">
        <v>-10237</v>
      </c>
      <c r="C16" s="2">
        <v>-10237</v>
      </c>
      <c r="D16" s="2">
        <v>-7488</v>
      </c>
      <c r="E16" s="2">
        <v>19529</v>
      </c>
      <c r="F16" s="2">
        <v>15843</v>
      </c>
    </row>
    <row r="17" spans="1:6">
      <c r="A17" s="2" t="s">
        <v>157</v>
      </c>
      <c r="B17" t="s">
        <v>27</v>
      </c>
      <c r="C17" s="2" t="s">
        <v>27</v>
      </c>
      <c r="D17" s="2" t="s">
        <v>27</v>
      </c>
      <c r="E17" s="2">
        <v>-435</v>
      </c>
      <c r="F17">
        <v>-354</v>
      </c>
    </row>
    <row r="18" spans="1:6">
      <c r="A18" s="2" t="s">
        <v>158</v>
      </c>
      <c r="B18" s="2">
        <v>13102</v>
      </c>
      <c r="C18" s="2">
        <v>13102</v>
      </c>
      <c r="D18" s="2">
        <v>14187</v>
      </c>
      <c r="E18" s="2">
        <v>8617</v>
      </c>
      <c r="F18" s="2">
        <v>6240</v>
      </c>
    </row>
    <row r="19" spans="1:6">
      <c r="A19" s="2" t="s">
        <v>159</v>
      </c>
      <c r="B19" s="2">
        <v>147353</v>
      </c>
      <c r="C19" s="2">
        <v>147353</v>
      </c>
      <c r="D19" s="2">
        <v>116088</v>
      </c>
      <c r="E19" s="2">
        <v>92927</v>
      </c>
      <c r="F19" s="2">
        <v>1857</v>
      </c>
    </row>
    <row r="20" spans="1:6">
      <c r="A20" s="2" t="s">
        <v>160</v>
      </c>
      <c r="B20" s="2">
        <v>52544</v>
      </c>
      <c r="C20" s="2">
        <v>52544</v>
      </c>
      <c r="D20" s="2">
        <v>-351218</v>
      </c>
      <c r="E20" s="2">
        <v>110200</v>
      </c>
      <c r="F20" s="2">
        <v>55531</v>
      </c>
    </row>
    <row r="21" spans="1:6">
      <c r="A21" s="2" t="s">
        <v>161</v>
      </c>
      <c r="B21" s="2">
        <v>24111</v>
      </c>
      <c r="C21" s="2">
        <v>24111</v>
      </c>
      <c r="D21" s="2">
        <v>-28767</v>
      </c>
      <c r="E21" s="2">
        <v>-5699</v>
      </c>
      <c r="F21" s="2">
        <v>14061</v>
      </c>
    </row>
    <row r="22" spans="1:6">
      <c r="A22" s="2" t="s">
        <v>162</v>
      </c>
      <c r="B22" s="2">
        <v>24111</v>
      </c>
      <c r="C22" s="2">
        <v>24111</v>
      </c>
      <c r="D22" s="2">
        <v>-28767</v>
      </c>
      <c r="E22" s="2">
        <v>-5699</v>
      </c>
      <c r="F22" s="2">
        <v>14061</v>
      </c>
    </row>
    <row r="23" spans="1:6">
      <c r="A23" s="2" t="s">
        <v>163</v>
      </c>
      <c r="B23" s="2">
        <v>40362</v>
      </c>
      <c r="C23" s="2">
        <v>40362</v>
      </c>
      <c r="D23" s="2">
        <v>-366241</v>
      </c>
      <c r="E23" s="2">
        <v>39729</v>
      </c>
      <c r="F23" s="2">
        <v>-7164</v>
      </c>
    </row>
    <row r="24" spans="1:6">
      <c r="A24" s="2" t="s">
        <v>164</v>
      </c>
      <c r="B24" s="2">
        <v>9794</v>
      </c>
      <c r="C24" s="2">
        <v>9794</v>
      </c>
      <c r="D24" s="2">
        <v>-10327</v>
      </c>
      <c r="E24" s="2">
        <v>-3586</v>
      </c>
      <c r="F24" s="2">
        <v>2163</v>
      </c>
    </row>
    <row r="25" spans="1:6">
      <c r="A25" s="2" t="s">
        <v>165</v>
      </c>
      <c r="B25" s="2">
        <v>-21723</v>
      </c>
      <c r="C25" s="2">
        <v>-21723</v>
      </c>
      <c r="D25" s="2">
        <v>54117</v>
      </c>
      <c r="E25" s="2">
        <v>79756</v>
      </c>
      <c r="F25" s="2">
        <v>46471</v>
      </c>
    </row>
    <row r="26" spans="1:6">
      <c r="A26" s="2" t="s">
        <v>166</v>
      </c>
      <c r="B26" s="2">
        <v>-21723</v>
      </c>
      <c r="C26" s="2">
        <v>-21723</v>
      </c>
      <c r="D26" s="2">
        <v>54117</v>
      </c>
      <c r="E26" s="2">
        <v>79756</v>
      </c>
      <c r="F26" s="2">
        <v>46471</v>
      </c>
    </row>
    <row r="27" spans="1:6">
      <c r="A27" s="2" t="s">
        <v>167</v>
      </c>
      <c r="B27" s="2">
        <v>-11348</v>
      </c>
      <c r="C27" s="2">
        <v>-11348</v>
      </c>
      <c r="D27" s="2">
        <v>7877</v>
      </c>
      <c r="E27" s="2">
        <v>49545</v>
      </c>
      <c r="F27" s="2">
        <v>12744</v>
      </c>
    </row>
    <row r="28" spans="1:6">
      <c r="A28" s="2" t="s">
        <v>168</v>
      </c>
      <c r="B28" s="2">
        <v>-11348</v>
      </c>
      <c r="C28" s="2">
        <v>-11348</v>
      </c>
      <c r="D28" s="2">
        <v>7877</v>
      </c>
      <c r="E28" s="2">
        <v>49545</v>
      </c>
      <c r="F28" s="2">
        <v>12744</v>
      </c>
    </row>
    <row r="29" spans="1:6">
      <c r="A29" s="2" t="s">
        <v>169</v>
      </c>
      <c r="B29" s="2">
        <v>-10375</v>
      </c>
      <c r="C29" s="2">
        <v>-10375</v>
      </c>
      <c r="D29" s="2">
        <v>46240</v>
      </c>
      <c r="E29" s="2">
        <v>30211</v>
      </c>
      <c r="F29" s="2">
        <v>33727</v>
      </c>
    </row>
    <row r="30" spans="1:6">
      <c r="A30" s="2" t="s">
        <v>170</v>
      </c>
      <c r="B30" s="2">
        <v>27580</v>
      </c>
      <c r="C30" s="2">
        <v>27580</v>
      </c>
      <c r="D30" s="2">
        <v>9218</v>
      </c>
      <c r="E30" s="2" t="s">
        <v>27</v>
      </c>
      <c r="F30" t="s">
        <v>27</v>
      </c>
    </row>
    <row r="31" spans="1:6">
      <c r="A31" s="2" t="s">
        <v>171</v>
      </c>
      <c r="B31" s="2">
        <v>-250866</v>
      </c>
      <c r="C31" s="2">
        <v>-250866</v>
      </c>
      <c r="D31" s="2">
        <v>-156549</v>
      </c>
      <c r="E31" s="2">
        <v>-158673</v>
      </c>
      <c r="F31" s="2">
        <v>-264525</v>
      </c>
    </row>
    <row r="32" spans="1:6">
      <c r="A32" s="2" t="s">
        <v>172</v>
      </c>
      <c r="B32" s="2">
        <v>-250866</v>
      </c>
      <c r="C32" s="2">
        <v>-250866</v>
      </c>
      <c r="D32" s="2">
        <v>-156549</v>
      </c>
      <c r="E32" s="2">
        <v>-158673</v>
      </c>
      <c r="F32" s="2">
        <v>-264525</v>
      </c>
    </row>
    <row r="33" spans="1:6">
      <c r="A33" t="s">
        <v>173</v>
      </c>
      <c r="B33" s="2">
        <v>-251735</v>
      </c>
      <c r="C33" s="2">
        <v>-251735</v>
      </c>
      <c r="D33" s="2">
        <v>-133771</v>
      </c>
      <c r="E33" s="2">
        <v>-135933</v>
      </c>
      <c r="F33" s="2">
        <v>-139447</v>
      </c>
    </row>
    <row r="34" spans="1:6">
      <c r="A34" t="s">
        <v>174</v>
      </c>
      <c r="B34" s="2">
        <v>-252673</v>
      </c>
      <c r="C34" s="2">
        <v>-252673</v>
      </c>
      <c r="D34" s="2">
        <v>-134049</v>
      </c>
      <c r="E34" s="2">
        <v>-136772</v>
      </c>
      <c r="F34" s="2">
        <v>-140040</v>
      </c>
    </row>
    <row r="35" spans="1:6">
      <c r="A35" t="s">
        <v>175</v>
      </c>
      <c r="B35">
        <v>938</v>
      </c>
      <c r="C35">
        <v>938</v>
      </c>
      <c r="D35">
        <v>278</v>
      </c>
      <c r="E35">
        <v>839</v>
      </c>
      <c r="F35">
        <v>593</v>
      </c>
    </row>
    <row r="36" spans="1:6">
      <c r="A36" t="s">
        <v>176</v>
      </c>
      <c r="B36" s="2">
        <v>-26091</v>
      </c>
      <c r="C36" s="2">
        <v>-26091</v>
      </c>
      <c r="D36" s="2">
        <v>-22778</v>
      </c>
      <c r="E36" s="2">
        <v>-22740</v>
      </c>
      <c r="F36" s="2">
        <v>-27797</v>
      </c>
    </row>
    <row r="37" spans="1:6">
      <c r="A37" t="s">
        <v>177</v>
      </c>
      <c r="B37" s="2">
        <v>-26091</v>
      </c>
      <c r="C37" s="2">
        <v>-26091</v>
      </c>
      <c r="D37" s="2">
        <v>-22778</v>
      </c>
      <c r="E37" s="2">
        <v>-22740</v>
      </c>
      <c r="F37" s="2">
        <v>-27797</v>
      </c>
    </row>
    <row r="38" spans="1:6">
      <c r="A38" t="s">
        <v>178</v>
      </c>
      <c r="B38" t="s">
        <v>27</v>
      </c>
      <c r="C38" t="s">
        <v>27</v>
      </c>
      <c r="D38" t="s">
        <v>27</v>
      </c>
      <c r="E38">
        <v>0</v>
      </c>
      <c r="F38" s="2">
        <v>-97281</v>
      </c>
    </row>
    <row r="39" spans="1:6">
      <c r="A39" t="s">
        <v>179</v>
      </c>
      <c r="B39" t="s">
        <v>27</v>
      </c>
      <c r="C39" t="s">
        <v>27</v>
      </c>
      <c r="D39" t="s">
        <v>27</v>
      </c>
      <c r="E39">
        <v>0</v>
      </c>
      <c r="F39" s="2">
        <v>-97281</v>
      </c>
    </row>
    <row r="40" spans="1:6">
      <c r="A40" t="s">
        <v>180</v>
      </c>
      <c r="B40" s="2">
        <v>26960</v>
      </c>
      <c r="C40" s="2">
        <v>26960</v>
      </c>
      <c r="D40">
        <v>0</v>
      </c>
      <c r="E40" t="s">
        <v>27</v>
      </c>
      <c r="F40" t="s">
        <v>27</v>
      </c>
    </row>
    <row r="41" spans="1:6">
      <c r="A41" t="s">
        <v>181</v>
      </c>
      <c r="B41" s="2">
        <v>-1067434</v>
      </c>
      <c r="C41" s="2">
        <v>-1067434</v>
      </c>
      <c r="D41" s="2">
        <v>-682291</v>
      </c>
      <c r="E41" s="2">
        <v>-1368631</v>
      </c>
      <c r="F41" s="2">
        <v>-275417</v>
      </c>
    </row>
    <row r="42" spans="1:6">
      <c r="A42" t="s">
        <v>182</v>
      </c>
      <c r="B42" s="2">
        <v>-1067434</v>
      </c>
      <c r="C42" s="2">
        <v>-1067434</v>
      </c>
      <c r="D42" s="2">
        <v>-682291</v>
      </c>
      <c r="E42" s="2">
        <v>-1368631</v>
      </c>
      <c r="F42" s="2">
        <v>-275417</v>
      </c>
    </row>
    <row r="43" spans="1:6">
      <c r="A43" t="s">
        <v>183</v>
      </c>
      <c r="B43" s="2">
        <v>-284836</v>
      </c>
      <c r="C43" s="2">
        <v>-284836</v>
      </c>
      <c r="D43" s="2">
        <v>108049</v>
      </c>
      <c r="E43" s="2">
        <v>-216197</v>
      </c>
      <c r="F43" s="2">
        <v>-163804</v>
      </c>
    </row>
    <row r="44" spans="1:6">
      <c r="A44" t="s">
        <v>184</v>
      </c>
      <c r="B44" s="2">
        <v>-284836</v>
      </c>
      <c r="C44" s="2">
        <v>-284836</v>
      </c>
      <c r="D44" s="2">
        <v>196434</v>
      </c>
      <c r="E44" s="2">
        <v>-304582</v>
      </c>
      <c r="F44" s="2">
        <v>-163804</v>
      </c>
    </row>
    <row r="45" spans="1:6">
      <c r="A45" t="s">
        <v>185</v>
      </c>
      <c r="B45" s="2">
        <v>500000</v>
      </c>
      <c r="C45" s="2">
        <v>500000</v>
      </c>
      <c r="D45" s="2">
        <v>700000</v>
      </c>
      <c r="E45" s="2">
        <v>750000</v>
      </c>
      <c r="F45" s="2">
        <v>300000</v>
      </c>
    </row>
    <row r="46" spans="1:6">
      <c r="A46" t="s">
        <v>186</v>
      </c>
      <c r="B46" s="2">
        <v>-784836</v>
      </c>
      <c r="C46" s="2">
        <v>-784836</v>
      </c>
      <c r="D46" s="2">
        <v>-503566</v>
      </c>
      <c r="E46" s="2">
        <v>-1054582</v>
      </c>
      <c r="F46" s="2">
        <v>-463804</v>
      </c>
    </row>
    <row r="47" spans="1:6">
      <c r="A47" t="s">
        <v>187</v>
      </c>
      <c r="B47">
        <v>0</v>
      </c>
      <c r="C47">
        <v>0</v>
      </c>
      <c r="D47" s="2">
        <v>-88385</v>
      </c>
      <c r="E47" s="2">
        <v>88385</v>
      </c>
      <c r="F47">
        <v>0</v>
      </c>
    </row>
    <row r="48" spans="1:6">
      <c r="A48" t="s">
        <v>188</v>
      </c>
      <c r="B48" t="s">
        <v>27</v>
      </c>
      <c r="C48" t="s">
        <v>27</v>
      </c>
      <c r="D48" t="s">
        <v>27</v>
      </c>
      <c r="E48" s="2">
        <v>88381</v>
      </c>
      <c r="F48">
        <v>0</v>
      </c>
    </row>
    <row r="49" spans="1:6">
      <c r="A49" t="s">
        <v>189</v>
      </c>
      <c r="B49">
        <v>0</v>
      </c>
      <c r="C49">
        <v>0</v>
      </c>
      <c r="D49" s="2">
        <v>-88385</v>
      </c>
      <c r="E49" t="s">
        <v>27</v>
      </c>
      <c r="F49">
        <v>0</v>
      </c>
    </row>
    <row r="50" spans="1:6">
      <c r="A50" t="s">
        <v>190</v>
      </c>
      <c r="B50" s="2">
        <v>-616601</v>
      </c>
      <c r="C50" s="2">
        <v>-616601</v>
      </c>
      <c r="D50" s="2">
        <v>-669754</v>
      </c>
      <c r="E50" s="2">
        <v>-1040754</v>
      </c>
      <c r="F50" s="2">
        <v>-54643</v>
      </c>
    </row>
    <row r="51" spans="1:6">
      <c r="A51" t="s">
        <v>191</v>
      </c>
      <c r="B51" s="2">
        <v>39268</v>
      </c>
      <c r="C51" s="2">
        <v>39268</v>
      </c>
      <c r="D51" s="2">
        <v>19242</v>
      </c>
      <c r="E51" s="2">
        <v>19164</v>
      </c>
      <c r="F51" s="2">
        <v>32399</v>
      </c>
    </row>
    <row r="52" spans="1:6">
      <c r="A52" t="s">
        <v>192</v>
      </c>
      <c r="B52" s="2">
        <v>-655869</v>
      </c>
      <c r="C52" s="2">
        <v>-655869</v>
      </c>
      <c r="D52" s="2">
        <v>-688996</v>
      </c>
      <c r="E52" s="2">
        <v>-1059918</v>
      </c>
      <c r="F52" s="2">
        <v>-87042</v>
      </c>
    </row>
    <row r="53" spans="1:6">
      <c r="A53" t="s">
        <v>193</v>
      </c>
      <c r="B53" s="2">
        <v>-76131</v>
      </c>
      <c r="C53" s="2">
        <v>-76131</v>
      </c>
      <c r="D53" s="2">
        <v>-62975</v>
      </c>
      <c r="E53" s="2">
        <v>-60464</v>
      </c>
      <c r="F53" s="2">
        <v>-54770</v>
      </c>
    </row>
    <row r="54" spans="1:6">
      <c r="A54" t="s">
        <v>194</v>
      </c>
      <c r="B54" s="2">
        <v>-76131</v>
      </c>
      <c r="C54" s="2">
        <v>-76131</v>
      </c>
      <c r="D54" s="2">
        <v>-62975</v>
      </c>
      <c r="E54" s="2">
        <v>-60464</v>
      </c>
      <c r="F54" s="2">
        <v>-54770</v>
      </c>
    </row>
    <row r="55" spans="1:6">
      <c r="A55" t="s">
        <v>195</v>
      </c>
      <c r="B55" s="2">
        <v>-100811</v>
      </c>
      <c r="C55" s="2">
        <v>-100811</v>
      </c>
      <c r="D55" s="2">
        <v>-64180</v>
      </c>
      <c r="E55" s="2">
        <v>-47765</v>
      </c>
      <c r="F55" t="s">
        <v>27</v>
      </c>
    </row>
    <row r="56" spans="1:6">
      <c r="A56" t="s">
        <v>196</v>
      </c>
      <c r="B56" s="2">
        <v>10945</v>
      </c>
      <c r="C56" s="2">
        <v>10945</v>
      </c>
      <c r="D56" s="2">
        <v>6569</v>
      </c>
      <c r="E56" s="2">
        <v>-3451</v>
      </c>
      <c r="F56" s="2">
        <v>-2200</v>
      </c>
    </row>
    <row r="57" spans="1:6">
      <c r="A57" t="s">
        <v>197</v>
      </c>
      <c r="B57" s="2">
        <v>313915</v>
      </c>
      <c r="C57" s="2">
        <v>313915</v>
      </c>
      <c r="D57" s="2">
        <v>101261</v>
      </c>
      <c r="E57" s="2">
        <v>71058</v>
      </c>
      <c r="F57" s="2">
        <v>439144</v>
      </c>
    </row>
    <row r="58" spans="1:6">
      <c r="A58" t="s">
        <v>198</v>
      </c>
      <c r="B58" s="2">
        <v>212654</v>
      </c>
      <c r="C58" s="2">
        <v>212654</v>
      </c>
      <c r="D58" s="2">
        <v>30203</v>
      </c>
      <c r="E58" s="2">
        <v>-368086</v>
      </c>
      <c r="F58" s="2">
        <v>348680</v>
      </c>
    </row>
    <row r="59" spans="1:6">
      <c r="A59" t="s">
        <v>199</v>
      </c>
      <c r="B59" s="2">
        <v>101261</v>
      </c>
      <c r="C59" s="2">
        <v>101261</v>
      </c>
      <c r="D59" s="2">
        <v>71058</v>
      </c>
      <c r="E59" s="2">
        <v>439144</v>
      </c>
      <c r="F59" s="2">
        <v>90464</v>
      </c>
    </row>
    <row r="60" spans="1:6">
      <c r="A60" t="s">
        <v>200</v>
      </c>
      <c r="B60" s="2">
        <v>362001</v>
      </c>
      <c r="C60" s="2">
        <v>362001</v>
      </c>
      <c r="D60" s="2">
        <v>271854</v>
      </c>
      <c r="E60" s="2">
        <v>161310</v>
      </c>
      <c r="F60" s="2">
        <v>170207</v>
      </c>
    </row>
    <row r="61" spans="1:6">
      <c r="A61" t="s">
        <v>201</v>
      </c>
      <c r="B61" s="2">
        <v>66587</v>
      </c>
      <c r="C61" s="2">
        <v>66587</v>
      </c>
      <c r="D61" s="2">
        <v>52307</v>
      </c>
      <c r="E61" s="2">
        <v>138108</v>
      </c>
      <c r="F61" s="2">
        <v>93877</v>
      </c>
    </row>
    <row r="62" spans="1:6">
      <c r="A62" t="s">
        <v>148</v>
      </c>
      <c r="B62" s="2">
        <v>-278764</v>
      </c>
      <c r="C62" s="2">
        <v>-278764</v>
      </c>
      <c r="D62" s="2">
        <v>-156827</v>
      </c>
      <c r="E62" s="2">
        <v>-159512</v>
      </c>
      <c r="F62" s="2">
        <v>-167837</v>
      </c>
    </row>
    <row r="63" spans="1:6">
      <c r="A63" t="s">
        <v>202</v>
      </c>
      <c r="B63" s="2">
        <v>39268</v>
      </c>
      <c r="C63" s="2">
        <v>39268</v>
      </c>
      <c r="D63" s="2">
        <v>19242</v>
      </c>
      <c r="E63" s="2">
        <v>19164</v>
      </c>
      <c r="F63" s="2">
        <v>32399</v>
      </c>
    </row>
    <row r="64" spans="1:6">
      <c r="A64" t="s">
        <v>203</v>
      </c>
      <c r="B64" s="2">
        <v>500000</v>
      </c>
      <c r="C64" s="2">
        <v>500000</v>
      </c>
      <c r="D64" s="2">
        <v>700000</v>
      </c>
      <c r="E64" s="2">
        <v>750000</v>
      </c>
      <c r="F64" s="2">
        <v>300000</v>
      </c>
    </row>
    <row r="65" spans="1:6">
      <c r="A65" t="s">
        <v>204</v>
      </c>
      <c r="B65" s="2">
        <v>-784836</v>
      </c>
      <c r="C65" s="2">
        <v>-784836</v>
      </c>
      <c r="D65" s="2">
        <v>-591951</v>
      </c>
      <c r="E65" s="2">
        <v>-1054582</v>
      </c>
      <c r="F65" s="2">
        <v>-463804</v>
      </c>
    </row>
    <row r="66" spans="1:6">
      <c r="A66" t="s">
        <v>205</v>
      </c>
      <c r="B66" s="2">
        <v>-655869</v>
      </c>
      <c r="C66" s="2">
        <v>-655869</v>
      </c>
      <c r="D66" s="2">
        <v>-688996</v>
      </c>
      <c r="E66" s="2">
        <v>-1059918</v>
      </c>
      <c r="F66" s="2">
        <v>-87042</v>
      </c>
    </row>
    <row r="67" spans="1:6">
      <c r="A67" s="51" t="s">
        <v>150</v>
      </c>
      <c r="B67" s="52">
        <v>1252190</v>
      </c>
      <c r="C67" s="52">
        <v>1252190</v>
      </c>
      <c r="D67" s="52">
        <v>712216</v>
      </c>
      <c r="E67" s="52">
        <v>999706</v>
      </c>
      <c r="F67" s="51">
        <v>720785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topLeftCell="A25" workbookViewId="0">
      <selection activeCell="M92" sqref="M92"/>
    </sheetView>
  </sheetViews>
  <sheetFormatPr defaultRowHeight="14.45"/>
  <cols>
    <col min="4" max="4" width="11.85546875" bestFit="1" customWidth="1"/>
  </cols>
  <sheetData>
    <row r="1" spans="1:6">
      <c r="A1" s="9" t="s">
        <v>206</v>
      </c>
      <c r="D1" t="s">
        <v>207</v>
      </c>
      <c r="E1" s="4">
        <v>4.3099999999999999E-2</v>
      </c>
      <c r="F1" s="8"/>
    </row>
  </sheetData>
  <hyperlinks>
    <hyperlink ref="A1" r:id="rId1" xr:uid="{00000000-0004-0000-0500-000000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8"/>
  <sheetViews>
    <sheetView zoomScale="110" workbookViewId="0">
      <selection activeCell="J12" sqref="J12"/>
    </sheetView>
  </sheetViews>
  <sheetFormatPr defaultRowHeight="14.45"/>
  <cols>
    <col min="1" max="1" width="39.42578125" style="3" customWidth="1"/>
    <col min="2" max="2" width="24.42578125" bestFit="1" customWidth="1"/>
    <col min="3" max="3" width="9.140625" customWidth="1"/>
    <col min="6" max="6" width="31.5703125" bestFit="1" customWidth="1"/>
    <col min="7" max="7" width="15.85546875" bestFit="1" customWidth="1"/>
    <col min="8" max="8" width="10" bestFit="1" customWidth="1"/>
  </cols>
  <sheetData>
    <row r="1" spans="1:9">
      <c r="A1" s="18" t="s">
        <v>208</v>
      </c>
      <c r="F1" s="29" t="s">
        <v>209</v>
      </c>
      <c r="G1" s="31">
        <v>281240</v>
      </c>
    </row>
    <row r="2" spans="1:9">
      <c r="F2" s="16" t="s">
        <v>210</v>
      </c>
      <c r="G2" s="34">
        <v>109.75</v>
      </c>
    </row>
    <row r="3" spans="1:9">
      <c r="A3" s="18" t="s">
        <v>211</v>
      </c>
      <c r="B3" s="6"/>
      <c r="F3" s="16" t="s">
        <v>212</v>
      </c>
      <c r="G3" s="34">
        <f>G2*G1</f>
        <v>30866090</v>
      </c>
      <c r="H3" s="2"/>
    </row>
    <row r="4" spans="1:9">
      <c r="A4" s="19" t="s">
        <v>213</v>
      </c>
      <c r="B4" s="20">
        <v>380848</v>
      </c>
      <c r="F4" s="25" t="s">
        <v>214</v>
      </c>
      <c r="G4" s="98">
        <v>313915</v>
      </c>
    </row>
    <row r="5" spans="1:9">
      <c r="A5" s="19" t="s">
        <v>215</v>
      </c>
      <c r="B5" s="21">
        <f>B16/(B16+B4)</f>
        <v>0.91921723561349722</v>
      </c>
      <c r="F5" s="99"/>
      <c r="G5" s="100"/>
    </row>
    <row r="6" spans="1:9">
      <c r="A6" s="19" t="s">
        <v>216</v>
      </c>
      <c r="B6" s="21">
        <f>B4/(B16+B4)</f>
        <v>8.0782764386502753E-2</v>
      </c>
      <c r="F6" s="101"/>
      <c r="G6" s="102"/>
      <c r="I6" s="35"/>
    </row>
    <row r="7" spans="1:9">
      <c r="A7" s="19" t="s">
        <v>217</v>
      </c>
      <c r="B7" s="21">
        <f>SUM(B5:B6)</f>
        <v>1</v>
      </c>
      <c r="I7" s="33"/>
    </row>
    <row r="8" spans="1:9">
      <c r="F8" s="83" t="s">
        <v>218</v>
      </c>
      <c r="G8" s="93">
        <v>112.05</v>
      </c>
      <c r="I8" s="33"/>
    </row>
    <row r="9" spans="1:9">
      <c r="A9" s="18" t="s">
        <v>219</v>
      </c>
    </row>
    <row r="10" spans="1:9">
      <c r="A10" s="19" t="s">
        <v>139</v>
      </c>
      <c r="B10" s="21">
        <f>CAPM!I26</f>
        <v>4.4000000000000004E-2</v>
      </c>
      <c r="D10" t="s">
        <v>220</v>
      </c>
      <c r="F10" s="95" t="s">
        <v>221</v>
      </c>
      <c r="G10" s="97">
        <v>1252190</v>
      </c>
    </row>
    <row r="11" spans="1:9">
      <c r="A11" s="19" t="s">
        <v>222</v>
      </c>
      <c r="B11" s="21">
        <f>CAPM!I24</f>
        <v>0.10896870357971644</v>
      </c>
    </row>
    <row r="12" spans="1:9">
      <c r="A12" s="19" t="s">
        <v>111</v>
      </c>
      <c r="B12" s="22">
        <f>CAPM!I3</f>
        <v>0.5388440218714422</v>
      </c>
      <c r="F12" s="96" t="s">
        <v>223</v>
      </c>
    </row>
    <row r="13" spans="1:9">
      <c r="A13" s="19" t="s">
        <v>224</v>
      </c>
      <c r="B13" s="23">
        <f>B10+B12*(B11-B10)</f>
        <v>7.9007997532667962E-2</v>
      </c>
      <c r="F13" s="93" t="s">
        <v>225</v>
      </c>
      <c r="G13" s="93">
        <f>G10/B27</f>
        <v>37171595.869283713</v>
      </c>
    </row>
    <row r="14" spans="1:9">
      <c r="B14" s="7"/>
      <c r="F14" s="93" t="s">
        <v>226</v>
      </c>
      <c r="G14" s="94">
        <f>G13-B16+G4</f>
        <v>33151887.869283713</v>
      </c>
    </row>
    <row r="15" spans="1:9">
      <c r="A15" s="18" t="s">
        <v>227</v>
      </c>
      <c r="B15" s="7"/>
      <c r="F15" s="93" t="s">
        <v>228</v>
      </c>
      <c r="G15" s="94">
        <f>G14/G1</f>
        <v>117.87757029328586</v>
      </c>
    </row>
    <row r="16" spans="1:9">
      <c r="A16" s="19" t="s">
        <v>100</v>
      </c>
      <c r="B16" s="53">
        <v>4333623</v>
      </c>
      <c r="C16" s="14">
        <v>45322</v>
      </c>
      <c r="D16" s="2"/>
    </row>
    <row r="17" spans="1:9">
      <c r="A17" s="19" t="s">
        <v>229</v>
      </c>
      <c r="B17" s="20">
        <v>172092</v>
      </c>
      <c r="G17" s="2"/>
    </row>
    <row r="18" spans="1:9">
      <c r="A18" s="19" t="s">
        <v>230</v>
      </c>
      <c r="B18" s="24">
        <f>B17/B16</f>
        <v>3.9710883941681131E-2</v>
      </c>
      <c r="E18" s="35"/>
    </row>
    <row r="19" spans="1:9">
      <c r="A19" s="19" t="s">
        <v>231</v>
      </c>
      <c r="B19" s="20">
        <v>1350879</v>
      </c>
      <c r="E19" s="35"/>
      <c r="F19" s="2"/>
    </row>
    <row r="20" spans="1:9">
      <c r="A20" s="19" t="s">
        <v>232</v>
      </c>
      <c r="B20" s="20">
        <v>1010460</v>
      </c>
      <c r="F20" s="2"/>
    </row>
    <row r="21" spans="1:9" ht="28.9">
      <c r="A21" s="19" t="s">
        <v>233</v>
      </c>
      <c r="B21" s="21">
        <f>(B19-B20)/B19</f>
        <v>0.25199814343105487</v>
      </c>
    </row>
    <row r="22" spans="1:9" ht="28.9">
      <c r="A22" s="19" t="s">
        <v>234</v>
      </c>
      <c r="B22" s="21">
        <f>(B17/B16)*(1-B21)</f>
        <v>2.9703814914371397E-2</v>
      </c>
    </row>
    <row r="23" spans="1:9">
      <c r="I23" t="s">
        <v>235</v>
      </c>
    </row>
    <row r="24" spans="1:9">
      <c r="A24" s="18" t="s">
        <v>236</v>
      </c>
      <c r="B24" s="5">
        <f>B22</f>
        <v>2.9703814914371397E-2</v>
      </c>
    </row>
    <row r="26" spans="1:9">
      <c r="A26" s="18" t="s">
        <v>237</v>
      </c>
    </row>
    <row r="27" spans="1:9">
      <c r="A27" s="19" t="s">
        <v>208</v>
      </c>
      <c r="B27" s="21">
        <f>B5*B24+B6*B13</f>
        <v>3.368674308209435E-2</v>
      </c>
    </row>
    <row r="28" spans="1:9">
      <c r="A28" s="33" t="s">
        <v>238</v>
      </c>
      <c r="B28" s="3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4"/>
  <sheetViews>
    <sheetView workbookViewId="0">
      <selection activeCell="I26" sqref="I26"/>
    </sheetView>
  </sheetViews>
  <sheetFormatPr defaultRowHeight="14.45"/>
  <cols>
    <col min="1" max="1" width="26.140625" bestFit="1" customWidth="1"/>
    <col min="2" max="5" width="13.85546875" bestFit="1" customWidth="1"/>
    <col min="6" max="6" width="16.42578125" bestFit="1" customWidth="1"/>
    <col min="7" max="7" width="14.5703125" bestFit="1" customWidth="1"/>
    <col min="8" max="8" width="16.42578125" bestFit="1" customWidth="1"/>
    <col min="9" max="9" width="14.85546875" bestFit="1" customWidth="1"/>
    <col min="10" max="10" width="19.85546875" bestFit="1" customWidth="1"/>
    <col min="11" max="11" width="15.85546875" bestFit="1" customWidth="1"/>
  </cols>
  <sheetData>
    <row r="1" spans="1:11">
      <c r="A1" t="s">
        <v>239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</row>
    <row r="2" spans="1:11">
      <c r="A2" t="s">
        <v>250</v>
      </c>
      <c r="B2" s="27">
        <v>4026259</v>
      </c>
      <c r="C2" s="27">
        <v>4330761</v>
      </c>
      <c r="D2" s="27">
        <v>5052741</v>
      </c>
      <c r="E2" s="27">
        <v>5867348</v>
      </c>
      <c r="F2" s="26">
        <f t="shared" ref="F2:K2" si="0">E2*(1+$E$15)</f>
        <v>6555856.9435166372</v>
      </c>
      <c r="G2" s="26">
        <f t="shared" si="0"/>
        <v>7325159.5548543064</v>
      </c>
      <c r="H2" s="26">
        <f t="shared" si="0"/>
        <v>8184736.635709838</v>
      </c>
      <c r="I2" s="26">
        <f t="shared" si="0"/>
        <v>9145181.5205222778</v>
      </c>
      <c r="J2" s="26">
        <f t="shared" si="0"/>
        <v>10218330.627574164</v>
      </c>
      <c r="K2" s="26">
        <f t="shared" si="0"/>
        <v>11417409.329722866</v>
      </c>
    </row>
    <row r="3" spans="1:11">
      <c r="A3" t="s">
        <v>13</v>
      </c>
      <c r="B3" s="27">
        <v>2261248</v>
      </c>
      <c r="C3" s="27">
        <v>2428536</v>
      </c>
      <c r="D3" s="27">
        <v>2854535</v>
      </c>
      <c r="E3" s="27">
        <v>3253907</v>
      </c>
      <c r="F3" s="26">
        <f t="shared" ref="F3:K3" si="1">E3*(1+$E$16)</f>
        <v>3623611.9095519581</v>
      </c>
      <c r="G3" s="26">
        <f t="shared" si="1"/>
        <v>4035322.236021739</v>
      </c>
      <c r="H3" s="26">
        <f t="shared" si="1"/>
        <v>4493810.5831937455</v>
      </c>
      <c r="I3" s="26">
        <f t="shared" si="1"/>
        <v>5004391.8122218885</v>
      </c>
      <c r="J3" s="26">
        <f t="shared" si="1"/>
        <v>5572984.6522446834</v>
      </c>
      <c r="K3" s="26">
        <f t="shared" si="1"/>
        <v>6206180.3111226326</v>
      </c>
    </row>
    <row r="4" spans="1:11">
      <c r="A4" s="1" t="s">
        <v>14</v>
      </c>
      <c r="B4" s="27">
        <v>1765011</v>
      </c>
      <c r="C4" s="27">
        <v>1902225</v>
      </c>
      <c r="D4" s="27">
        <v>2198206</v>
      </c>
      <c r="E4" s="27">
        <v>2613441</v>
      </c>
      <c r="F4" s="26">
        <f t="shared" ref="F4:K4" si="2">E4*(1+$E$17)</f>
        <v>2931988.4773706864</v>
      </c>
      <c r="G4" s="26">
        <f t="shared" si="2"/>
        <v>3289363.1160735888</v>
      </c>
      <c r="H4" s="26">
        <f t="shared" si="2"/>
        <v>3690297.4868060532</v>
      </c>
      <c r="I4" s="26">
        <f t="shared" si="2"/>
        <v>4140101.0045320904</v>
      </c>
      <c r="J4" s="26">
        <f t="shared" si="2"/>
        <v>4644730.2389603946</v>
      </c>
      <c r="K4" s="26">
        <f t="shared" si="2"/>
        <v>5210867.7950361501</v>
      </c>
    </row>
    <row r="5" spans="1:11">
      <c r="A5" s="1" t="s">
        <v>24</v>
      </c>
      <c r="B5" s="27">
        <v>841346</v>
      </c>
      <c r="C5" s="27">
        <v>951433</v>
      </c>
      <c r="D5" s="27">
        <v>1146102</v>
      </c>
      <c r="E5" s="27">
        <v>1420428</v>
      </c>
      <c r="F5" s="26">
        <f t="shared" ref="F5:K5" si="3">E5*(1+$E$18)</f>
        <v>1647075.6351681014</v>
      </c>
      <c r="G5" s="26">
        <f t="shared" si="3"/>
        <v>1909887.8281506733</v>
      </c>
      <c r="H5" s="26">
        <f t="shared" si="3"/>
        <v>2214635.1012871442</v>
      </c>
      <c r="I5" s="26">
        <f t="shared" si="3"/>
        <v>2568008.7382944408</v>
      </c>
      <c r="J5" s="26">
        <f t="shared" si="3"/>
        <v>2977767.7036383054</v>
      </c>
      <c r="K5" s="26">
        <f t="shared" si="3"/>
        <v>3452909.0047880784</v>
      </c>
    </row>
    <row r="6" spans="1:11">
      <c r="A6" t="s">
        <v>251</v>
      </c>
      <c r="B6" s="27">
        <v>269633</v>
      </c>
      <c r="C6" s="27">
        <v>297960</v>
      </c>
      <c r="D6" s="27">
        <v>331792</v>
      </c>
      <c r="E6" s="27">
        <v>365445</v>
      </c>
      <c r="F6" s="26">
        <f t="shared" ref="F6:K6" si="4">E6*(1+$E$19)</f>
        <v>400664.7660650597</v>
      </c>
      <c r="G6" s="26">
        <f t="shared" si="4"/>
        <v>439278.83748845657</v>
      </c>
      <c r="H6" s="26">
        <f t="shared" si="4"/>
        <v>481614.34048801824</v>
      </c>
      <c r="I6" s="26">
        <f t="shared" si="4"/>
        <v>528029.92807456618</v>
      </c>
      <c r="J6" s="26">
        <f t="shared" si="4"/>
        <v>578918.81844695192</v>
      </c>
      <c r="K6" s="26">
        <f t="shared" si="4"/>
        <v>634712.12621244998</v>
      </c>
    </row>
    <row r="7" spans="1:11">
      <c r="A7" t="s">
        <v>252</v>
      </c>
      <c r="B7" s="28"/>
      <c r="F7" s="27">
        <f t="shared" ref="F7:K7" si="5">F2*$B$21</f>
        <v>327792.84717583191</v>
      </c>
      <c r="G7" s="27">
        <f t="shared" si="5"/>
        <v>366257.97774271533</v>
      </c>
      <c r="H7" s="27">
        <f t="shared" si="5"/>
        <v>409236.8317854919</v>
      </c>
      <c r="I7" s="27">
        <f t="shared" si="5"/>
        <v>457259.07602611394</v>
      </c>
      <c r="J7" s="27">
        <f t="shared" si="5"/>
        <v>510916.53137870826</v>
      </c>
      <c r="K7" s="27">
        <f t="shared" si="5"/>
        <v>570870.4664861433</v>
      </c>
    </row>
    <row r="8" spans="1:11">
      <c r="A8" t="s">
        <v>253</v>
      </c>
      <c r="B8" s="5">
        <f>WACC!B21</f>
        <v>0.25199814343105487</v>
      </c>
    </row>
    <row r="9" spans="1:11">
      <c r="A9" s="42" t="s">
        <v>254</v>
      </c>
      <c r="B9" s="43"/>
      <c r="C9" s="44"/>
      <c r="D9" s="44"/>
      <c r="E9" s="44"/>
      <c r="F9" s="42">
        <v>2025</v>
      </c>
      <c r="G9" s="42">
        <v>2026</v>
      </c>
      <c r="H9" s="42">
        <v>2027</v>
      </c>
      <c r="I9" s="42">
        <v>2028</v>
      </c>
      <c r="J9" s="42">
        <v>2029</v>
      </c>
      <c r="K9" s="42">
        <v>2030</v>
      </c>
    </row>
    <row r="10" spans="1:11">
      <c r="A10" s="29" t="s">
        <v>255</v>
      </c>
      <c r="B10" s="34"/>
      <c r="C10" s="34"/>
      <c r="D10" s="34"/>
      <c r="E10" s="34"/>
      <c r="F10" s="34">
        <f t="shared" ref="F10:K10" si="6">(F5*(1-$B$8))+F6-F7</f>
        <v>1304887.5519044423</v>
      </c>
      <c r="G10" s="34">
        <f t="shared" si="6"/>
        <v>1501620.5010408754</v>
      </c>
      <c r="H10" s="34">
        <f t="shared" si="6"/>
        <v>1728928.6760880637</v>
      </c>
      <c r="I10" s="34">
        <f t="shared" si="6"/>
        <v>1991646.1559779684</v>
      </c>
      <c r="J10" s="34">
        <f t="shared" si="6"/>
        <v>2295378.0578207406</v>
      </c>
      <c r="K10" s="34">
        <f t="shared" si="6"/>
        <v>2646624.0058714175</v>
      </c>
    </row>
    <row r="11" spans="1:11">
      <c r="B11" s="34"/>
      <c r="C11" s="34"/>
      <c r="D11" s="34"/>
      <c r="E11" s="34"/>
      <c r="F11" s="34"/>
      <c r="G11" s="34"/>
      <c r="H11" s="34"/>
      <c r="I11" s="34"/>
      <c r="J11" s="38" t="s">
        <v>256</v>
      </c>
      <c r="K11" s="38">
        <f>K10/(B23-B22)</f>
        <v>304673912.97974521</v>
      </c>
    </row>
    <row r="12" spans="1:11">
      <c r="A12" s="29" t="s">
        <v>257</v>
      </c>
      <c r="B12" s="34"/>
      <c r="C12" s="34"/>
      <c r="D12" s="34"/>
      <c r="E12" s="34"/>
      <c r="F12" s="34">
        <f>SUM(F10:F11)/(1+$B$23)^1</f>
        <v>1262362.6651278522</v>
      </c>
      <c r="G12" s="34">
        <f>SUM(G10:G11)/(1+$B$23)^1</f>
        <v>1452684.2983044991</v>
      </c>
      <c r="H12" s="34">
        <f t="shared" ref="H12:K12" si="7">SUM(H10:H11)/(1+$B$23)^1</f>
        <v>1672584.7435490945</v>
      </c>
      <c r="I12" s="34">
        <f t="shared" si="7"/>
        <v>1926740.5423422304</v>
      </c>
      <c r="J12" s="34">
        <f t="shared" si="7"/>
        <v>2220574.1470348369</v>
      </c>
      <c r="K12" s="34">
        <f t="shared" si="7"/>
        <v>297305290.06233907</v>
      </c>
    </row>
    <row r="13" spans="1:11">
      <c r="B13" s="5"/>
      <c r="J13" s="36" t="s">
        <v>258</v>
      </c>
      <c r="K13" s="37">
        <f>SUM(F12:K12)</f>
        <v>305840236.45869756</v>
      </c>
    </row>
    <row r="14" spans="1:11">
      <c r="A14" s="16"/>
      <c r="B14" s="32" t="s">
        <v>259</v>
      </c>
      <c r="C14" s="16"/>
      <c r="D14" s="16"/>
      <c r="E14" s="32" t="s">
        <v>260</v>
      </c>
      <c r="F14" s="47" t="s">
        <v>261</v>
      </c>
      <c r="G14" s="39"/>
      <c r="H14" s="47" t="s">
        <v>210</v>
      </c>
      <c r="I14" s="39"/>
      <c r="J14" s="34" t="s">
        <v>262</v>
      </c>
      <c r="K14" s="34">
        <v>109.75</v>
      </c>
    </row>
    <row r="15" spans="1:11">
      <c r="A15" s="16" t="s">
        <v>250</v>
      </c>
      <c r="B15" s="17">
        <f t="shared" ref="B15:D19" si="8">(C2-B2)/C2</f>
        <v>7.031143025440563E-2</v>
      </c>
      <c r="C15" s="17">
        <f t="shared" si="8"/>
        <v>0.14288878056484589</v>
      </c>
      <c r="D15" s="17">
        <f t="shared" si="8"/>
        <v>0.13883734184507207</v>
      </c>
      <c r="E15" s="45">
        <f>AVERAGE(B15:D15)</f>
        <v>0.11734585088810785</v>
      </c>
      <c r="F15" s="39" t="s">
        <v>263</v>
      </c>
      <c r="G15" s="46">
        <f>NPV(B23,F12:K12)</f>
        <v>251371798.59923738</v>
      </c>
      <c r="H15" s="39" t="s">
        <v>264</v>
      </c>
      <c r="I15" s="39">
        <f>K14*B24</f>
        <v>30866090</v>
      </c>
      <c r="J15" s="34" t="s">
        <v>265</v>
      </c>
      <c r="K15" s="34">
        <f>G20-I20</f>
        <v>769.75537121048706</v>
      </c>
    </row>
    <row r="16" spans="1:11">
      <c r="A16" s="16" t="s">
        <v>13</v>
      </c>
      <c r="B16" s="17">
        <f t="shared" si="8"/>
        <v>6.8884299018009201E-2</v>
      </c>
      <c r="C16" s="17">
        <f t="shared" si="8"/>
        <v>0.14923586503581143</v>
      </c>
      <c r="D16" s="17">
        <f t="shared" si="8"/>
        <v>0.12273614457942406</v>
      </c>
      <c r="E16" s="45">
        <f t="shared" ref="E16:E19" si="9">AVERAGE(B16:D16)</f>
        <v>0.1136187695444149</v>
      </c>
      <c r="F16" s="39" t="s">
        <v>266</v>
      </c>
      <c r="G16" s="40">
        <f>+B20</f>
        <v>313915</v>
      </c>
      <c r="H16" s="39" t="s">
        <v>267</v>
      </c>
      <c r="I16" s="39">
        <f>+WACC!B16</f>
        <v>4333623</v>
      </c>
    </row>
    <row r="17" spans="1:9">
      <c r="A17" s="16" t="s">
        <v>14</v>
      </c>
      <c r="B17" s="17">
        <f t="shared" si="8"/>
        <v>7.2133422702361713E-2</v>
      </c>
      <c r="C17" s="17">
        <f t="shared" si="8"/>
        <v>0.13464661637717301</v>
      </c>
      <c r="D17" s="17">
        <f t="shared" si="8"/>
        <v>0.15888439800248025</v>
      </c>
      <c r="E17" s="45">
        <f t="shared" si="9"/>
        <v>0.12188814569400501</v>
      </c>
      <c r="F17" s="39" t="s">
        <v>268</v>
      </c>
      <c r="G17" s="39">
        <f>+WACC!B16</f>
        <v>4333623</v>
      </c>
      <c r="H17" s="39" t="s">
        <v>269</v>
      </c>
      <c r="I17" s="40">
        <f>+B20</f>
        <v>313915</v>
      </c>
    </row>
    <row r="18" spans="1:9">
      <c r="A18" s="16" t="s">
        <v>24</v>
      </c>
      <c r="B18" s="17">
        <f t="shared" si="8"/>
        <v>0.11570651848317222</v>
      </c>
      <c r="C18" s="17">
        <f t="shared" si="8"/>
        <v>0.16985311953037338</v>
      </c>
      <c r="D18" s="17">
        <f t="shared" si="8"/>
        <v>0.19312911319686743</v>
      </c>
      <c r="E18" s="45">
        <f t="shared" si="9"/>
        <v>0.15956291707013767</v>
      </c>
      <c r="F18" s="39" t="s">
        <v>270</v>
      </c>
      <c r="G18" s="41">
        <f>G15+G16-G17</f>
        <v>247352090.59923738</v>
      </c>
      <c r="H18" s="39" t="s">
        <v>271</v>
      </c>
      <c r="I18" s="40">
        <f>I15+I16-I17</f>
        <v>34885798</v>
      </c>
    </row>
    <row r="19" spans="1:9">
      <c r="A19" s="16" t="s">
        <v>251</v>
      </c>
      <c r="B19" s="17">
        <f t="shared" si="8"/>
        <v>9.5069808027923211E-2</v>
      </c>
      <c r="C19" s="17">
        <f t="shared" si="8"/>
        <v>0.1019674977094083</v>
      </c>
      <c r="D19" s="17">
        <f t="shared" si="8"/>
        <v>9.2087728659579413E-2</v>
      </c>
      <c r="E19" s="45">
        <f t="shared" si="9"/>
        <v>9.6375011465636984E-2</v>
      </c>
      <c r="F19" s="39"/>
      <c r="G19" s="39"/>
      <c r="H19" s="39"/>
      <c r="I19" s="39"/>
    </row>
    <row r="20" spans="1:9">
      <c r="A20" s="16" t="s">
        <v>214</v>
      </c>
      <c r="B20" s="34">
        <v>313915</v>
      </c>
      <c r="F20" s="39" t="s">
        <v>272</v>
      </c>
      <c r="G20" s="41">
        <f>G18/B24</f>
        <v>879.50537121048706</v>
      </c>
      <c r="H20" s="39" t="s">
        <v>272</v>
      </c>
      <c r="I20" s="40">
        <f>109.75</f>
        <v>109.75</v>
      </c>
    </row>
    <row r="21" spans="1:9">
      <c r="A21" s="29" t="s">
        <v>252</v>
      </c>
      <c r="B21" s="30">
        <v>0.05</v>
      </c>
    </row>
    <row r="22" spans="1:9">
      <c r="A22" s="29" t="s">
        <v>273</v>
      </c>
      <c r="B22" s="30">
        <v>2.5000000000000001E-2</v>
      </c>
    </row>
    <row r="23" spans="1:9">
      <c r="A23" s="29" t="s">
        <v>274</v>
      </c>
      <c r="B23" s="30">
        <f>WACC!B27</f>
        <v>3.368674308209435E-2</v>
      </c>
    </row>
    <row r="24" spans="1:9">
      <c r="A24" s="29" t="s">
        <v>209</v>
      </c>
      <c r="B24" s="31">
        <v>281240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4"/>
  <sheetViews>
    <sheetView tabSelected="1" topLeftCell="A19" zoomScale="76" workbookViewId="0">
      <selection activeCell="F28" sqref="F28"/>
    </sheetView>
  </sheetViews>
  <sheetFormatPr defaultRowHeight="14.45"/>
  <cols>
    <col min="1" max="1" width="39.140625" customWidth="1"/>
    <col min="2" max="2" width="17" bestFit="1" customWidth="1"/>
    <col min="3" max="3" width="25.85546875" bestFit="1" customWidth="1"/>
    <col min="4" max="4" width="30.28515625" bestFit="1" customWidth="1"/>
    <col min="5" max="5" width="23.85546875" bestFit="1" customWidth="1"/>
    <col min="6" max="6" width="14.7109375" bestFit="1" customWidth="1"/>
    <col min="7" max="7" width="27.42578125" bestFit="1" customWidth="1"/>
    <col min="8" max="8" width="51.85546875" bestFit="1" customWidth="1"/>
    <col min="9" max="9" width="20" bestFit="1" customWidth="1"/>
  </cols>
  <sheetData>
    <row r="1" spans="1:9" ht="28.9">
      <c r="A1" s="118"/>
      <c r="B1" s="119"/>
      <c r="C1" s="119"/>
      <c r="H1" s="54" t="s">
        <v>275</v>
      </c>
    </row>
    <row r="2" spans="1:9" ht="18">
      <c r="A2" s="120"/>
      <c r="B2" s="120"/>
      <c r="C2" s="120"/>
      <c r="G2" s="55"/>
      <c r="H2" s="56" t="s">
        <v>276</v>
      </c>
      <c r="I2" s="56" t="s">
        <v>277</v>
      </c>
    </row>
    <row r="3" spans="1:9" ht="54.95" customHeight="1">
      <c r="A3" s="121" t="s">
        <v>278</v>
      </c>
      <c r="B3" s="121"/>
      <c r="C3" s="121"/>
      <c r="D3" t="s">
        <v>104</v>
      </c>
      <c r="G3" s="57" t="s">
        <v>279</v>
      </c>
      <c r="H3" s="57" t="s">
        <v>276</v>
      </c>
      <c r="I3" s="59"/>
    </row>
    <row r="4" spans="1:9" ht="18">
      <c r="A4" s="58" t="s">
        <v>250</v>
      </c>
      <c r="B4" s="84"/>
      <c r="C4" s="85">
        <v>5867348</v>
      </c>
      <c r="G4" s="59" t="s">
        <v>280</v>
      </c>
      <c r="H4" s="59" t="s">
        <v>281</v>
      </c>
      <c r="I4" s="77">
        <f>B36/D35</f>
        <v>1.9312542966986601</v>
      </c>
    </row>
    <row r="5" spans="1:9" ht="18">
      <c r="A5" s="58" t="s">
        <v>282</v>
      </c>
      <c r="B5" s="84"/>
      <c r="C5" s="86">
        <v>3253907</v>
      </c>
      <c r="G5" s="59" t="s">
        <v>283</v>
      </c>
      <c r="H5" s="59" t="s">
        <v>284</v>
      </c>
      <c r="I5" s="77">
        <f>(B36-B31)/D35</f>
        <v>0.57871699471561389</v>
      </c>
    </row>
    <row r="6" spans="1:9" ht="18">
      <c r="A6" s="58" t="s">
        <v>14</v>
      </c>
      <c r="B6" s="84"/>
      <c r="C6" s="86">
        <v>2613441</v>
      </c>
      <c r="G6" s="59" t="s">
        <v>285</v>
      </c>
      <c r="H6" s="90" t="s">
        <v>286</v>
      </c>
      <c r="I6" s="77">
        <f>B35/D35</f>
        <v>0.46310666434558884</v>
      </c>
    </row>
    <row r="7" spans="1:9" ht="18">
      <c r="A7" s="58" t="s">
        <v>287</v>
      </c>
      <c r="B7" s="84"/>
      <c r="C7" s="84"/>
      <c r="G7" s="59" t="s">
        <v>288</v>
      </c>
      <c r="H7" s="59" t="s">
        <v>289</v>
      </c>
      <c r="I7" s="78">
        <f>D36/D28</f>
        <v>11.378878187623409</v>
      </c>
    </row>
    <row r="8" spans="1:9" ht="59.45" customHeight="1">
      <c r="A8" s="60" t="s">
        <v>290</v>
      </c>
      <c r="B8" s="84"/>
      <c r="C8" s="84"/>
      <c r="G8" s="59" t="s">
        <v>291</v>
      </c>
      <c r="H8" s="59" t="s">
        <v>292</v>
      </c>
      <c r="I8" s="79">
        <f>C14/C4</f>
        <v>0.24209029360453821</v>
      </c>
    </row>
    <row r="9" spans="1:9" ht="55.5" customHeight="1">
      <c r="A9" s="60" t="s">
        <v>293</v>
      </c>
      <c r="B9" s="84"/>
      <c r="C9" s="84"/>
      <c r="G9" s="61" t="s">
        <v>294</v>
      </c>
      <c r="H9" s="62" t="s">
        <v>295</v>
      </c>
      <c r="I9" s="78">
        <f>C6/C4</f>
        <v>0.44542116813251914</v>
      </c>
    </row>
    <row r="10" spans="1:9" ht="54">
      <c r="A10" s="60" t="s">
        <v>21</v>
      </c>
      <c r="B10" s="86">
        <v>348142</v>
      </c>
      <c r="C10" s="84"/>
      <c r="G10" s="59" t="s">
        <v>296</v>
      </c>
      <c r="H10" s="62" t="s">
        <v>297</v>
      </c>
      <c r="I10" s="79">
        <f>C17/C4</f>
        <v>0.1722174992858784</v>
      </c>
    </row>
    <row r="11" spans="1:9" ht="18">
      <c r="A11" s="60" t="s">
        <v>298</v>
      </c>
      <c r="B11" s="87">
        <v>844871</v>
      </c>
      <c r="C11" s="84"/>
      <c r="G11" s="59" t="s">
        <v>299</v>
      </c>
      <c r="H11" s="62" t="s">
        <v>300</v>
      </c>
      <c r="I11" s="79">
        <f>C17/C21</f>
        <v>3.6247865578051686</v>
      </c>
    </row>
    <row r="12" spans="1:9" ht="18">
      <c r="A12" s="63" t="s">
        <v>45</v>
      </c>
      <c r="B12" s="87">
        <v>4446920</v>
      </c>
      <c r="C12" s="84"/>
      <c r="G12" s="59" t="s">
        <v>301</v>
      </c>
      <c r="H12" s="59" t="s">
        <v>302</v>
      </c>
      <c r="I12" s="79">
        <f>C17/B37</f>
        <v>0.1919710191129391</v>
      </c>
    </row>
    <row r="13" spans="1:9" ht="18">
      <c r="A13" s="64" t="s">
        <v>303</v>
      </c>
      <c r="B13" s="84"/>
      <c r="C13" s="88">
        <v>109458</v>
      </c>
      <c r="G13" s="59" t="s">
        <v>304</v>
      </c>
      <c r="H13" s="59" t="s">
        <v>305</v>
      </c>
      <c r="I13" s="79">
        <f>(C20/C17)</f>
        <v>7.5342913128674069E-2</v>
      </c>
    </row>
    <row r="14" spans="1:9" ht="18.75">
      <c r="A14" s="112" t="s">
        <v>24</v>
      </c>
      <c r="B14" s="84"/>
      <c r="C14" s="113">
        <v>1420428</v>
      </c>
      <c r="F14" s="91"/>
      <c r="G14" s="59" t="s">
        <v>306</v>
      </c>
      <c r="H14" s="59" t="s">
        <v>307</v>
      </c>
      <c r="I14" s="78">
        <f>C17/D28</f>
        <v>2.6531844725454774</v>
      </c>
    </row>
    <row r="15" spans="1:9" ht="18">
      <c r="A15" s="58" t="s">
        <v>308</v>
      </c>
      <c r="B15" s="84"/>
      <c r="C15" s="88">
        <v>1350879</v>
      </c>
      <c r="G15" s="59" t="s">
        <v>309</v>
      </c>
      <c r="H15" s="59" t="s">
        <v>310</v>
      </c>
      <c r="I15" s="80">
        <f>(C17-0.0708)/C18</f>
        <v>3.6248253134405459</v>
      </c>
    </row>
    <row r="16" spans="1:9" ht="18">
      <c r="A16" s="58" t="s">
        <v>311</v>
      </c>
      <c r="B16" s="84"/>
      <c r="C16" s="88">
        <v>340419</v>
      </c>
      <c r="G16" s="59" t="s">
        <v>312</v>
      </c>
      <c r="H16" s="59" t="s">
        <v>313</v>
      </c>
      <c r="I16" s="77">
        <f>C19/I15</f>
        <v>30.911834450208694</v>
      </c>
    </row>
    <row r="17" spans="1:9" ht="15.6">
      <c r="A17" s="58" t="s">
        <v>314</v>
      </c>
      <c r="B17" s="84"/>
      <c r="C17" s="88">
        <v>1010460</v>
      </c>
    </row>
    <row r="18" spans="1:9" ht="18">
      <c r="A18" s="58" t="s">
        <v>315</v>
      </c>
      <c r="B18" s="86"/>
      <c r="C18" s="89">
        <v>278761</v>
      </c>
      <c r="E18" t="s">
        <v>316</v>
      </c>
      <c r="G18" s="90" t="s">
        <v>317</v>
      </c>
      <c r="H18" s="90" t="s">
        <v>318</v>
      </c>
      <c r="I18" s="92">
        <f>I14*(1-I13)</f>
        <v>2.4532858253161365</v>
      </c>
    </row>
    <row r="19" spans="1:9" ht="15.6">
      <c r="A19" s="58" t="s">
        <v>319</v>
      </c>
      <c r="B19" s="86"/>
      <c r="C19" s="85">
        <v>112.05</v>
      </c>
    </row>
    <row r="20" spans="1:9" ht="15.6">
      <c r="A20" s="58" t="s">
        <v>320</v>
      </c>
      <c r="B20" s="86"/>
      <c r="C20" s="87">
        <v>76131</v>
      </c>
    </row>
    <row r="21" spans="1:9" ht="15.6">
      <c r="A21" s="58" t="s">
        <v>321</v>
      </c>
      <c r="B21" s="86"/>
      <c r="C21" s="87">
        <v>278764</v>
      </c>
    </row>
    <row r="24" spans="1:9" ht="65.099999999999994" customHeight="1">
      <c r="A24" s="121" t="s">
        <v>322</v>
      </c>
      <c r="B24" s="121"/>
      <c r="C24" s="121"/>
      <c r="D24" s="121"/>
      <c r="E24" s="66"/>
    </row>
    <row r="25" spans="1:9" ht="15.6">
      <c r="A25" s="67" t="s">
        <v>323</v>
      </c>
      <c r="B25" s="81"/>
      <c r="C25" s="67" t="s">
        <v>226</v>
      </c>
      <c r="D25" s="1"/>
    </row>
    <row r="26" spans="1:9" ht="15.6">
      <c r="A26" s="60" t="s">
        <v>324</v>
      </c>
      <c r="B26" s="88">
        <v>950994</v>
      </c>
      <c r="C26" s="58" t="s">
        <v>325</v>
      </c>
      <c r="D26" s="82">
        <v>278761</v>
      </c>
      <c r="E26" s="68" t="s">
        <v>326</v>
      </c>
      <c r="F26" s="68">
        <v>39268</v>
      </c>
      <c r="H26" t="s">
        <v>104</v>
      </c>
    </row>
    <row r="27" spans="1:9" ht="15.6">
      <c r="A27" s="60" t="s">
        <v>327</v>
      </c>
      <c r="B27" s="86">
        <v>365445</v>
      </c>
      <c r="C27" s="58" t="s">
        <v>328</v>
      </c>
      <c r="D27" s="87">
        <v>-226547</v>
      </c>
      <c r="E27" s="69" t="s">
        <v>329</v>
      </c>
      <c r="F27" s="2">
        <f>D26-F26</f>
        <v>239493</v>
      </c>
    </row>
    <row r="28" spans="1:9" ht="15.6">
      <c r="A28" s="65" t="s">
        <v>330</v>
      </c>
      <c r="B28" s="85">
        <v>3954514</v>
      </c>
      <c r="C28" s="58" t="s">
        <v>213</v>
      </c>
      <c r="D28" s="88">
        <v>380848</v>
      </c>
      <c r="E28" t="s">
        <v>331</v>
      </c>
      <c r="F28" s="114">
        <v>4204913</v>
      </c>
    </row>
    <row r="29" spans="1:9" ht="15.6">
      <c r="A29" s="58"/>
      <c r="B29" s="85"/>
      <c r="C29" s="58" t="s">
        <v>332</v>
      </c>
      <c r="D29" s="88">
        <v>2264394</v>
      </c>
      <c r="E29" s="70"/>
    </row>
    <row r="30" spans="1:9" ht="15.6">
      <c r="A30" s="63" t="s">
        <v>333</v>
      </c>
      <c r="B30" s="85"/>
      <c r="C30" s="63" t="s">
        <v>62</v>
      </c>
      <c r="D30" s="71"/>
      <c r="E30" s="72"/>
    </row>
    <row r="31" spans="1:9" ht="15.6">
      <c r="A31" s="60" t="s">
        <v>334</v>
      </c>
      <c r="B31" s="88">
        <v>916812</v>
      </c>
      <c r="C31" s="60" t="s">
        <v>335</v>
      </c>
      <c r="D31" s="88">
        <v>334357</v>
      </c>
      <c r="E31" s="70"/>
    </row>
    <row r="32" spans="1:9" ht="15.6">
      <c r="A32" s="60" t="s">
        <v>336</v>
      </c>
      <c r="B32" s="88">
        <v>32474</v>
      </c>
      <c r="C32" s="60" t="s">
        <v>337</v>
      </c>
      <c r="D32" s="88">
        <v>19827</v>
      </c>
      <c r="E32" s="70"/>
    </row>
    <row r="33" spans="1:8" ht="15.6">
      <c r="A33" s="60" t="s">
        <v>338</v>
      </c>
      <c r="B33" s="88">
        <v>13668</v>
      </c>
      <c r="C33" s="60" t="s">
        <v>339</v>
      </c>
      <c r="D33" s="73" t="s">
        <v>340</v>
      </c>
      <c r="E33" s="74"/>
    </row>
    <row r="34" spans="1:8" ht="15.6">
      <c r="A34" s="60" t="s">
        <v>341</v>
      </c>
      <c r="B34" s="75" t="s">
        <v>342</v>
      </c>
      <c r="C34" s="60" t="s">
        <v>343</v>
      </c>
      <c r="D34" s="88">
        <v>63998</v>
      </c>
      <c r="E34" s="70"/>
    </row>
    <row r="35" spans="1:8" ht="15.6">
      <c r="A35" s="60" t="s">
        <v>344</v>
      </c>
      <c r="B35" s="88">
        <v>313915</v>
      </c>
      <c r="C35" s="63" t="s">
        <v>345</v>
      </c>
      <c r="D35" s="88">
        <v>677846</v>
      </c>
      <c r="E35" s="70"/>
    </row>
    <row r="36" spans="1:8" ht="15.6">
      <c r="A36" s="63" t="s">
        <v>346</v>
      </c>
      <c r="B36" s="88">
        <v>1309093</v>
      </c>
      <c r="C36" s="63" t="s">
        <v>347</v>
      </c>
      <c r="D36" s="86">
        <v>4333623</v>
      </c>
      <c r="E36" s="76"/>
    </row>
    <row r="37" spans="1:8" ht="15.6">
      <c r="A37" s="63" t="s">
        <v>348</v>
      </c>
      <c r="B37" s="88">
        <v>5263607</v>
      </c>
      <c r="C37" s="63" t="s">
        <v>349</v>
      </c>
      <c r="D37" s="88">
        <v>5263607</v>
      </c>
      <c r="E37" s="70"/>
    </row>
    <row r="38" spans="1:8">
      <c r="G38" s="2"/>
    </row>
    <row r="42" spans="1:8">
      <c r="G42" t="s">
        <v>104</v>
      </c>
    </row>
    <row r="44" spans="1:8">
      <c r="H44" t="s">
        <v>104</v>
      </c>
    </row>
  </sheetData>
  <mergeCells count="3">
    <mergeCell ref="A1:C2"/>
    <mergeCell ref="A3:C3"/>
    <mergeCell ref="A24:D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Abigail Dsilva</dc:creator>
  <cp:keywords/>
  <dc:description/>
  <cp:lastModifiedBy/>
  <cp:revision/>
  <dcterms:created xsi:type="dcterms:W3CDTF">2024-03-27T19:39:59Z</dcterms:created>
  <dcterms:modified xsi:type="dcterms:W3CDTF">2024-04-16T02:26:59Z</dcterms:modified>
  <cp:category/>
  <cp:contentStatus/>
</cp:coreProperties>
</file>