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Fundamentals for Data Analysis\C1W5-Workbooks\"/>
    </mc:Choice>
  </mc:AlternateContent>
  <xr:revisionPtr revIDLastSave="0" documentId="13_ncr:1_{9B79D096-7DF7-4CB4-A9AE-C5FD36A98575}" xr6:coauthVersionLast="47" xr6:coauthVersionMax="47" xr10:uidLastSave="{00000000-0000-0000-0000-000000000000}"/>
  <bookViews>
    <workbookView xWindow="-108" yWindow="-108" windowWidth="22080" windowHeight="13176" xr2:uid="{EC2FC403-3BD3-48C3-93CE-3A4A505B5772}"/>
  </bookViews>
  <sheets>
    <sheet name="Supplier Invoice Statement" sheetId="2" r:id="rId1"/>
    <sheet name="MC Invoice Report" sheetId="1" r:id="rId2"/>
    <sheet name="Recon Analysis" sheetId="4" r:id="rId3"/>
    <sheet name="NSW Holidays 2020" sheetId="5" r:id="rId4"/>
  </sheets>
  <definedNames>
    <definedName name="_xlnm._FilterDatabase" localSheetId="0" hidden="1">'Supplier Invoice Statement'!$A$1:$H$86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L1" i="2"/>
  <c r="H18" i="2"/>
  <c r="H19" i="2"/>
  <c r="H67" i="2"/>
  <c r="H74" i="2"/>
  <c r="H81" i="2"/>
  <c r="H55" i="2"/>
  <c r="H76" i="2"/>
  <c r="H44" i="2"/>
  <c r="H25" i="2"/>
  <c r="H20" i="2"/>
  <c r="H4" i="2"/>
  <c r="H34" i="2"/>
  <c r="H45" i="2"/>
  <c r="H56" i="2"/>
  <c r="H66" i="2"/>
  <c r="H78" i="2"/>
  <c r="H62" i="2"/>
  <c r="H53" i="2"/>
  <c r="H33" i="2"/>
  <c r="H6" i="2"/>
  <c r="H24" i="2"/>
  <c r="H52" i="2"/>
  <c r="H31" i="2"/>
  <c r="H22" i="2"/>
  <c r="H40" i="2"/>
  <c r="H21" i="2"/>
  <c r="H10" i="2"/>
  <c r="H72" i="2"/>
  <c r="H77" i="2"/>
  <c r="H71" i="2"/>
  <c r="H41" i="2"/>
  <c r="H11" i="2"/>
  <c r="H37" i="2"/>
  <c r="H75" i="2"/>
  <c r="H27" i="2"/>
  <c r="H79" i="2"/>
  <c r="H83" i="2"/>
  <c r="H63" i="2"/>
  <c r="H29" i="2"/>
  <c r="H15" i="2"/>
  <c r="H51" i="2"/>
  <c r="H46" i="2"/>
  <c r="H86" i="2"/>
  <c r="H13" i="2"/>
  <c r="H80" i="2"/>
  <c r="H28" i="2"/>
  <c r="H73" i="2"/>
  <c r="H68" i="2"/>
  <c r="H14" i="2"/>
  <c r="H8" i="2"/>
  <c r="H60" i="2"/>
  <c r="H35" i="2"/>
  <c r="H16" i="2"/>
  <c r="H30" i="2"/>
  <c r="H49" i="2"/>
  <c r="H17" i="2"/>
  <c r="H57" i="2"/>
  <c r="H43" i="2"/>
  <c r="H54" i="2"/>
  <c r="H48" i="2"/>
  <c r="H38" i="2"/>
  <c r="H9" i="2"/>
  <c r="H70" i="2"/>
  <c r="H2" i="2"/>
  <c r="H85" i="2"/>
  <c r="H58" i="2"/>
  <c r="H61" i="2"/>
  <c r="H59" i="2"/>
  <c r="H50" i="2"/>
  <c r="H69" i="2"/>
  <c r="H36" i="2"/>
  <c r="H32" i="2"/>
  <c r="H23" i="2"/>
  <c r="H12" i="2"/>
  <c r="H26" i="2"/>
  <c r="H64" i="2"/>
  <c r="H47" i="2"/>
  <c r="H84" i="2"/>
  <c r="H42" i="2"/>
  <c r="H7" i="2"/>
  <c r="H39" i="2"/>
  <c r="H3" i="2"/>
  <c r="H65" i="2"/>
  <c r="H82" i="2"/>
  <c r="H5" i="2"/>
  <c r="B3" i="4" l="1"/>
  <c r="L2" i="2"/>
  <c r="C9" i="4" l="1"/>
  <c r="C8" i="4"/>
  <c r="B9" i="4"/>
  <c r="B8" i="4"/>
  <c r="B10" i="4" s="1"/>
  <c r="B4" i="4"/>
  <c r="F69" i="1" l="1"/>
  <c r="F76" i="1"/>
  <c r="F83" i="1"/>
  <c r="F57" i="1"/>
  <c r="F78" i="1"/>
  <c r="F46" i="1"/>
  <c r="F27" i="1"/>
  <c r="F22" i="1"/>
  <c r="F7" i="1"/>
  <c r="F36" i="1"/>
  <c r="F47" i="1"/>
  <c r="F58" i="1"/>
  <c r="F68" i="1"/>
  <c r="F80" i="1"/>
  <c r="F64" i="1"/>
  <c r="F55" i="1"/>
  <c r="F35" i="1"/>
  <c r="F9" i="1"/>
  <c r="F26" i="1"/>
  <c r="F54" i="1"/>
  <c r="F33" i="1"/>
  <c r="F24" i="1"/>
  <c r="F42" i="1"/>
  <c r="F23" i="1"/>
  <c r="F13" i="1"/>
  <c r="F74" i="1"/>
  <c r="F79" i="1"/>
  <c r="F73" i="1"/>
  <c r="F43" i="1"/>
  <c r="F14" i="1"/>
  <c r="F39" i="1"/>
  <c r="F77" i="1"/>
  <c r="F29" i="1"/>
  <c r="F81" i="1"/>
  <c r="F85" i="1"/>
  <c r="F65" i="1"/>
  <c r="F31" i="1"/>
  <c r="F18" i="1"/>
  <c r="F53" i="1"/>
  <c r="F48" i="1"/>
  <c r="F88" i="1"/>
  <c r="F16" i="1"/>
  <c r="F82" i="1"/>
  <c r="F30" i="1"/>
  <c r="F75" i="1"/>
  <c r="F70" i="1"/>
  <c r="F17" i="1"/>
  <c r="F11" i="1"/>
  <c r="F62" i="1"/>
  <c r="F37" i="1"/>
  <c r="F19" i="1"/>
  <c r="F32" i="1"/>
  <c r="F51" i="1"/>
  <c r="F20" i="1"/>
  <c r="F59" i="1"/>
  <c r="F45" i="1"/>
  <c r="F56" i="1"/>
  <c r="F50" i="1"/>
  <c r="F40" i="1"/>
  <c r="F12" i="1"/>
  <c r="F72" i="1"/>
  <c r="F5" i="1"/>
  <c r="F87" i="1"/>
  <c r="F60" i="1"/>
  <c r="F63" i="1"/>
  <c r="F61" i="1"/>
  <c r="F52" i="1"/>
  <c r="F71" i="1"/>
  <c r="F38" i="1"/>
  <c r="F34" i="1"/>
  <c r="F25" i="1"/>
  <c r="F15" i="1"/>
  <c r="F28" i="1"/>
  <c r="F66" i="1"/>
  <c r="F49" i="1"/>
  <c r="F86" i="1"/>
  <c r="F44" i="1"/>
  <c r="F10" i="1"/>
  <c r="F41" i="1"/>
  <c r="F6" i="1"/>
  <c r="F67" i="1"/>
  <c r="F84" i="1"/>
  <c r="F8" i="1"/>
  <c r="F21" i="1"/>
  <c r="B5" i="5" l="1"/>
  <c r="B6" i="5"/>
  <c r="B7" i="5"/>
  <c r="B8" i="5"/>
  <c r="B9" i="5"/>
  <c r="B10" i="5"/>
  <c r="B11" i="5"/>
  <c r="B12" i="5"/>
  <c r="B13" i="5"/>
  <c r="B14" i="5"/>
  <c r="B15" i="5"/>
  <c r="B4" i="5"/>
  <c r="D9" i="4" l="1"/>
  <c r="B2" i="1"/>
  <c r="D8" i="4" l="1"/>
  <c r="E9" i="4"/>
  <c r="E8" i="4"/>
  <c r="E10" i="4" s="1"/>
  <c r="B5" i="4" l="1"/>
  <c r="D21" i="1" l="1"/>
</calcChain>
</file>

<file path=xl/sharedStrings.xml><?xml version="1.0" encoding="utf-8"?>
<sst xmlns="http://schemas.openxmlformats.org/spreadsheetml/2006/main" count="493" uniqueCount="242">
  <si>
    <t>Invoice Date</t>
  </si>
  <si>
    <t>Due Date</t>
  </si>
  <si>
    <t>Payment Date</t>
  </si>
  <si>
    <t>Document No</t>
  </si>
  <si>
    <t>Customer PO</t>
  </si>
  <si>
    <t>Payment No.</t>
  </si>
  <si>
    <t>Acct</t>
  </si>
  <si>
    <t>Location</t>
  </si>
  <si>
    <t>Bank Details</t>
  </si>
  <si>
    <t>ABN</t>
  </si>
  <si>
    <t>PO Number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</si>
  <si>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</si>
  <si>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</si>
  <si>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</si>
  <si>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</si>
  <si>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</si>
  <si>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</si>
  <si>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</si>
  <si>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</si>
  <si>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</si>
  <si>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</si>
  <si>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</si>
  <si>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</si>
  <si>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</si>
  <si>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</si>
  <si>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</si>
  <si>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</si>
  <si>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</si>
  <si>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</si>
  <si>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</si>
  <si>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24673_1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</si>
  <si>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</si>
  <si>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</si>
  <si>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</si>
  <si>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</si>
  <si>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</si>
  <si>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</si>
  <si>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</si>
  <si>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</si>
  <si>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</si>
  <si>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</si>
  <si>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</si>
  <si>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</si>
  <si>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</si>
  <si>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</si>
  <si>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</si>
  <si>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</si>
  <si>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</si>
  <si>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</si>
  <si>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</si>
  <si>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</si>
  <si>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</si>
  <si>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</si>
  <si>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</si>
  <si>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</si>
  <si>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</si>
  <si>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</si>
  <si>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</si>
  <si>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</si>
  <si>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</si>
  <si>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</si>
  <si>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</si>
  <si>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</si>
  <si>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</si>
  <si>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</si>
  <si>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</si>
  <si>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</si>
  <si>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</si>
  <si>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</si>
  <si>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</si>
  <si>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</si>
  <si>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</si>
  <si>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</si>
  <si>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</si>
  <si>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</si>
  <si>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</si>
  <si>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</si>
  <si>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</si>
  <si>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</si>
  <si>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</si>
  <si>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</si>
  <si>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</si>
  <si>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</si>
  <si>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</si>
  <si>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</si>
  <si>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</si>
  <si>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</si>
  <si>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</si>
  <si>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</si>
  <si>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</si>
  <si>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</si>
  <si>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</si>
  <si>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</si>
  <si>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</si>
  <si>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</si>
  <si>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</si>
  <si>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</si>
  <si>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</si>
  <si>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</si>
  <si>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</si>
  <si>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</si>
  <si>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</si>
  <si>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</si>
  <si>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</si>
  <si>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</si>
  <si>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</si>
  <si>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</si>
  <si>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</si>
  <si>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</si>
  <si>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</si>
  <si>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</si>
  <si>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</si>
  <si>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</si>
  <si>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</si>
  <si>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</si>
  <si>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</si>
  <si>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</si>
  <si>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Supplier Code</t>
  </si>
  <si>
    <t>Payment Ref</t>
  </si>
  <si>
    <t>System Report for MedsCo April 2020</t>
  </si>
  <si>
    <t>MC2741</t>
  </si>
  <si>
    <t>Late Charge</t>
  </si>
  <si>
    <t>Analysis for MedsCo April 2020</t>
  </si>
  <si>
    <t>Supplier Statement Total:</t>
  </si>
  <si>
    <t>Difference:</t>
  </si>
  <si>
    <t>Number of Invoices</t>
  </si>
  <si>
    <t>Total Paid</t>
  </si>
  <si>
    <t>Amount</t>
  </si>
  <si>
    <t>System Date:</t>
  </si>
  <si>
    <t>Date</t>
  </si>
  <si>
    <t>Day</t>
  </si>
  <si>
    <t>Holiday</t>
  </si>
  <si>
    <t>New Year's Day</t>
  </si>
  <si>
    <t>Australia Day Holiday</t>
  </si>
  <si>
    <t>Labour Day</t>
  </si>
  <si>
    <t>Good Friday</t>
  </si>
  <si>
    <t>Day following Good Friday</t>
  </si>
  <si>
    <t>Easter Sunday</t>
  </si>
  <si>
    <t>Easter Monday</t>
  </si>
  <si>
    <t>Anzac Day</t>
  </si>
  <si>
    <t>Queen's Birthday</t>
  </si>
  <si>
    <t>Christmas Day</t>
  </si>
  <si>
    <t>Boxing Day</t>
  </si>
  <si>
    <t>Boxing Day Holiday</t>
  </si>
  <si>
    <t>Holidays in NSW 2020</t>
  </si>
  <si>
    <t>1 or omitted</t>
  </si>
  <si>
    <t>Saturday, Sunday</t>
  </si>
  <si>
    <t>Sunday, Monday</t>
  </si>
  <si>
    <t>Monday, Tuesday</t>
  </si>
  <si>
    <t>Tuesday, Wednesday</t>
  </si>
  <si>
    <t>Wednesday, Thursday</t>
  </si>
  <si>
    <t>Thursday, Friday</t>
  </si>
  <si>
    <t>Friday, Saturday</t>
  </si>
  <si>
    <t>Sunday only</t>
  </si>
  <si>
    <t>Monday only</t>
  </si>
  <si>
    <t>Tuesday only</t>
  </si>
  <si>
    <t>Wednesday only</t>
  </si>
  <si>
    <t>Thursday only</t>
  </si>
  <si>
    <t>Friday only</t>
  </si>
  <si>
    <t>Saturday only</t>
  </si>
  <si>
    <t xml:space="preserve">Key for specifying non-working days </t>
  </si>
  <si>
    <t>Code</t>
  </si>
  <si>
    <t>Non-working days</t>
  </si>
  <si>
    <t xml:space="preserve">Or use seven character long code where each character is a day of the week, starting with Monday. 1 represents a non-workday and 0 represents a workday. </t>
  </si>
  <si>
    <t>Locations</t>
  </si>
  <si>
    <t>Total Paid:</t>
  </si>
  <si>
    <t>Payments:</t>
  </si>
  <si>
    <t>Days Overdue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</si>
  <si>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</si>
  <si>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</si>
  <si>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</si>
  <si>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</si>
  <si>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</si>
  <si>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</si>
  <si>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</si>
  <si>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</si>
  <si>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</si>
  <si>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</si>
  <si>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</si>
  <si>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</si>
  <si>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</si>
  <si>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</si>
  <si>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</si>
  <si>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</si>
  <si>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</si>
  <si>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</si>
  <si>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</si>
  <si>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</si>
  <si>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</si>
  <si>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PO-Melbourne-312603</t>
  </si>
  <si>
    <t>PO-Melbourne-339907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</si>
  <si>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</si>
  <si>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</si>
  <si>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</si>
  <si>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</si>
  <si>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</si>
  <si>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</si>
  <si>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</si>
  <si>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</si>
  <si>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</si>
  <si>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</si>
  <si>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</si>
  <si>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</si>
  <si>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</si>
  <si>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</si>
  <si>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</si>
  <si>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</si>
  <si>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</si>
  <si>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</si>
  <si>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</si>
  <si>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</si>
  <si>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</si>
  <si>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</si>
  <si>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</si>
  <si>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</si>
  <si>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</si>
  <si>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</si>
  <si>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</si>
  <si>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</si>
  <si>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</si>
  <si>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</si>
  <si>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</si>
  <si>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</si>
  <si>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</si>
  <si>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</si>
  <si>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</si>
  <si>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</si>
  <si>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</si>
  <si>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</si>
  <si>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</si>
  <si>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</si>
  <si>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</si>
  <si>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MC Report Total Paid:</t>
  </si>
  <si>
    <t>New Penalties</t>
  </si>
  <si>
    <t>24674_1</t>
  </si>
  <si>
    <t>PO-Sydney-223802</t>
  </si>
  <si>
    <t>Cust PO</t>
  </si>
  <si>
    <t>Total</t>
  </si>
  <si>
    <t>DOC NO CORRECTED</t>
  </si>
  <si>
    <t>$ AMOUNT</t>
  </si>
  <si>
    <t>REFERENCE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</si>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</sst>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  <numFmt numFmtId="166" formatCode="&quot;$&quot;#,##0.00"/>
    <numFmt numFmtId="167" formatCode="yyyy\-mm\-dd;@"/>
    <numFmt numFmtId="169" formatCode="[$$-C09]#,##0.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48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right"/>
    </xf>
    <xf numFmtId="166" fontId="0" fillId="0" borderId="0" xfId="7" applyNumberFormat="1" applyFont="1"/>
    <xf numFmtId="0" fontId="6" fillId="0" borderId="1" xfId="8"/>
    <xf numFmtId="0" fontId="7" fillId="0" borderId="0" xfId="9"/>
    <xf numFmtId="14" fontId="0" fillId="0" borderId="0" xfId="0" applyNumberFormat="1"/>
    <xf numFmtId="14" fontId="8" fillId="2" borderId="0" xfId="10" applyNumberFormat="1" applyAlignment="1">
      <alignment horizontal="right"/>
    </xf>
    <xf numFmtId="0" fontId="8" fillId="2" borderId="0" xfId="10" applyAlignment="1">
      <alignment horizontal="center"/>
    </xf>
    <xf numFmtId="0" fontId="8" fillId="2" borderId="0" xfId="10"/>
    <xf numFmtId="14" fontId="6" fillId="0" borderId="1" xfId="8" applyNumberFormat="1"/>
    <xf numFmtId="0" fontId="0" fillId="0" borderId="0" xfId="0" applyFill="1"/>
    <xf numFmtId="0" fontId="0" fillId="0" borderId="0" xfId="0" applyFill="1" applyAlignment="1"/>
    <xf numFmtId="0" fontId="2" fillId="0" borderId="0" xfId="0" applyNumberFormat="1" applyFont="1"/>
    <xf numFmtId="166" fontId="2" fillId="0" borderId="0" xfId="0" applyNumberFormat="1" applyFont="1"/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6" fontId="1" fillId="0" borderId="0" xfId="0" applyNumberFormat="1" applyFont="1" applyFill="1" applyAlignment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Alignment="1"/>
    <xf numFmtId="0" fontId="10" fillId="2" borderId="0" xfId="10" applyNumberFormat="1" applyFont="1"/>
    <xf numFmtId="14" fontId="1" fillId="0" borderId="0" xfId="0" applyNumberFormat="1" applyFont="1"/>
    <xf numFmtId="0" fontId="1" fillId="0" borderId="0" xfId="0" applyNumberFormat="1" applyFont="1"/>
    <xf numFmtId="167" fontId="1" fillId="0" borderId="0" xfId="0" applyNumberFormat="1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Border="1"/>
    <xf numFmtId="14" fontId="11" fillId="0" borderId="0" xfId="0" applyNumberFormat="1" applyFont="1" applyBorder="1"/>
    <xf numFmtId="166" fontId="11" fillId="0" borderId="0" xfId="0" applyNumberFormat="1" applyFont="1" applyBorder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1" fillId="0" borderId="0" xfId="0" applyNumberFormat="1" applyFont="1" applyBorder="1"/>
    <xf numFmtId="0" fontId="1" fillId="0" borderId="3" xfId="0" applyFont="1" applyBorder="1"/>
    <xf numFmtId="166" fontId="1" fillId="0" borderId="3" xfId="0" applyNumberFormat="1" applyFont="1" applyBorder="1"/>
    <xf numFmtId="0" fontId="10" fillId="3" borderId="2" xfId="11" applyFont="1" applyBorder="1" applyAlignment="1">
      <alignment horizontal="center"/>
    </xf>
    <xf numFmtId="169" fontId="9" fillId="0" borderId="5" xfId="0" applyNumberFormat="1" applyFont="1" applyFill="1" applyBorder="1" applyAlignment="1">
      <alignment horizontal="center"/>
    </xf>
    <xf numFmtId="169" fontId="1" fillId="0" borderId="0" xfId="0" applyNumberFormat="1" applyFont="1" applyFill="1" applyBorder="1"/>
    <xf numFmtId="169" fontId="0" fillId="0" borderId="0" xfId="0" applyNumberFormat="1" applyFill="1"/>
  </cellXfs>
  <cellStyles count="12">
    <cellStyle name="Accent1" xfId="10" builtinId="29"/>
    <cellStyle name="Accent6" xfId="11" builtinId="49"/>
    <cellStyle name="Comma 2" xfId="2" xr:uid="{5AB253B3-2FEF-49FD-8346-A76EF12A392B}"/>
    <cellStyle name="Currency" xfId="7" builtinId="4"/>
    <cellStyle name="Currency 2" xfId="3" xr:uid="{ED315434-3E07-45FA-8258-C8D5939EFA05}"/>
    <cellStyle name="Heading 1" xfId="8" builtinId="16"/>
    <cellStyle name="Normal" xfId="0" builtinId="0"/>
    <cellStyle name="Normal 2" xfId="1" xr:uid="{33D5E154-E9F8-47C6-98CD-39452DC19965}"/>
    <cellStyle name="Normal 37" xfId="4" xr:uid="{18CFCBDC-F8F9-4886-9CA5-9873B3A4E10F}"/>
    <cellStyle name="Normal 38" xfId="5" xr:uid="{812CE7D6-EF77-4F03-BFC0-1EE985B71C99}"/>
    <cellStyle name="Normal 43" xfId="6" xr:uid="{85A34433-3CC0-47BA-AADA-30C99D5927A5}"/>
    <cellStyle name="Title" xfId="9" builtinId="15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9" formatCode="[$$-C09]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;[Red]\-&quot;$&quot;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8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98715-8638-4E85-985D-29000BD877AC}" name="Supplier" displayName="Supplier" ref="A1:H86" headerRowDxfId="52" dataDxfId="50" totalsRowDxfId="48" headerRowBorderDxfId="51" tableBorderDxfId="49" totalsRowBorderDxfId="47">
  <autoFilter ref="A1:H86" xr:uid="{BC9280C7-1BCF-417E-9715-5CFA4B9AAA00}"/>
  <sortState xmlns:xlrd2="http://schemas.microsoft.com/office/spreadsheetml/2017/richdata2" ref="A2:H86">
    <sortCondition ref="H1:H86"/>
  </sortState>
  <tableColumns count="8">
    <tableColumn id="1" xr3:uid="{52BFBEBF-3D49-40C6-99E9-4D1C2F78CBF5}" name="Document No" totalsRowLabel="Total" dataDxfId="46" totalsRowDxfId="45"/>
    <tableColumn id="21" xr3:uid="{75D2F8A3-5FC8-4599-96A0-E424A21F6EEC}" name="DOC NO CORRECTED" dataDxfId="0">
      <calculatedColumnFormula>INDEX(MC[REFERENCE],MATCH(Supplier[[#This Row],[Cust PO]],MC[PO Number],0))</calculatedColumnFormula>
    </tableColumn>
    <tableColumn id="4" xr3:uid="{06A9E757-E8E8-4E11-B30F-FBCA52C9A56E}" name="XLOOKUP" dataDxfId="1">
      <calculatedColumnFormula>_xlfn.XLOOKUP(Supplier[[#This Row],[Cust PO]],MC[PO Number],MC[REFERENCE],"NO MATCHES")</calculatedColumnFormula>
    </tableColumn>
    <tableColumn id="3" xr3:uid="{8FFEC324-052B-4D6B-B373-9458EC04FB8C}" name="$ AMOUNT" dataDxfId="6" totalsRowDxfId="7"/>
    <tableColumn id="7" xr3:uid="{339B4D81-2202-4DC9-B465-2DD3F31A2CFD}" name="Customer PO" dataDxfId="44" totalsRowDxfId="43"/>
    <tableColumn id="8" xr3:uid="{56A94A81-B7A6-4A3A-B36B-FFCFD09C31D7}" name="ABN" dataDxfId="42" totalsRowDxfId="41"/>
    <tableColumn id="9" xr3:uid="{B8D412FA-1ED0-423C-B7B8-7CDDED11FED5}" name="Acct" dataDxfId="40" totalsRowDxfId="39"/>
    <tableColumn id="14" xr3:uid="{AC7135CB-0044-46B3-90AF-0E203A7D10CA}" name="Cust PO" dataDxfId="38" totalsRowDxfId="37">
      <calculatedColumnFormula>VALUE(RIGHT(E2,6))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C14BD-F6A6-4A23-A3BE-7993CCEE9F34}" name="MC" displayName="MC" ref="A4:K88" headerRowDxfId="36" dataDxfId="34" totalsRowDxfId="32" headerRowBorderDxfId="35" tableBorderDxfId="33" totalsRowBorderDxfId="31">
  <autoFilter ref="A4:K88" xr:uid="{13A28ACC-331D-4225-A8C8-A8CA8F13F074}"/>
  <sortState xmlns:xlrd2="http://schemas.microsoft.com/office/spreadsheetml/2017/richdata2" ref="A5:K88">
    <sortCondition ref="H4:H88"/>
  </sortState>
  <tableColumns count="11">
    <tableColumn id="1" xr3:uid="{C4858A8D-1AFD-4564-A6F5-1E15BC578168}" name="Payment Ref" totalsRowLabel="Total" dataDxfId="5" totalsRowDxfId="30"/>
    <tableColumn id="11" xr3:uid="{5149A608-1E1D-46EC-9B44-7D2AC2C0F456}" name="REFERENCE" dataDxfId="3">
      <calculatedColumnFormula>VALUE(LEFT(MC[[#This Row],[Payment Ref]],5))</calculatedColumnFormula>
    </tableColumn>
    <tableColumn id="2" xr3:uid="{FDAF40F1-3571-40E7-97D0-295F5543A0D2}" name="Supplier Code" dataDxfId="4" totalsRowDxfId="29"/>
    <tableColumn id="3" xr3:uid="{6BA376D9-9C9D-43F3-B604-2F449277C862}" name="Payment No." totalsRowFunction="count" dataDxfId="28" totalsRowDxfId="27"/>
    <tableColumn id="4" xr3:uid="{AA0FC72D-CBC0-422D-9B02-931656A68879}" name="Invoice Date" dataDxfId="26" totalsRowDxfId="25"/>
    <tableColumn id="5" xr3:uid="{5CFD2BEA-8570-4A44-B859-40754C5BD32B}" name="Due Date" dataDxfId="24" totalsRowDxfId="23">
      <calculatedColumnFormula>WORKDAY(EDATE(E5,1)-1,1)</calculatedColumnFormula>
    </tableColumn>
    <tableColumn id="6" xr3:uid="{F2410CEC-BF88-4FF7-8C79-F0CBEAA3BFF0}" name="Payment Date" dataDxfId="22" totalsRowDxfId="21"/>
    <tableColumn id="8" xr3:uid="{A7DE618F-0DA4-4A14-A177-E2DFF261F133}" name="PO Number" dataDxfId="20" totalsRowDxfId="19"/>
    <tableColumn id="7" xr3:uid="{84DA8E78-9128-41E3-8BD5-14DFB33A351A}" name="Bank Details" dataDxfId="18" totalsRowDxfId="17"/>
    <tableColumn id="9" xr3:uid="{51E545FA-5C70-4AE7-80EF-C180215FEEEF}" name="Location" dataDxfId="16" totalsRowDxfId="15"/>
    <tableColumn id="10" xr3:uid="{1CEBCCB8-D8DA-4915-B6E0-D4914173F61F}" name="Amount" totalsRowFunction="sum" dataDxfId="14" totalsRowDxfId="1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B41777-82E8-40F9-9613-77FA8052B028}" name="Table2" displayName="Table2" ref="A7:E10" totalsRowCount="1" headerRowDxfId="12">
  <autoFilter ref="A7:E9" xr:uid="{9B05ED8C-4529-4DE7-A77C-30DB552A260F}"/>
  <tableColumns count="5">
    <tableColumn id="1" xr3:uid="{C275C973-9170-4014-96B8-C6828AB91CE6}" name="Locations" totalsRowLabel="Total"/>
    <tableColumn id="2" xr3:uid="{2CE07265-DFF7-4B15-90E7-2F89898164BD}" name="Number of Invoices" totalsRowFunction="sum">
      <calculatedColumnFormula>COUNTIFS(Location,A8)</calculatedColumnFormula>
    </tableColumn>
    <tableColumn id="3" xr3:uid="{6E647BAE-04A6-4CB6-AE92-E79884AAD420}" name="Total Paid" dataDxfId="11" totalsRowDxfId="10" dataCellStyle="Currency">
      <calculatedColumnFormula>SUMIFS(Amount_Paid,Location,A8)</calculatedColumnFormula>
    </tableColumn>
    <tableColumn id="4" xr3:uid="{4175C8ED-ECFE-4A96-A7C1-37CE05EFB0B8}" name="Days Overdue">
      <calculatedColumnFormula>SUMIFS(#REF!,Location,$A8)</calculatedColumnFormula>
    </tableColumn>
    <tableColumn id="5" xr3:uid="{77118054-E47B-4AF2-BFEF-B03E3FB70EE0}" name="Late Charge" totalsRowFunction="sum" dataDxfId="9" totalsRowDxfId="8" dataCellStyle="Currency">
      <calculatedColumnFormula>SUMIFS(Late_Charge,Location,$A8)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2FEA-723B-4838-99B7-4396BFB5D3CB}">
  <sheetPr codeName="Sheet1"/>
  <dimension ref="A1:L86"/>
  <sheetViews>
    <sheetView tabSelected="1" zoomScaleNormal="100" workbookViewId="0">
      <selection activeCell="B2" sqref="B2"/>
    </sheetView>
  </sheetViews>
  <sheetFormatPr defaultColWidth="9.109375" defaultRowHeight="14.4" x14ac:dyDescent="0.3"/>
  <cols>
    <col min="1" max="1" width="18.44140625" style="15" bestFit="1" customWidth="1"/>
    <col min="2" max="3" width="33.5546875" style="15" customWidth="1"/>
    <col min="4" max="4" width="17.77734375" style="47" customWidth="1"/>
    <col min="5" max="5" width="22.21875" style="15" bestFit="1" customWidth="1"/>
    <col min="6" max="6" width="9.44140625" style="15" bestFit="1" customWidth="1"/>
    <col min="7" max="7" width="9.33203125" style="15" bestFit="1" customWidth="1"/>
    <col min="8" max="8" width="12.88671875" style="15" bestFit="1" customWidth="1"/>
    <col min="9" max="9" width="9.109375" customWidth="1"/>
    <col min="10" max="10" width="15.44140625" style="15" customWidth="1"/>
    <col min="11" max="11" width="12.6640625" style="15" bestFit="1" customWidth="1"/>
    <col min="12" max="12" width="11" style="16" bestFit="1" customWidth="1"/>
    <col min="13" max="16384" width="9.109375" style="15"/>
  </cols>
  <sheetData>
    <row r="1" spans="1:12" s="23" customFormat="1" ht="22.95" customHeight="1" x14ac:dyDescent="0.3">
      <c r="A1" s="19" t="s">
        <v>3</v>
      </c>
      <c r="B1" s="19" t="s">
        <v>238</v>
      </c>
      <c r="C1" s="19" t="s">
        <v>241</v>
      </c>
      <c r="D1" s="45" t="s">
        <v>239</v>
      </c>
      <c r="E1" s="20" t="s">
        <v>4</v>
      </c>
      <c r="F1" s="20" t="s">
        <v>9</v>
      </c>
      <c r="G1" s="20" t="s">
        <v>6</v>
      </c>
      <c r="H1" s="20" t="s">
        <v>236</v>
      </c>
      <c r="I1" s="22"/>
      <c r="K1" s="24" t="s">
        <v>165</v>
      </c>
      <c r="L1" s="25">
        <f>SUM(Supplier[$ AMOUNT])</f>
        <v>48681.130000000005</v>
      </c>
    </row>
    <row r="2" spans="1:12" s="27" customFormat="1" ht="15.6" x14ac:dyDescent="0.3">
      <c r="A2" s="26">
        <v>24842</v>
      </c>
      <c r="B2" s="26">
        <f>INDEX(MC[REFERENCE],MATCH(Supplier[[#This Row],[Cust PO]],MC[PO Number],0))</f>
        <v>24842</v>
      </c>
      <c r="C2" s="26">
        <f>_xlfn.XLOOKUP(Supplier[[#This Row],[Cust PO]],MC[PO Number],MC[REFERENCE],"NO MATCHES")</f>
        <v>24842</v>
      </c>
      <c r="D2" s="46">
        <v>126.72</v>
      </c>
      <c r="E2" s="26" t="s">
        <v>210</v>
      </c>
      <c r="F2" s="26">
        <v>1641</v>
      </c>
      <c r="G2" s="26">
        <v>7654320</v>
      </c>
      <c r="H2" s="26">
        <f t="shared" ref="H2:H33" si="0">VALUE(RIGHT(E2,6))</f>
        <v>210023</v>
      </c>
      <c r="I2" s="22"/>
      <c r="K2" s="24" t="s">
        <v>166</v>
      </c>
      <c r="L2" s="28">
        <f>ROWS(Supplier[])</f>
        <v>85</v>
      </c>
    </row>
    <row r="3" spans="1:12" s="27" customFormat="1" ht="15.6" x14ac:dyDescent="0.3">
      <c r="A3" s="26">
        <v>24891</v>
      </c>
      <c r="B3" s="26">
        <f>INDEX(MC[REFERENCE],MATCH(Supplier[[#This Row],[Cust PO]],MC[PO Number],0))</f>
        <v>24891</v>
      </c>
      <c r="C3" s="26">
        <f>_xlfn.XLOOKUP(Supplier[[#This Row],[Cust PO]],MC[PO Number],MC[REFERENCE],"NO MATCHES")</f>
        <v>24891</v>
      </c>
      <c r="D3" s="46">
        <v>763.29</v>
      </c>
      <c r="E3" s="26" t="s">
        <v>228</v>
      </c>
      <c r="F3" s="26">
        <v>1641</v>
      </c>
      <c r="G3" s="26">
        <v>7654320</v>
      </c>
      <c r="H3" s="26">
        <f t="shared" si="0"/>
        <v>211771</v>
      </c>
      <c r="I3" s="22"/>
      <c r="L3" s="28"/>
    </row>
    <row r="4" spans="1:12" s="27" customFormat="1" ht="15.6" x14ac:dyDescent="0.3">
      <c r="A4" s="26">
        <v>24685</v>
      </c>
      <c r="B4" s="26">
        <f>INDEX(MC[REFERENCE],MATCH(Supplier[[#This Row],[Cust PO]],MC[PO Number],0))</f>
        <v>24685</v>
      </c>
      <c r="C4" s="26">
        <f>_xlfn.XLOOKUP(Supplier[[#This Row],[Cust PO]],MC[PO Number],MC[REFERENCE],"NO MATCHES")</f>
        <v>24685</v>
      </c>
      <c r="D4" s="46">
        <v>679.8</v>
      </c>
      <c r="E4" s="26" t="s">
        <v>20</v>
      </c>
      <c r="F4" s="26">
        <v>1641</v>
      </c>
      <c r="G4" s="26">
        <v>7654320</v>
      </c>
      <c r="H4" s="26">
        <f t="shared" si="0"/>
        <v>211781</v>
      </c>
      <c r="I4" s="22"/>
      <c r="K4" s="29" t="s">
        <v>118</v>
      </c>
      <c r="L4" s="28"/>
    </row>
    <row r="5" spans="1:12" s="27" customFormat="1" ht="15.6" x14ac:dyDescent="0.3">
      <c r="A5" s="26">
        <v>24902</v>
      </c>
      <c r="B5" s="26">
        <f>INDEX(MC[REFERENCE],MATCH(Supplier[[#This Row],[Cust PO]],MC[PO Number],0))</f>
        <v>24902</v>
      </c>
      <c r="C5" s="26">
        <f>_xlfn.XLOOKUP(Supplier[[#This Row],[Cust PO]],MC[PO Number],MC[REFERENCE],"NO MATCHES")</f>
        <v>24902</v>
      </c>
      <c r="D5" s="46">
        <v>533.28</v>
      </c>
      <c r="E5" s="26" t="s">
        <v>231</v>
      </c>
      <c r="F5" s="26">
        <v>1641</v>
      </c>
      <c r="G5" s="26">
        <v>7654320</v>
      </c>
      <c r="H5" s="26">
        <f t="shared" si="0"/>
        <v>213342</v>
      </c>
      <c r="I5" s="22"/>
      <c r="K5" s="22"/>
      <c r="L5" s="22"/>
    </row>
    <row r="6" spans="1:12" s="27" customFormat="1" ht="15.6" x14ac:dyDescent="0.3">
      <c r="A6" s="26">
        <v>24717</v>
      </c>
      <c r="B6" s="26">
        <f>INDEX(MC[REFERENCE],MATCH(Supplier[[#This Row],[Cust PO]],MC[PO Number],0))</f>
        <v>24717</v>
      </c>
      <c r="C6" s="26">
        <f>_xlfn.XLOOKUP(Supplier[[#This Row],[Cust PO]],MC[PO Number],MC[REFERENCE],"NO MATCHES")</f>
        <v>24717</v>
      </c>
      <c r="D6" s="46">
        <v>993.63</v>
      </c>
      <c r="E6" s="26" t="s">
        <v>29</v>
      </c>
      <c r="F6" s="26">
        <v>1641</v>
      </c>
      <c r="G6" s="26">
        <v>7654320</v>
      </c>
      <c r="H6" s="26">
        <f t="shared" si="0"/>
        <v>213670</v>
      </c>
      <c r="I6" s="22"/>
      <c r="K6" s="22"/>
      <c r="L6" s="22"/>
    </row>
    <row r="7" spans="1:12" s="27" customFormat="1" ht="15.6" x14ac:dyDescent="0.3">
      <c r="A7" s="26">
        <v>24885</v>
      </c>
      <c r="B7" s="26">
        <f>INDEX(MC[REFERENCE],MATCH(Supplier[[#This Row],[Cust PO]],MC[PO Number],0))</f>
        <v>24885</v>
      </c>
      <c r="C7" s="26">
        <f>_xlfn.XLOOKUP(Supplier[[#This Row],[Cust PO]],MC[PO Number],MC[REFERENCE],"NO MATCHES")</f>
        <v>24885</v>
      </c>
      <c r="D7" s="46">
        <v>764.28</v>
      </c>
      <c r="E7" s="26" t="s">
        <v>226</v>
      </c>
      <c r="F7" s="26">
        <v>1641</v>
      </c>
      <c r="G7" s="26">
        <v>7654320</v>
      </c>
      <c r="H7" s="26">
        <f t="shared" si="0"/>
        <v>213693</v>
      </c>
      <c r="I7" s="22"/>
      <c r="K7" s="22"/>
      <c r="L7" s="22"/>
    </row>
    <row r="8" spans="1:12" s="27" customFormat="1" ht="15.6" x14ac:dyDescent="0.3">
      <c r="A8" s="26">
        <v>24801</v>
      </c>
      <c r="B8" s="26">
        <f>INDEX(MC[REFERENCE],MATCH(Supplier[[#This Row],[Cust PO]],MC[PO Number],0))</f>
        <v>24801</v>
      </c>
      <c r="C8" s="26">
        <f>_xlfn.XLOOKUP(Supplier[[#This Row],[Cust PO]],MC[PO Number],MC[REFERENCE],"NO MATCHES")</f>
        <v>24801</v>
      </c>
      <c r="D8" s="46">
        <v>1094.28</v>
      </c>
      <c r="E8" s="26" t="s">
        <v>196</v>
      </c>
      <c r="F8" s="26">
        <v>1641</v>
      </c>
      <c r="G8" s="26">
        <v>7654320</v>
      </c>
      <c r="H8" s="26">
        <f t="shared" si="0"/>
        <v>214234</v>
      </c>
      <c r="I8" s="22"/>
      <c r="K8" s="22"/>
      <c r="L8" s="22"/>
    </row>
    <row r="9" spans="1:12" s="27" customFormat="1" ht="15.6" x14ac:dyDescent="0.3">
      <c r="A9" s="26">
        <v>24837</v>
      </c>
      <c r="B9" s="26">
        <f>INDEX(MC[REFERENCE],MATCH(Supplier[[#This Row],[Cust PO]],MC[PO Number],0))</f>
        <v>24837</v>
      </c>
      <c r="C9" s="26">
        <f>_xlfn.XLOOKUP(Supplier[[#This Row],[Cust PO]],MC[PO Number],MC[REFERENCE],"NO MATCHES")</f>
        <v>24837</v>
      </c>
      <c r="D9" s="46">
        <v>361.02</v>
      </c>
      <c r="E9" s="26" t="s">
        <v>208</v>
      </c>
      <c r="F9" s="26">
        <v>1641</v>
      </c>
      <c r="G9" s="26">
        <v>7654320</v>
      </c>
      <c r="H9" s="26">
        <f t="shared" si="0"/>
        <v>215639</v>
      </c>
      <c r="I9" s="22"/>
    </row>
    <row r="10" spans="1:12" s="27" customFormat="1" ht="15.6" x14ac:dyDescent="0.3">
      <c r="A10" s="26">
        <v>24740</v>
      </c>
      <c r="B10" s="26">
        <f>INDEX(MC[REFERENCE],MATCH(Supplier[[#This Row],[Cust PO]],MC[PO Number],0))</f>
        <v>24740</v>
      </c>
      <c r="C10" s="26">
        <f>_xlfn.XLOOKUP(Supplier[[#This Row],[Cust PO]],MC[PO Number],MC[REFERENCE],"NO MATCHES")</f>
        <v>24740</v>
      </c>
      <c r="D10" s="46">
        <v>711.81</v>
      </c>
      <c r="E10" s="26" t="s">
        <v>174</v>
      </c>
      <c r="F10" s="26">
        <v>1641</v>
      </c>
      <c r="G10" s="26">
        <v>7654320</v>
      </c>
      <c r="H10" s="26">
        <f t="shared" si="0"/>
        <v>216205</v>
      </c>
      <c r="I10" s="22"/>
    </row>
    <row r="11" spans="1:12" s="27" customFormat="1" ht="15.6" x14ac:dyDescent="0.3">
      <c r="A11" s="26">
        <v>24754</v>
      </c>
      <c r="B11" s="26">
        <f>INDEX(MC[REFERENCE],MATCH(Supplier[[#This Row],[Cust PO]],MC[PO Number],0))</f>
        <v>24754</v>
      </c>
      <c r="C11" s="26">
        <f>_xlfn.XLOOKUP(Supplier[[#This Row],[Cust PO]],MC[PO Number],MC[REFERENCE],"NO MATCHES")</f>
        <v>24754</v>
      </c>
      <c r="D11" s="46">
        <v>352.44</v>
      </c>
      <c r="E11" s="26" t="s">
        <v>179</v>
      </c>
      <c r="F11" s="26">
        <v>1641</v>
      </c>
      <c r="G11" s="26">
        <v>7654320</v>
      </c>
      <c r="H11" s="26">
        <f t="shared" si="0"/>
        <v>217217</v>
      </c>
      <c r="I11" s="22"/>
      <c r="L11" s="28"/>
    </row>
    <row r="12" spans="1:12" s="27" customFormat="1" ht="15.6" x14ac:dyDescent="0.3">
      <c r="A12" s="26">
        <v>24875</v>
      </c>
      <c r="B12" s="26">
        <f>INDEX(MC[REFERENCE],MATCH(Supplier[[#This Row],[Cust PO]],MC[PO Number],0))</f>
        <v>24875</v>
      </c>
      <c r="C12" s="26">
        <f>_xlfn.XLOOKUP(Supplier[[#This Row],[Cust PO]],MC[PO Number],MC[REFERENCE],"NO MATCHES")</f>
        <v>24875</v>
      </c>
      <c r="D12" s="46">
        <v>1065.57</v>
      </c>
      <c r="E12" s="26" t="s">
        <v>220</v>
      </c>
      <c r="F12" s="26">
        <v>1641</v>
      </c>
      <c r="G12" s="26">
        <v>7654320</v>
      </c>
      <c r="H12" s="26">
        <f t="shared" si="0"/>
        <v>217275</v>
      </c>
      <c r="I12" s="22"/>
      <c r="L12" s="28"/>
    </row>
    <row r="13" spans="1:12" s="27" customFormat="1" ht="15.6" x14ac:dyDescent="0.3">
      <c r="A13" s="26">
        <v>24784</v>
      </c>
      <c r="B13" s="26">
        <f>INDEX(MC[REFERENCE],MATCH(Supplier[[#This Row],[Cust PO]],MC[PO Number],0))</f>
        <v>24784</v>
      </c>
      <c r="C13" s="26">
        <f>_xlfn.XLOOKUP(Supplier[[#This Row],[Cust PO]],MC[PO Number],MC[REFERENCE],"NO MATCHES")</f>
        <v>24784</v>
      </c>
      <c r="D13" s="46">
        <v>253.77</v>
      </c>
      <c r="E13" s="26" t="s">
        <v>191</v>
      </c>
      <c r="F13" s="26">
        <v>1641</v>
      </c>
      <c r="G13" s="26">
        <v>7654320</v>
      </c>
      <c r="H13" s="26">
        <f t="shared" si="0"/>
        <v>218463</v>
      </c>
      <c r="I13" s="22"/>
      <c r="L13" s="28"/>
    </row>
    <row r="14" spans="1:12" s="27" customFormat="1" ht="15.6" x14ac:dyDescent="0.3">
      <c r="A14" s="26">
        <v>24798</v>
      </c>
      <c r="B14" s="26">
        <f>INDEX(MC[REFERENCE],MATCH(Supplier[[#This Row],[Cust PO]],MC[PO Number],0))</f>
        <v>24798</v>
      </c>
      <c r="C14" s="26">
        <f>_xlfn.XLOOKUP(Supplier[[#This Row],[Cust PO]],MC[PO Number],MC[REFERENCE],"NO MATCHES")</f>
        <v>24798</v>
      </c>
      <c r="D14" s="46">
        <v>956.34</v>
      </c>
      <c r="E14" s="26" t="s">
        <v>195</v>
      </c>
      <c r="F14" s="26">
        <v>1641</v>
      </c>
      <c r="G14" s="26">
        <v>7654320</v>
      </c>
      <c r="H14" s="26">
        <f t="shared" si="0"/>
        <v>221183</v>
      </c>
      <c r="I14" s="22"/>
      <c r="L14" s="28"/>
    </row>
    <row r="15" spans="1:12" s="27" customFormat="1" ht="15.6" x14ac:dyDescent="0.3">
      <c r="A15" s="26">
        <v>24767</v>
      </c>
      <c r="B15" s="26">
        <f>INDEX(MC[REFERENCE],MATCH(Supplier[[#This Row],[Cust PO]],MC[PO Number],0))</f>
        <v>24767</v>
      </c>
      <c r="C15" s="26">
        <f>_xlfn.XLOOKUP(Supplier[[#This Row],[Cust PO]],MC[PO Number],MC[REFERENCE],"NO MATCHES")</f>
        <v>24767</v>
      </c>
      <c r="D15" s="46">
        <v>1019.04</v>
      </c>
      <c r="E15" s="26" t="s">
        <v>187</v>
      </c>
      <c r="F15" s="26">
        <v>1641</v>
      </c>
      <c r="G15" s="26">
        <v>7654320</v>
      </c>
      <c r="H15" s="26">
        <f t="shared" si="0"/>
        <v>222399</v>
      </c>
      <c r="I15" s="22"/>
      <c r="L15" s="28"/>
    </row>
    <row r="16" spans="1:12" s="27" customFormat="1" ht="15.6" x14ac:dyDescent="0.3">
      <c r="A16" s="26">
        <v>24813</v>
      </c>
      <c r="B16" s="26">
        <f>INDEX(MC[REFERENCE],MATCH(Supplier[[#This Row],[Cust PO]],MC[PO Number],0))</f>
        <v>24813</v>
      </c>
      <c r="C16" s="26">
        <f>_xlfn.XLOOKUP(Supplier[[#This Row],[Cust PO]],MC[PO Number],MC[REFERENCE],"NO MATCHES")</f>
        <v>24813</v>
      </c>
      <c r="D16" s="46">
        <v>705.54</v>
      </c>
      <c r="E16" s="26" t="s">
        <v>199</v>
      </c>
      <c r="F16" s="26">
        <v>1641</v>
      </c>
      <c r="G16" s="26">
        <v>7654320</v>
      </c>
      <c r="H16" s="26">
        <f t="shared" si="0"/>
        <v>222998</v>
      </c>
      <c r="I16" s="22"/>
      <c r="L16" s="28"/>
    </row>
    <row r="17" spans="1:12" s="27" customFormat="1" ht="15.6" x14ac:dyDescent="0.3">
      <c r="A17" s="26">
        <v>24822</v>
      </c>
      <c r="B17" s="26">
        <f>INDEX(MC[REFERENCE],MATCH(Supplier[[#This Row],[Cust PO]],MC[PO Number],0))</f>
        <v>24822</v>
      </c>
      <c r="C17" s="26">
        <f>_xlfn.XLOOKUP(Supplier[[#This Row],[Cust PO]],MC[PO Number],MC[REFERENCE],"NO MATCHES")</f>
        <v>24822</v>
      </c>
      <c r="D17" s="46">
        <v>422.73</v>
      </c>
      <c r="E17" s="26" t="s">
        <v>202</v>
      </c>
      <c r="F17" s="26">
        <v>1641</v>
      </c>
      <c r="G17" s="26">
        <v>7654320</v>
      </c>
      <c r="H17" s="26">
        <f t="shared" si="0"/>
        <v>223602</v>
      </c>
      <c r="I17" s="22"/>
      <c r="L17" s="28"/>
    </row>
    <row r="18" spans="1:12" s="27" customFormat="1" ht="15.6" x14ac:dyDescent="0.3">
      <c r="A18" s="26">
        <v>24671</v>
      </c>
      <c r="B18" s="26" t="e">
        <f>INDEX(MC[REFERENCE],MATCH(Supplier[[#This Row],[Cust PO]],MC[PO Number],0))</f>
        <v>#N/A</v>
      </c>
      <c r="C18" s="26" t="str">
        <f>_xlfn.XLOOKUP(Supplier[[#This Row],[Cust PO]],MC[PO Number],MC[REFERENCE],"NO MATCHES")</f>
        <v>NO MATCHES</v>
      </c>
      <c r="D18" s="46">
        <v>398.5</v>
      </c>
      <c r="E18" s="26" t="s">
        <v>235</v>
      </c>
      <c r="F18" s="26">
        <v>1641</v>
      </c>
      <c r="G18" s="26">
        <v>7654320</v>
      </c>
      <c r="H18" s="26">
        <f t="shared" si="0"/>
        <v>223802</v>
      </c>
      <c r="I18" s="22"/>
      <c r="L18" s="28"/>
    </row>
    <row r="19" spans="1:12" s="27" customFormat="1" ht="15.6" x14ac:dyDescent="0.3">
      <c r="A19" s="26">
        <v>24673</v>
      </c>
      <c r="B19" s="26">
        <f>INDEX(MC[REFERENCE],MATCH(Supplier[[#This Row],[Cust PO]],MC[PO Number],0))</f>
        <v>24673</v>
      </c>
      <c r="C19" s="26">
        <f>_xlfn.XLOOKUP(Supplier[[#This Row],[Cust PO]],MC[PO Number],MC[REFERENCE],"NO MATCHES")</f>
        <v>24673</v>
      </c>
      <c r="D19" s="46">
        <v>742.5</v>
      </c>
      <c r="E19" s="26" t="s">
        <v>11</v>
      </c>
      <c r="F19" s="26">
        <v>1641</v>
      </c>
      <c r="G19" s="26">
        <v>7654320</v>
      </c>
      <c r="H19" s="26">
        <f t="shared" si="0"/>
        <v>223809</v>
      </c>
      <c r="I19" s="22"/>
      <c r="L19" s="28"/>
    </row>
    <row r="20" spans="1:12" s="27" customFormat="1" ht="15.6" x14ac:dyDescent="0.3">
      <c r="A20" s="26">
        <v>24683</v>
      </c>
      <c r="B20" s="26">
        <f>INDEX(MC[REFERENCE],MATCH(Supplier[[#This Row],[Cust PO]],MC[PO Number],0))</f>
        <v>24683</v>
      </c>
      <c r="C20" s="26">
        <f>_xlfn.XLOOKUP(Supplier[[#This Row],[Cust PO]],MC[PO Number],MC[REFERENCE],"NO MATCHES")</f>
        <v>24683</v>
      </c>
      <c r="D20" s="46">
        <v>222.42</v>
      </c>
      <c r="E20" s="26" t="s">
        <v>19</v>
      </c>
      <c r="F20" s="26">
        <v>1641</v>
      </c>
      <c r="G20" s="26">
        <v>7654320</v>
      </c>
      <c r="H20" s="26">
        <f t="shared" si="0"/>
        <v>223858</v>
      </c>
      <c r="I20" s="22"/>
      <c r="L20" s="28"/>
    </row>
    <row r="21" spans="1:12" s="27" customFormat="1" ht="15.6" x14ac:dyDescent="0.3">
      <c r="A21" s="26">
        <v>24739</v>
      </c>
      <c r="B21" s="26">
        <f>INDEX(MC[REFERENCE],MATCH(Supplier[[#This Row],[Cust PO]],MC[PO Number],0))</f>
        <v>24739</v>
      </c>
      <c r="C21" s="26">
        <f>_xlfn.XLOOKUP(Supplier[[#This Row],[Cust PO]],MC[PO Number],MC[REFERENCE],"NO MATCHES")</f>
        <v>24739</v>
      </c>
      <c r="D21" s="46">
        <v>455.07</v>
      </c>
      <c r="E21" s="26" t="s">
        <v>173</v>
      </c>
      <c r="F21" s="26">
        <v>1641</v>
      </c>
      <c r="G21" s="26">
        <v>7654320</v>
      </c>
      <c r="H21" s="26">
        <f t="shared" si="0"/>
        <v>224184</v>
      </c>
      <c r="I21" s="22"/>
      <c r="L21" s="28"/>
    </row>
    <row r="22" spans="1:12" s="27" customFormat="1" ht="15.6" x14ac:dyDescent="0.3">
      <c r="A22" s="26">
        <v>24732</v>
      </c>
      <c r="B22" s="26">
        <f>INDEX(MC[REFERENCE],MATCH(Supplier[[#This Row],[Cust PO]],MC[PO Number],0))</f>
        <v>24732</v>
      </c>
      <c r="C22" s="26">
        <f>_xlfn.XLOOKUP(Supplier[[#This Row],[Cust PO]],MC[PO Number],MC[REFERENCE],"NO MATCHES")</f>
        <v>24732</v>
      </c>
      <c r="D22" s="46">
        <v>257.07</v>
      </c>
      <c r="E22" s="26" t="s">
        <v>171</v>
      </c>
      <c r="F22" s="26">
        <v>1641</v>
      </c>
      <c r="G22" s="26">
        <v>7654320</v>
      </c>
      <c r="H22" s="26">
        <f t="shared" si="0"/>
        <v>224680</v>
      </c>
      <c r="I22" s="22"/>
      <c r="L22" s="28"/>
    </row>
    <row r="23" spans="1:12" s="27" customFormat="1" ht="15.6" x14ac:dyDescent="0.3">
      <c r="A23" s="26">
        <v>24873</v>
      </c>
      <c r="B23" s="26">
        <f>INDEX(MC[REFERENCE],MATCH(Supplier[[#This Row],[Cust PO]],MC[PO Number],0))</f>
        <v>24873</v>
      </c>
      <c r="C23" s="26">
        <f>_xlfn.XLOOKUP(Supplier[[#This Row],[Cust PO]],MC[PO Number],MC[REFERENCE],"NO MATCHES")</f>
        <v>24873</v>
      </c>
      <c r="D23" s="46">
        <v>816.75</v>
      </c>
      <c r="E23" s="26" t="s">
        <v>219</v>
      </c>
      <c r="F23" s="26">
        <v>1641</v>
      </c>
      <c r="G23" s="26">
        <v>7654320</v>
      </c>
      <c r="H23" s="26">
        <f t="shared" si="0"/>
        <v>224955</v>
      </c>
      <c r="I23" s="22"/>
      <c r="L23" s="28"/>
    </row>
    <row r="24" spans="1:12" s="27" customFormat="1" ht="15.6" x14ac:dyDescent="0.3">
      <c r="A24" s="26">
        <v>24722</v>
      </c>
      <c r="B24" s="26">
        <f>INDEX(MC[REFERENCE],MATCH(Supplier[[#This Row],[Cust PO]],MC[PO Number],0))</f>
        <v>24722</v>
      </c>
      <c r="C24" s="26">
        <f>_xlfn.XLOOKUP(Supplier[[#This Row],[Cust PO]],MC[PO Number],MC[REFERENCE],"NO MATCHES")</f>
        <v>24722</v>
      </c>
      <c r="D24" s="46">
        <v>1053.69</v>
      </c>
      <c r="E24" s="26" t="s">
        <v>168</v>
      </c>
      <c r="F24" s="26">
        <v>1641</v>
      </c>
      <c r="G24" s="26">
        <v>7654320</v>
      </c>
      <c r="H24" s="26">
        <f t="shared" si="0"/>
        <v>226166</v>
      </c>
      <c r="I24" s="22"/>
      <c r="L24" s="28"/>
    </row>
    <row r="25" spans="1:12" s="27" customFormat="1" ht="15.6" x14ac:dyDescent="0.3">
      <c r="A25" s="26">
        <v>24680</v>
      </c>
      <c r="B25" s="26">
        <f>INDEX(MC[REFERENCE],MATCH(Supplier[[#This Row],[Cust PO]],MC[PO Number],0))</f>
        <v>24680</v>
      </c>
      <c r="C25" s="26">
        <f>_xlfn.XLOOKUP(Supplier[[#This Row],[Cust PO]],MC[PO Number],MC[REFERENCE],"NO MATCHES")</f>
        <v>24680</v>
      </c>
      <c r="D25" s="46">
        <v>466.29</v>
      </c>
      <c r="E25" s="26" t="s">
        <v>18</v>
      </c>
      <c r="F25" s="26">
        <v>1641</v>
      </c>
      <c r="G25" s="26">
        <v>7654320</v>
      </c>
      <c r="H25" s="26">
        <f t="shared" si="0"/>
        <v>226225</v>
      </c>
      <c r="I25" s="22"/>
      <c r="L25" s="28"/>
    </row>
    <row r="26" spans="1:12" s="27" customFormat="1" ht="15.6" x14ac:dyDescent="0.3">
      <c r="A26" s="26">
        <v>24876</v>
      </c>
      <c r="B26" s="26">
        <f>INDEX(MC[REFERENCE],MATCH(Supplier[[#This Row],[Cust PO]],MC[PO Number],0))</f>
        <v>24876</v>
      </c>
      <c r="C26" s="26">
        <f>_xlfn.XLOOKUP(Supplier[[#This Row],[Cust PO]],MC[PO Number],MC[REFERENCE],"NO MATCHES")</f>
        <v>24876</v>
      </c>
      <c r="D26" s="46">
        <v>523.38</v>
      </c>
      <c r="E26" s="26" t="s">
        <v>221</v>
      </c>
      <c r="F26" s="26">
        <v>1641</v>
      </c>
      <c r="G26" s="26">
        <v>7654320</v>
      </c>
      <c r="H26" s="26">
        <f t="shared" si="0"/>
        <v>226240</v>
      </c>
      <c r="I26" s="22"/>
      <c r="L26" s="28"/>
    </row>
    <row r="27" spans="1:12" s="27" customFormat="1" ht="15.6" x14ac:dyDescent="0.3">
      <c r="A27" s="26">
        <v>24758</v>
      </c>
      <c r="B27" s="26">
        <f>INDEX(MC[REFERENCE],MATCH(Supplier[[#This Row],[Cust PO]],MC[PO Number],0))</f>
        <v>24758</v>
      </c>
      <c r="C27" s="26">
        <f>_xlfn.XLOOKUP(Supplier[[#This Row],[Cust PO]],MC[PO Number],MC[REFERENCE],"NO MATCHES")</f>
        <v>24758</v>
      </c>
      <c r="D27" s="46">
        <v>322.41000000000003</v>
      </c>
      <c r="E27" s="26" t="s">
        <v>182</v>
      </c>
      <c r="F27" s="26">
        <v>1641</v>
      </c>
      <c r="G27" s="26">
        <v>7654320</v>
      </c>
      <c r="H27" s="26">
        <f t="shared" si="0"/>
        <v>227351</v>
      </c>
      <c r="I27" s="22"/>
      <c r="L27" s="28"/>
    </row>
    <row r="28" spans="1:12" s="27" customFormat="1" ht="15.6" x14ac:dyDescent="0.3">
      <c r="A28" s="26">
        <v>24792</v>
      </c>
      <c r="B28" s="26">
        <f>INDEX(MC[REFERENCE],MATCH(Supplier[[#This Row],[Cust PO]],MC[PO Number],0))</f>
        <v>24792</v>
      </c>
      <c r="C28" s="26">
        <f>_xlfn.XLOOKUP(Supplier[[#This Row],[Cust PO]],MC[PO Number],MC[REFERENCE],"NO MATCHES")</f>
        <v>24792</v>
      </c>
      <c r="D28" s="46">
        <v>630.96</v>
      </c>
      <c r="E28" s="26" t="s">
        <v>192</v>
      </c>
      <c r="F28" s="26">
        <v>1641</v>
      </c>
      <c r="G28" s="26">
        <v>7654320</v>
      </c>
      <c r="H28" s="26">
        <f t="shared" si="0"/>
        <v>227664</v>
      </c>
      <c r="I28" s="22"/>
      <c r="L28" s="28"/>
    </row>
    <row r="29" spans="1:12" s="27" customFormat="1" ht="15.6" x14ac:dyDescent="0.3">
      <c r="A29" s="26">
        <v>24764</v>
      </c>
      <c r="B29" s="26">
        <f>INDEX(MC[REFERENCE],MATCH(Supplier[[#This Row],[Cust PO]],MC[PO Number],0))</f>
        <v>24764</v>
      </c>
      <c r="C29" s="26">
        <f>_xlfn.XLOOKUP(Supplier[[#This Row],[Cust PO]],MC[PO Number],MC[REFERENCE],"NO MATCHES")</f>
        <v>24764</v>
      </c>
      <c r="D29" s="46">
        <v>819.06</v>
      </c>
      <c r="E29" s="26" t="s">
        <v>186</v>
      </c>
      <c r="F29" s="26">
        <v>1641</v>
      </c>
      <c r="G29" s="26">
        <v>7654320</v>
      </c>
      <c r="H29" s="26">
        <f t="shared" si="0"/>
        <v>227994</v>
      </c>
      <c r="I29" s="22"/>
      <c r="L29" s="28"/>
    </row>
    <row r="30" spans="1:12" s="27" customFormat="1" ht="15.6" x14ac:dyDescent="0.3">
      <c r="A30" s="26">
        <v>24815</v>
      </c>
      <c r="B30" s="26">
        <f>INDEX(MC[REFERENCE],MATCH(Supplier[[#This Row],[Cust PO]],MC[PO Number],0))</f>
        <v>24815</v>
      </c>
      <c r="C30" s="26">
        <f>_xlfn.XLOOKUP(Supplier[[#This Row],[Cust PO]],MC[PO Number],MC[REFERENCE],"NO MATCHES")</f>
        <v>24815</v>
      </c>
      <c r="D30" s="46">
        <v>138.6</v>
      </c>
      <c r="E30" s="26" t="s">
        <v>200</v>
      </c>
      <c r="F30" s="26">
        <v>1641</v>
      </c>
      <c r="G30" s="26">
        <v>7654320</v>
      </c>
      <c r="H30" s="26">
        <f t="shared" si="0"/>
        <v>228246</v>
      </c>
      <c r="I30" s="22"/>
      <c r="L30" s="28"/>
    </row>
    <row r="31" spans="1:12" s="27" customFormat="1" ht="15.6" x14ac:dyDescent="0.3">
      <c r="A31" s="26">
        <v>24730</v>
      </c>
      <c r="B31" s="26">
        <f>INDEX(MC[REFERENCE],MATCH(Supplier[[#This Row],[Cust PO]],MC[PO Number],0))</f>
        <v>24730</v>
      </c>
      <c r="C31" s="26">
        <f>_xlfn.XLOOKUP(Supplier[[#This Row],[Cust PO]],MC[PO Number],MC[REFERENCE],"NO MATCHES")</f>
        <v>24730</v>
      </c>
      <c r="D31" s="46">
        <v>1096.92</v>
      </c>
      <c r="E31" s="26" t="s">
        <v>170</v>
      </c>
      <c r="F31" s="26">
        <v>1641</v>
      </c>
      <c r="G31" s="26">
        <v>7654320</v>
      </c>
      <c r="H31" s="26">
        <f t="shared" si="0"/>
        <v>230046</v>
      </c>
      <c r="I31" s="22"/>
      <c r="L31" s="28"/>
    </row>
    <row r="32" spans="1:12" s="27" customFormat="1" ht="15.6" x14ac:dyDescent="0.3">
      <c r="A32" s="26">
        <v>24870</v>
      </c>
      <c r="B32" s="26">
        <f>INDEX(MC[REFERENCE],MATCH(Supplier[[#This Row],[Cust PO]],MC[PO Number],0))</f>
        <v>24870</v>
      </c>
      <c r="C32" s="26">
        <f>_xlfn.XLOOKUP(Supplier[[#This Row],[Cust PO]],MC[PO Number],MC[REFERENCE],"NO MATCHES")</f>
        <v>24870</v>
      </c>
      <c r="D32" s="46">
        <v>603.57000000000005</v>
      </c>
      <c r="E32" s="26" t="s">
        <v>218</v>
      </c>
      <c r="F32" s="26">
        <v>1641</v>
      </c>
      <c r="G32" s="26">
        <v>7654320</v>
      </c>
      <c r="H32" s="26">
        <f t="shared" si="0"/>
        <v>231274</v>
      </c>
      <c r="I32" s="22"/>
      <c r="L32" s="28"/>
    </row>
    <row r="33" spans="1:12" s="27" customFormat="1" ht="15.6" x14ac:dyDescent="0.3">
      <c r="A33" s="26">
        <v>24712</v>
      </c>
      <c r="B33" s="26">
        <f>INDEX(MC[REFERENCE],MATCH(Supplier[[#This Row],[Cust PO]],MC[PO Number],0))</f>
        <v>24712</v>
      </c>
      <c r="C33" s="26">
        <f>_xlfn.XLOOKUP(Supplier[[#This Row],[Cust PO]],MC[PO Number],MC[REFERENCE],"NO MATCHES")</f>
        <v>24712</v>
      </c>
      <c r="D33" s="46">
        <v>312.83999999999997</v>
      </c>
      <c r="E33" s="26" t="s">
        <v>28</v>
      </c>
      <c r="F33" s="26">
        <v>1641</v>
      </c>
      <c r="G33" s="26">
        <v>7654320</v>
      </c>
      <c r="H33" s="26">
        <f t="shared" si="0"/>
        <v>231320</v>
      </c>
      <c r="I33" s="22"/>
      <c r="L33" s="28"/>
    </row>
    <row r="34" spans="1:12" s="27" customFormat="1" ht="15.6" x14ac:dyDescent="0.3">
      <c r="A34" s="26">
        <v>24690</v>
      </c>
      <c r="B34" s="26">
        <f>INDEX(MC[REFERENCE],MATCH(Supplier[[#This Row],[Cust PO]],MC[PO Number],0))</f>
        <v>24690</v>
      </c>
      <c r="C34" s="26">
        <f>_xlfn.XLOOKUP(Supplier[[#This Row],[Cust PO]],MC[PO Number],MC[REFERENCE],"NO MATCHES")</f>
        <v>24690</v>
      </c>
      <c r="D34" s="46">
        <v>171.93</v>
      </c>
      <c r="E34" s="26" t="s">
        <v>21</v>
      </c>
      <c r="F34" s="26">
        <v>1641</v>
      </c>
      <c r="G34" s="26">
        <v>7654320</v>
      </c>
      <c r="H34" s="26">
        <f t="shared" ref="H34:H65" si="1">VALUE(RIGHT(E34,6))</f>
        <v>232805</v>
      </c>
      <c r="I34" s="22"/>
      <c r="L34" s="28"/>
    </row>
    <row r="35" spans="1:12" s="27" customFormat="1" ht="15.6" x14ac:dyDescent="0.3">
      <c r="A35" s="26">
        <v>24808</v>
      </c>
      <c r="B35" s="26">
        <f>INDEX(MC[REFERENCE],MATCH(Supplier[[#This Row],[Cust PO]],MC[PO Number],0))</f>
        <v>24808</v>
      </c>
      <c r="C35" s="26">
        <f>_xlfn.XLOOKUP(Supplier[[#This Row],[Cust PO]],MC[PO Number],MC[REFERENCE],"NO MATCHES")</f>
        <v>24808</v>
      </c>
      <c r="D35" s="46">
        <v>1058.31</v>
      </c>
      <c r="E35" s="26" t="s">
        <v>198</v>
      </c>
      <c r="F35" s="26">
        <v>1641</v>
      </c>
      <c r="G35" s="26">
        <v>7654320</v>
      </c>
      <c r="H35" s="26">
        <f t="shared" si="1"/>
        <v>233209</v>
      </c>
      <c r="I35" s="22"/>
      <c r="L35" s="28"/>
    </row>
    <row r="36" spans="1:12" s="27" customFormat="1" ht="15.6" x14ac:dyDescent="0.3">
      <c r="A36" s="26">
        <v>24866</v>
      </c>
      <c r="B36" s="26">
        <f>INDEX(MC[REFERENCE],MATCH(Supplier[[#This Row],[Cust PO]],MC[PO Number],0))</f>
        <v>24866</v>
      </c>
      <c r="C36" s="26">
        <f>_xlfn.XLOOKUP(Supplier[[#This Row],[Cust PO]],MC[PO Number],MC[REFERENCE],"NO MATCHES")</f>
        <v>24866</v>
      </c>
      <c r="D36" s="46">
        <v>840.51</v>
      </c>
      <c r="E36" s="26" t="s">
        <v>217</v>
      </c>
      <c r="F36" s="26">
        <v>1641</v>
      </c>
      <c r="G36" s="26">
        <v>7654320</v>
      </c>
      <c r="H36" s="26">
        <f t="shared" si="1"/>
        <v>234487</v>
      </c>
      <c r="I36" s="22"/>
      <c r="L36" s="28"/>
    </row>
    <row r="37" spans="1:12" s="27" customFormat="1" ht="15.6" x14ac:dyDescent="0.3">
      <c r="A37" s="26">
        <v>24756</v>
      </c>
      <c r="B37" s="26">
        <f>INDEX(MC[REFERENCE],MATCH(Supplier[[#This Row],[Cust PO]],MC[PO Number],0))</f>
        <v>24756</v>
      </c>
      <c r="C37" s="26">
        <f>_xlfn.XLOOKUP(Supplier[[#This Row],[Cust PO]],MC[PO Number],MC[REFERENCE],"NO MATCHES")</f>
        <v>24756</v>
      </c>
      <c r="D37" s="46">
        <v>238.59</v>
      </c>
      <c r="E37" s="26" t="s">
        <v>180</v>
      </c>
      <c r="F37" s="26">
        <v>1641</v>
      </c>
      <c r="G37" s="26">
        <v>7654320</v>
      </c>
      <c r="H37" s="26">
        <f t="shared" si="1"/>
        <v>234637</v>
      </c>
      <c r="I37" s="22"/>
      <c r="L37" s="28"/>
    </row>
    <row r="38" spans="1:12" s="27" customFormat="1" ht="15.6" x14ac:dyDescent="0.3">
      <c r="A38" s="26">
        <v>24833</v>
      </c>
      <c r="B38" s="26">
        <f>INDEX(MC[REFERENCE],MATCH(Supplier[[#This Row],[Cust PO]],MC[PO Number],0))</f>
        <v>24833</v>
      </c>
      <c r="C38" s="26">
        <f>_xlfn.XLOOKUP(Supplier[[#This Row],[Cust PO]],MC[PO Number],MC[REFERENCE],"NO MATCHES")</f>
        <v>24833</v>
      </c>
      <c r="D38" s="46">
        <v>511.83</v>
      </c>
      <c r="E38" s="26" t="s">
        <v>207</v>
      </c>
      <c r="F38" s="26">
        <v>1641</v>
      </c>
      <c r="G38" s="26">
        <v>7654320</v>
      </c>
      <c r="H38" s="26">
        <f t="shared" si="1"/>
        <v>234966</v>
      </c>
      <c r="I38" s="22"/>
      <c r="L38" s="28"/>
    </row>
    <row r="39" spans="1:12" s="27" customFormat="1" ht="15.6" x14ac:dyDescent="0.3">
      <c r="A39" s="26">
        <v>24887</v>
      </c>
      <c r="B39" s="26">
        <f>INDEX(MC[REFERENCE],MATCH(Supplier[[#This Row],[Cust PO]],MC[PO Number],0))</f>
        <v>24887</v>
      </c>
      <c r="C39" s="26">
        <f>_xlfn.XLOOKUP(Supplier[[#This Row],[Cust PO]],MC[PO Number],MC[REFERENCE],"NO MATCHES")</f>
        <v>24887</v>
      </c>
      <c r="D39" s="46">
        <v>335.61</v>
      </c>
      <c r="E39" s="26" t="s">
        <v>227</v>
      </c>
      <c r="F39" s="26">
        <v>1641</v>
      </c>
      <c r="G39" s="26">
        <v>7654320</v>
      </c>
      <c r="H39" s="26">
        <f t="shared" si="1"/>
        <v>235040</v>
      </c>
      <c r="I39" s="22"/>
      <c r="L39" s="28"/>
    </row>
    <row r="40" spans="1:12" s="27" customFormat="1" ht="15.6" x14ac:dyDescent="0.3">
      <c r="A40" s="26">
        <v>24735</v>
      </c>
      <c r="B40" s="26">
        <f>INDEX(MC[REFERENCE],MATCH(Supplier[[#This Row],[Cust PO]],MC[PO Number],0))</f>
        <v>24735</v>
      </c>
      <c r="C40" s="26">
        <f>_xlfn.XLOOKUP(Supplier[[#This Row],[Cust PO]],MC[PO Number],MC[REFERENCE],"NO MATCHES")</f>
        <v>24735</v>
      </c>
      <c r="D40" s="46">
        <v>215.49</v>
      </c>
      <c r="E40" s="26" t="s">
        <v>172</v>
      </c>
      <c r="F40" s="26">
        <v>1641</v>
      </c>
      <c r="G40" s="26">
        <v>7654320</v>
      </c>
      <c r="H40" s="26">
        <f t="shared" si="1"/>
        <v>238023</v>
      </c>
      <c r="I40" s="22"/>
      <c r="L40" s="28"/>
    </row>
    <row r="41" spans="1:12" s="27" customFormat="1" ht="15.6" x14ac:dyDescent="0.3">
      <c r="A41" s="26">
        <v>24753</v>
      </c>
      <c r="B41" s="26">
        <f>INDEX(MC[REFERENCE],MATCH(Supplier[[#This Row],[Cust PO]],MC[PO Number],0))</f>
        <v>24753</v>
      </c>
      <c r="C41" s="26">
        <f>_xlfn.XLOOKUP(Supplier[[#This Row],[Cust PO]],MC[PO Number],MC[REFERENCE],"NO MATCHES")</f>
        <v>24753</v>
      </c>
      <c r="D41" s="46">
        <v>489.72</v>
      </c>
      <c r="E41" s="26" t="s">
        <v>178</v>
      </c>
      <c r="F41" s="26">
        <v>1641</v>
      </c>
      <c r="G41" s="26">
        <v>7654320</v>
      </c>
      <c r="H41" s="26">
        <f t="shared" si="1"/>
        <v>238202</v>
      </c>
      <c r="I41" s="22"/>
      <c r="L41" s="28"/>
    </row>
    <row r="42" spans="1:12" s="27" customFormat="1" ht="15.6" x14ac:dyDescent="0.3">
      <c r="A42" s="26">
        <v>24882</v>
      </c>
      <c r="B42" s="26">
        <f>INDEX(MC[REFERENCE],MATCH(Supplier[[#This Row],[Cust PO]],MC[PO Number],0))</f>
        <v>24882</v>
      </c>
      <c r="C42" s="26">
        <f>_xlfn.XLOOKUP(Supplier[[#This Row],[Cust PO]],MC[PO Number],MC[REFERENCE],"NO MATCHES")</f>
        <v>24882</v>
      </c>
      <c r="D42" s="46">
        <v>955.68</v>
      </c>
      <c r="E42" s="26" t="s">
        <v>225</v>
      </c>
      <c r="F42" s="26">
        <v>1641</v>
      </c>
      <c r="G42" s="26">
        <v>7654320</v>
      </c>
      <c r="H42" s="26">
        <f t="shared" si="1"/>
        <v>239476</v>
      </c>
      <c r="I42" s="22"/>
      <c r="L42" s="28"/>
    </row>
    <row r="43" spans="1:12" s="27" customFormat="1" ht="15.6" x14ac:dyDescent="0.3">
      <c r="A43" s="26">
        <v>24825</v>
      </c>
      <c r="B43" s="26">
        <f>INDEX(MC[REFERENCE],MATCH(Supplier[[#This Row],[Cust PO]],MC[PO Number],0))</f>
        <v>24825</v>
      </c>
      <c r="C43" s="26">
        <f>_xlfn.XLOOKUP(Supplier[[#This Row],[Cust PO]],MC[PO Number],MC[REFERENCE],"NO MATCHES")</f>
        <v>24825</v>
      </c>
      <c r="D43" s="46">
        <v>602.58000000000004</v>
      </c>
      <c r="E43" s="26" t="s">
        <v>204</v>
      </c>
      <c r="F43" s="26">
        <v>2554</v>
      </c>
      <c r="G43" s="26">
        <v>4551221</v>
      </c>
      <c r="H43" s="26">
        <f t="shared" si="1"/>
        <v>310345</v>
      </c>
      <c r="I43" s="22"/>
      <c r="L43" s="28"/>
    </row>
    <row r="44" spans="1:12" s="27" customFormat="1" ht="15.6" x14ac:dyDescent="0.3">
      <c r="A44" s="26">
        <v>24679</v>
      </c>
      <c r="B44" s="26">
        <f>INDEX(MC[REFERENCE],MATCH(Supplier[[#This Row],[Cust PO]],MC[PO Number],0))</f>
        <v>24679</v>
      </c>
      <c r="C44" s="26">
        <f>_xlfn.XLOOKUP(Supplier[[#This Row],[Cust PO]],MC[PO Number],MC[REFERENCE],"NO MATCHES")</f>
        <v>24679</v>
      </c>
      <c r="D44" s="46">
        <v>930.93</v>
      </c>
      <c r="E44" s="26" t="s">
        <v>17</v>
      </c>
      <c r="F44" s="26">
        <v>2554</v>
      </c>
      <c r="G44" s="26">
        <v>4551221</v>
      </c>
      <c r="H44" s="26">
        <f t="shared" si="1"/>
        <v>310607</v>
      </c>
      <c r="I44" s="22"/>
      <c r="L44" s="28"/>
    </row>
    <row r="45" spans="1:12" s="27" customFormat="1" ht="15.6" x14ac:dyDescent="0.3">
      <c r="A45" s="26">
        <v>24693</v>
      </c>
      <c r="B45" s="26">
        <f>INDEX(MC[REFERENCE],MATCH(Supplier[[#This Row],[Cust PO]],MC[PO Number],0))</f>
        <v>24693</v>
      </c>
      <c r="C45" s="26">
        <f>_xlfn.XLOOKUP(Supplier[[#This Row],[Cust PO]],MC[PO Number],MC[REFERENCE],"NO MATCHES")</f>
        <v>24693</v>
      </c>
      <c r="D45" s="46">
        <v>623.70000000000005</v>
      </c>
      <c r="E45" s="26" t="s">
        <v>22</v>
      </c>
      <c r="F45" s="26">
        <v>2554</v>
      </c>
      <c r="G45" s="26">
        <v>4551221</v>
      </c>
      <c r="H45" s="26">
        <f t="shared" si="1"/>
        <v>312187</v>
      </c>
      <c r="I45" s="22"/>
      <c r="L45" s="28"/>
    </row>
    <row r="46" spans="1:12" s="27" customFormat="1" ht="15.6" x14ac:dyDescent="0.3">
      <c r="A46" s="26">
        <v>24775</v>
      </c>
      <c r="B46" s="26">
        <f>INDEX(MC[REFERENCE],MATCH(Supplier[[#This Row],[Cust PO]],MC[PO Number],0))</f>
        <v>24775</v>
      </c>
      <c r="C46" s="26">
        <f>_xlfn.XLOOKUP(Supplier[[#This Row],[Cust PO]],MC[PO Number],MC[REFERENCE],"NO MATCHES")</f>
        <v>24775</v>
      </c>
      <c r="D46" s="46">
        <v>600.27</v>
      </c>
      <c r="E46" s="26" t="s">
        <v>189</v>
      </c>
      <c r="F46" s="26">
        <v>2554</v>
      </c>
      <c r="G46" s="26">
        <v>4551221</v>
      </c>
      <c r="H46" s="26">
        <f t="shared" si="1"/>
        <v>312603</v>
      </c>
      <c r="I46" s="22"/>
      <c r="L46" s="28"/>
    </row>
    <row r="47" spans="1:12" s="27" customFormat="1" ht="15.6" x14ac:dyDescent="0.3">
      <c r="A47" s="26">
        <v>24878</v>
      </c>
      <c r="B47" s="26">
        <f>INDEX(MC[REFERENCE],MATCH(Supplier[[#This Row],[Cust PO]],MC[PO Number],0))</f>
        <v>24878</v>
      </c>
      <c r="C47" s="26">
        <f>_xlfn.XLOOKUP(Supplier[[#This Row],[Cust PO]],MC[PO Number],MC[REFERENCE],"NO MATCHES")</f>
        <v>24878</v>
      </c>
      <c r="D47" s="46">
        <v>809.49</v>
      </c>
      <c r="E47" s="26" t="s">
        <v>223</v>
      </c>
      <c r="F47" s="26">
        <v>2554</v>
      </c>
      <c r="G47" s="26">
        <v>4551221</v>
      </c>
      <c r="H47" s="26">
        <f t="shared" si="1"/>
        <v>312800</v>
      </c>
      <c r="I47" s="22"/>
      <c r="L47" s="28"/>
    </row>
    <row r="48" spans="1:12" s="27" customFormat="1" ht="15.6" x14ac:dyDescent="0.3">
      <c r="A48" s="26">
        <v>24831</v>
      </c>
      <c r="B48" s="26">
        <f>INDEX(MC[REFERENCE],MATCH(Supplier[[#This Row],[Cust PO]],MC[PO Number],0))</f>
        <v>24831</v>
      </c>
      <c r="C48" s="26">
        <f>_xlfn.XLOOKUP(Supplier[[#This Row],[Cust PO]],MC[PO Number],MC[REFERENCE],"NO MATCHES")</f>
        <v>24831</v>
      </c>
      <c r="D48" s="46">
        <v>56.43</v>
      </c>
      <c r="E48" s="26" t="s">
        <v>206</v>
      </c>
      <c r="F48" s="26">
        <v>2554</v>
      </c>
      <c r="G48" s="26">
        <v>4551221</v>
      </c>
      <c r="H48" s="26">
        <f t="shared" si="1"/>
        <v>313747</v>
      </c>
      <c r="I48" s="22"/>
      <c r="L48" s="28"/>
    </row>
    <row r="49" spans="1:12" s="27" customFormat="1" ht="15.6" x14ac:dyDescent="0.3">
      <c r="A49" s="26">
        <v>24819</v>
      </c>
      <c r="B49" s="26">
        <f>INDEX(MC[REFERENCE],MATCH(Supplier[[#This Row],[Cust PO]],MC[PO Number],0))</f>
        <v>24819</v>
      </c>
      <c r="C49" s="26">
        <f>_xlfn.XLOOKUP(Supplier[[#This Row],[Cust PO]],MC[PO Number],MC[REFERENCE],"NO MATCHES")</f>
        <v>24819</v>
      </c>
      <c r="D49" s="46">
        <v>417.12</v>
      </c>
      <c r="E49" s="26" t="s">
        <v>201</v>
      </c>
      <c r="F49" s="26">
        <v>2554</v>
      </c>
      <c r="G49" s="26">
        <v>4551221</v>
      </c>
      <c r="H49" s="26">
        <f t="shared" si="1"/>
        <v>314876</v>
      </c>
      <c r="I49" s="22"/>
      <c r="L49" s="28"/>
    </row>
    <row r="50" spans="1:12" s="27" customFormat="1" ht="15.6" x14ac:dyDescent="0.3">
      <c r="A50" s="26">
        <v>24861</v>
      </c>
      <c r="B50" s="26">
        <f>INDEX(MC[REFERENCE],MATCH(Supplier[[#This Row],[Cust PO]],MC[PO Number],0))</f>
        <v>24861</v>
      </c>
      <c r="C50" s="26">
        <f>_xlfn.XLOOKUP(Supplier[[#This Row],[Cust PO]],MC[PO Number],MC[REFERENCE],"NO MATCHES")</f>
        <v>24861</v>
      </c>
      <c r="D50" s="46">
        <v>600.6</v>
      </c>
      <c r="E50" s="26" t="s">
        <v>215</v>
      </c>
      <c r="F50" s="26">
        <v>2554</v>
      </c>
      <c r="G50" s="26">
        <v>4551221</v>
      </c>
      <c r="H50" s="26">
        <f t="shared" si="1"/>
        <v>316190</v>
      </c>
      <c r="I50" s="22"/>
      <c r="L50" s="28"/>
    </row>
    <row r="51" spans="1:12" s="27" customFormat="1" ht="15.6" x14ac:dyDescent="0.3">
      <c r="A51" s="26">
        <v>24771</v>
      </c>
      <c r="B51" s="26">
        <f>INDEX(MC[REFERENCE],MATCH(Supplier[[#This Row],[Cust PO]],MC[PO Number],0))</f>
        <v>24771</v>
      </c>
      <c r="C51" s="26">
        <f>_xlfn.XLOOKUP(Supplier[[#This Row],[Cust PO]],MC[PO Number],MC[REFERENCE],"NO MATCHES")</f>
        <v>24771</v>
      </c>
      <c r="D51" s="46">
        <v>736.23</v>
      </c>
      <c r="E51" s="26" t="s">
        <v>188</v>
      </c>
      <c r="F51" s="26">
        <v>2554</v>
      </c>
      <c r="G51" s="26">
        <v>4551221</v>
      </c>
      <c r="H51" s="26">
        <f t="shared" si="1"/>
        <v>316436</v>
      </c>
      <c r="I51" s="22"/>
      <c r="L51" s="28"/>
    </row>
    <row r="52" spans="1:12" s="27" customFormat="1" ht="15.6" x14ac:dyDescent="0.3">
      <c r="A52" s="26">
        <v>24727</v>
      </c>
      <c r="B52" s="26">
        <f>INDEX(MC[REFERENCE],MATCH(Supplier[[#This Row],[Cust PO]],MC[PO Number],0))</f>
        <v>24727</v>
      </c>
      <c r="C52" s="26">
        <f>_xlfn.XLOOKUP(Supplier[[#This Row],[Cust PO]],MC[PO Number],MC[REFERENCE],"NO MATCHES")</f>
        <v>24727</v>
      </c>
      <c r="D52" s="46">
        <v>1047.75</v>
      </c>
      <c r="E52" s="26" t="s">
        <v>169</v>
      </c>
      <c r="F52" s="26">
        <v>2554</v>
      </c>
      <c r="G52" s="26">
        <v>4551221</v>
      </c>
      <c r="H52" s="26">
        <f t="shared" si="1"/>
        <v>316479</v>
      </c>
      <c r="I52" s="22"/>
      <c r="L52" s="28"/>
    </row>
    <row r="53" spans="1:12" s="27" customFormat="1" ht="15.6" x14ac:dyDescent="0.3">
      <c r="A53" s="26">
        <v>24707</v>
      </c>
      <c r="B53" s="26">
        <f>INDEX(MC[REFERENCE],MATCH(Supplier[[#This Row],[Cust PO]],MC[PO Number],0))</f>
        <v>24707</v>
      </c>
      <c r="C53" s="26">
        <f>_xlfn.XLOOKUP(Supplier[[#This Row],[Cust PO]],MC[PO Number],MC[REFERENCE],"NO MATCHES")</f>
        <v>24707</v>
      </c>
      <c r="D53" s="46">
        <v>299.64</v>
      </c>
      <c r="E53" s="26" t="s">
        <v>27</v>
      </c>
      <c r="F53" s="26">
        <v>2554</v>
      </c>
      <c r="G53" s="26">
        <v>4551221</v>
      </c>
      <c r="H53" s="26">
        <f t="shared" si="1"/>
        <v>316515</v>
      </c>
      <c r="I53" s="22"/>
      <c r="L53" s="28"/>
    </row>
    <row r="54" spans="1:12" s="27" customFormat="1" ht="15.6" x14ac:dyDescent="0.3">
      <c r="A54" s="26">
        <v>24830</v>
      </c>
      <c r="B54" s="26">
        <f>INDEX(MC[REFERENCE],MATCH(Supplier[[#This Row],[Cust PO]],MC[PO Number],0))</f>
        <v>24830</v>
      </c>
      <c r="C54" s="26">
        <f>_xlfn.XLOOKUP(Supplier[[#This Row],[Cust PO]],MC[PO Number],MC[REFERENCE],"NO MATCHES")</f>
        <v>24830</v>
      </c>
      <c r="D54" s="46">
        <v>132.66</v>
      </c>
      <c r="E54" s="26" t="s">
        <v>205</v>
      </c>
      <c r="F54" s="26">
        <v>2554</v>
      </c>
      <c r="G54" s="26">
        <v>4551221</v>
      </c>
      <c r="H54" s="26">
        <f t="shared" si="1"/>
        <v>317142</v>
      </c>
      <c r="I54" s="22"/>
      <c r="L54" s="28"/>
    </row>
    <row r="55" spans="1:12" s="27" customFormat="1" ht="15.6" x14ac:dyDescent="0.3">
      <c r="A55" s="26">
        <v>24677</v>
      </c>
      <c r="B55" s="26">
        <f>INDEX(MC[REFERENCE],MATCH(Supplier[[#This Row],[Cust PO]],MC[PO Number],0))</f>
        <v>24677</v>
      </c>
      <c r="C55" s="26">
        <f>_xlfn.XLOOKUP(Supplier[[#This Row],[Cust PO]],MC[PO Number],MC[REFERENCE],"NO MATCHES")</f>
        <v>24677</v>
      </c>
      <c r="D55" s="46">
        <v>450.12</v>
      </c>
      <c r="E55" s="26" t="s">
        <v>15</v>
      </c>
      <c r="F55" s="26">
        <v>2554</v>
      </c>
      <c r="G55" s="26">
        <v>4551221</v>
      </c>
      <c r="H55" s="26">
        <f t="shared" si="1"/>
        <v>319376</v>
      </c>
      <c r="I55" s="22"/>
      <c r="L55" s="28"/>
    </row>
    <row r="56" spans="1:12" s="27" customFormat="1" ht="15.6" x14ac:dyDescent="0.3">
      <c r="A56" s="26">
        <v>24697</v>
      </c>
      <c r="B56" s="26">
        <f>INDEX(MC[REFERENCE],MATCH(Supplier[[#This Row],[Cust PO]],MC[PO Number],0))</f>
        <v>24697</v>
      </c>
      <c r="C56" s="26">
        <f>_xlfn.XLOOKUP(Supplier[[#This Row],[Cust PO]],MC[PO Number],MC[REFERENCE],"NO MATCHES")</f>
        <v>24697</v>
      </c>
      <c r="D56" s="46">
        <v>221.1</v>
      </c>
      <c r="E56" s="26" t="s">
        <v>23</v>
      </c>
      <c r="F56" s="26">
        <v>2554</v>
      </c>
      <c r="G56" s="26">
        <v>4551221</v>
      </c>
      <c r="H56" s="26">
        <f t="shared" si="1"/>
        <v>319790</v>
      </c>
      <c r="I56" s="22"/>
      <c r="L56" s="28"/>
    </row>
    <row r="57" spans="1:12" s="27" customFormat="1" ht="15.6" x14ac:dyDescent="0.3">
      <c r="A57" s="26">
        <v>24824</v>
      </c>
      <c r="B57" s="26">
        <f>INDEX(MC[REFERENCE],MATCH(Supplier[[#This Row],[Cust PO]],MC[PO Number],0))</f>
        <v>24824</v>
      </c>
      <c r="C57" s="26">
        <f>_xlfn.XLOOKUP(Supplier[[#This Row],[Cust PO]],MC[PO Number],MC[REFERENCE],"NO MATCHES")</f>
        <v>24824</v>
      </c>
      <c r="D57" s="46">
        <v>1061.94</v>
      </c>
      <c r="E57" s="26" t="s">
        <v>203</v>
      </c>
      <c r="F57" s="26">
        <v>2554</v>
      </c>
      <c r="G57" s="26">
        <v>4551221</v>
      </c>
      <c r="H57" s="26">
        <f t="shared" si="1"/>
        <v>319833</v>
      </c>
      <c r="I57" s="22"/>
      <c r="L57" s="28"/>
    </row>
    <row r="58" spans="1:12" s="27" customFormat="1" ht="15.6" x14ac:dyDescent="0.3">
      <c r="A58" s="26">
        <v>24851</v>
      </c>
      <c r="B58" s="26">
        <f>INDEX(MC[REFERENCE],MATCH(Supplier[[#This Row],[Cust PO]],MC[PO Number],0))</f>
        <v>24851</v>
      </c>
      <c r="C58" s="26">
        <f>_xlfn.XLOOKUP(Supplier[[#This Row],[Cust PO]],MC[PO Number],MC[REFERENCE],"NO MATCHES")</f>
        <v>24851</v>
      </c>
      <c r="D58" s="46">
        <v>948.75</v>
      </c>
      <c r="E58" s="26" t="s">
        <v>212</v>
      </c>
      <c r="F58" s="26">
        <v>2554</v>
      </c>
      <c r="G58" s="26">
        <v>4551221</v>
      </c>
      <c r="H58" s="26">
        <f t="shared" si="1"/>
        <v>320536</v>
      </c>
      <c r="I58" s="22"/>
      <c r="L58" s="28"/>
    </row>
    <row r="59" spans="1:12" s="27" customFormat="1" ht="15.6" x14ac:dyDescent="0.3">
      <c r="A59" s="26">
        <v>24857</v>
      </c>
      <c r="B59" s="26">
        <f>INDEX(MC[REFERENCE],MATCH(Supplier[[#This Row],[Cust PO]],MC[PO Number],0))</f>
        <v>24857</v>
      </c>
      <c r="C59" s="26">
        <f>_xlfn.XLOOKUP(Supplier[[#This Row],[Cust PO]],MC[PO Number],MC[REFERENCE],"NO MATCHES")</f>
        <v>24857</v>
      </c>
      <c r="D59" s="46">
        <v>242.22</v>
      </c>
      <c r="E59" s="26" t="s">
        <v>214</v>
      </c>
      <c r="F59" s="26">
        <v>2554</v>
      </c>
      <c r="G59" s="26">
        <v>4551221</v>
      </c>
      <c r="H59" s="26">
        <f t="shared" si="1"/>
        <v>321358</v>
      </c>
      <c r="I59" s="22"/>
      <c r="L59" s="28"/>
    </row>
    <row r="60" spans="1:12" s="27" customFormat="1" ht="15.6" x14ac:dyDescent="0.3">
      <c r="A60" s="26">
        <v>24803</v>
      </c>
      <c r="B60" s="26">
        <f>INDEX(MC[REFERENCE],MATCH(Supplier[[#This Row],[Cust PO]],MC[PO Number],0))</f>
        <v>24803</v>
      </c>
      <c r="C60" s="26">
        <f>_xlfn.XLOOKUP(Supplier[[#This Row],[Cust PO]],MC[PO Number],MC[REFERENCE],"NO MATCHES")</f>
        <v>24803</v>
      </c>
      <c r="D60" s="46">
        <v>628.98</v>
      </c>
      <c r="E60" s="26" t="s">
        <v>197</v>
      </c>
      <c r="F60" s="26">
        <v>2554</v>
      </c>
      <c r="G60" s="26">
        <v>4551221</v>
      </c>
      <c r="H60" s="26">
        <f t="shared" si="1"/>
        <v>321456</v>
      </c>
      <c r="I60" s="22"/>
      <c r="L60" s="28"/>
    </row>
    <row r="61" spans="1:12" s="27" customFormat="1" ht="15.6" x14ac:dyDescent="0.3">
      <c r="A61" s="26">
        <v>24854</v>
      </c>
      <c r="B61" s="26">
        <f>INDEX(MC[REFERENCE],MATCH(Supplier[[#This Row],[Cust PO]],MC[PO Number],0))</f>
        <v>24854</v>
      </c>
      <c r="C61" s="26">
        <f>_xlfn.XLOOKUP(Supplier[[#This Row],[Cust PO]],MC[PO Number],MC[REFERENCE],"NO MATCHES")</f>
        <v>24854</v>
      </c>
      <c r="D61" s="46">
        <v>446.49</v>
      </c>
      <c r="E61" s="26" t="s">
        <v>213</v>
      </c>
      <c r="F61" s="26">
        <v>2554</v>
      </c>
      <c r="G61" s="26">
        <v>4551221</v>
      </c>
      <c r="H61" s="26">
        <f t="shared" si="1"/>
        <v>322800</v>
      </c>
      <c r="I61" s="22"/>
      <c r="L61" s="28"/>
    </row>
    <row r="62" spans="1:12" s="27" customFormat="1" ht="15.6" x14ac:dyDescent="0.3">
      <c r="A62" s="26">
        <v>24704</v>
      </c>
      <c r="B62" s="26">
        <f>INDEX(MC[REFERENCE],MATCH(Supplier[[#This Row],[Cust PO]],MC[PO Number],0))</f>
        <v>24704</v>
      </c>
      <c r="C62" s="26">
        <f>_xlfn.XLOOKUP(Supplier[[#This Row],[Cust PO]],MC[PO Number],MC[REFERENCE],"NO MATCHES")</f>
        <v>24704</v>
      </c>
      <c r="D62" s="46">
        <v>499.95</v>
      </c>
      <c r="E62" s="26" t="s">
        <v>26</v>
      </c>
      <c r="F62" s="26">
        <v>2554</v>
      </c>
      <c r="G62" s="26">
        <v>4551221</v>
      </c>
      <c r="H62" s="26">
        <f t="shared" si="1"/>
        <v>323955</v>
      </c>
      <c r="I62" s="22"/>
      <c r="L62" s="28"/>
    </row>
    <row r="63" spans="1:12" s="27" customFormat="1" ht="15.6" x14ac:dyDescent="0.3">
      <c r="A63" s="26">
        <v>24761</v>
      </c>
      <c r="B63" s="26">
        <f>INDEX(MC[REFERENCE],MATCH(Supplier[[#This Row],[Cust PO]],MC[PO Number],0))</f>
        <v>24761</v>
      </c>
      <c r="C63" s="26">
        <f>_xlfn.XLOOKUP(Supplier[[#This Row],[Cust PO]],MC[PO Number],MC[REFERENCE],"NO MATCHES")</f>
        <v>24761</v>
      </c>
      <c r="D63" s="46">
        <v>449.13</v>
      </c>
      <c r="E63" s="26" t="s">
        <v>185</v>
      </c>
      <c r="F63" s="26">
        <v>2554</v>
      </c>
      <c r="G63" s="26">
        <v>4551221</v>
      </c>
      <c r="H63" s="26">
        <f t="shared" si="1"/>
        <v>325149</v>
      </c>
      <c r="I63" s="22"/>
      <c r="L63" s="28"/>
    </row>
    <row r="64" spans="1:12" s="27" customFormat="1" ht="15.6" x14ac:dyDescent="0.3">
      <c r="A64" s="26">
        <v>24877</v>
      </c>
      <c r="B64" s="26">
        <f>INDEX(MC[REFERENCE],MATCH(Supplier[[#This Row],[Cust PO]],MC[PO Number],0))</f>
        <v>24877</v>
      </c>
      <c r="C64" s="26">
        <f>_xlfn.XLOOKUP(Supplier[[#This Row],[Cust PO]],MC[PO Number],MC[REFERENCE],"NO MATCHES")</f>
        <v>24877</v>
      </c>
      <c r="D64" s="46">
        <v>650.42999999999995</v>
      </c>
      <c r="E64" s="26" t="s">
        <v>222</v>
      </c>
      <c r="F64" s="26">
        <v>2554</v>
      </c>
      <c r="G64" s="26">
        <v>4551221</v>
      </c>
      <c r="H64" s="26">
        <f t="shared" si="1"/>
        <v>325643</v>
      </c>
      <c r="I64" s="22"/>
      <c r="L64" s="28"/>
    </row>
    <row r="65" spans="1:12" s="27" customFormat="1" ht="15.6" x14ac:dyDescent="0.3">
      <c r="A65" s="26">
        <v>24893</v>
      </c>
      <c r="B65" s="26">
        <f>INDEX(MC[REFERENCE],MATCH(Supplier[[#This Row],[Cust PO]],MC[PO Number],0))</f>
        <v>24893</v>
      </c>
      <c r="C65" s="26">
        <f>_xlfn.XLOOKUP(Supplier[[#This Row],[Cust PO]],MC[PO Number],MC[REFERENCE],"NO MATCHES")</f>
        <v>24893</v>
      </c>
      <c r="D65" s="46">
        <v>446.16</v>
      </c>
      <c r="E65" s="26" t="s">
        <v>229</v>
      </c>
      <c r="F65" s="26">
        <v>2554</v>
      </c>
      <c r="G65" s="26">
        <v>4551221</v>
      </c>
      <c r="H65" s="26">
        <f t="shared" si="1"/>
        <v>326543</v>
      </c>
      <c r="I65" s="22"/>
      <c r="L65" s="28"/>
    </row>
    <row r="66" spans="1:12" s="27" customFormat="1" ht="15.6" x14ac:dyDescent="0.3">
      <c r="A66" s="26">
        <v>24698</v>
      </c>
      <c r="B66" s="26">
        <f>INDEX(MC[REFERENCE],MATCH(Supplier[[#This Row],[Cust PO]],MC[PO Number],0))</f>
        <v>24698</v>
      </c>
      <c r="C66" s="26">
        <f>_xlfn.XLOOKUP(Supplier[[#This Row],[Cust PO]],MC[PO Number],MC[REFERENCE],"NO MATCHES")</f>
        <v>24698</v>
      </c>
      <c r="D66" s="46">
        <v>393.36</v>
      </c>
      <c r="E66" s="26" t="s">
        <v>24</v>
      </c>
      <c r="F66" s="26">
        <v>2554</v>
      </c>
      <c r="G66" s="26">
        <v>4551221</v>
      </c>
      <c r="H66" s="26">
        <f t="shared" ref="H66:H86" si="2">VALUE(RIGHT(E66,6))</f>
        <v>327342</v>
      </c>
      <c r="I66" s="22"/>
      <c r="L66" s="28"/>
    </row>
    <row r="67" spans="1:12" s="27" customFormat="1" ht="15.6" x14ac:dyDescent="0.3">
      <c r="A67" s="26">
        <v>24673</v>
      </c>
      <c r="B67" s="26">
        <f>INDEX(MC[REFERENCE],MATCH(Supplier[[#This Row],[Cust PO]],MC[PO Number],0))</f>
        <v>24674</v>
      </c>
      <c r="C67" s="26">
        <f>_xlfn.XLOOKUP(Supplier[[#This Row],[Cust PO]],MC[PO Number],MC[REFERENCE],"NO MATCHES")</f>
        <v>24674</v>
      </c>
      <c r="D67" s="46">
        <v>1021.02</v>
      </c>
      <c r="E67" s="26" t="s">
        <v>12</v>
      </c>
      <c r="F67" s="26">
        <v>2554</v>
      </c>
      <c r="G67" s="26">
        <v>4551221</v>
      </c>
      <c r="H67" s="26">
        <f t="shared" si="2"/>
        <v>327600</v>
      </c>
      <c r="I67" s="22"/>
      <c r="L67" s="28"/>
    </row>
    <row r="68" spans="1:12" s="27" customFormat="1" ht="15.6" x14ac:dyDescent="0.3">
      <c r="A68" s="26">
        <v>24795</v>
      </c>
      <c r="B68" s="26">
        <f>INDEX(MC[REFERENCE],MATCH(Supplier[[#This Row],[Cust PO]],MC[PO Number],0))</f>
        <v>24795</v>
      </c>
      <c r="C68" s="26">
        <f>_xlfn.XLOOKUP(Supplier[[#This Row],[Cust PO]],MC[PO Number],MC[REFERENCE],"NO MATCHES")</f>
        <v>24795</v>
      </c>
      <c r="D68" s="46">
        <v>950.73</v>
      </c>
      <c r="E68" s="26" t="s">
        <v>194</v>
      </c>
      <c r="F68" s="26">
        <v>2554</v>
      </c>
      <c r="G68" s="26">
        <v>4551221</v>
      </c>
      <c r="H68" s="26">
        <f t="shared" si="2"/>
        <v>327740</v>
      </c>
      <c r="I68" s="22"/>
      <c r="L68" s="28"/>
    </row>
    <row r="69" spans="1:12" s="27" customFormat="1" ht="15.6" x14ac:dyDescent="0.3">
      <c r="A69" s="26">
        <v>24863</v>
      </c>
      <c r="B69" s="26">
        <f>INDEX(MC[REFERENCE],MATCH(Supplier[[#This Row],[Cust PO]],MC[PO Number],0))</f>
        <v>24863</v>
      </c>
      <c r="C69" s="26">
        <f>_xlfn.XLOOKUP(Supplier[[#This Row],[Cust PO]],MC[PO Number],MC[REFERENCE],"NO MATCHES")</f>
        <v>24863</v>
      </c>
      <c r="D69" s="46">
        <v>546.80999999999995</v>
      </c>
      <c r="E69" s="26" t="s">
        <v>216</v>
      </c>
      <c r="F69" s="26">
        <v>2554</v>
      </c>
      <c r="G69" s="26">
        <v>4551221</v>
      </c>
      <c r="H69" s="26">
        <f t="shared" si="2"/>
        <v>327938</v>
      </c>
      <c r="I69" s="22"/>
      <c r="L69" s="28"/>
    </row>
    <row r="70" spans="1:12" s="27" customFormat="1" ht="15.6" x14ac:dyDescent="0.3">
      <c r="A70" s="26">
        <v>24838</v>
      </c>
      <c r="B70" s="26">
        <f>INDEX(MC[REFERENCE],MATCH(Supplier[[#This Row],[Cust PO]],MC[PO Number],0))</f>
        <v>24838</v>
      </c>
      <c r="C70" s="26">
        <f>_xlfn.XLOOKUP(Supplier[[#This Row],[Cust PO]],MC[PO Number],MC[REFERENCE],"NO MATCHES")</f>
        <v>24838</v>
      </c>
      <c r="D70" s="46">
        <v>668.25</v>
      </c>
      <c r="E70" s="26" t="s">
        <v>209</v>
      </c>
      <c r="F70" s="26">
        <v>2554</v>
      </c>
      <c r="G70" s="26">
        <v>4551221</v>
      </c>
      <c r="H70" s="26">
        <f t="shared" si="2"/>
        <v>328536</v>
      </c>
      <c r="I70" s="22"/>
      <c r="L70" s="28"/>
    </row>
    <row r="71" spans="1:12" s="27" customFormat="1" ht="15.6" x14ac:dyDescent="0.3">
      <c r="A71" s="26">
        <v>24750</v>
      </c>
      <c r="B71" s="26">
        <f>INDEX(MC[REFERENCE],MATCH(Supplier[[#This Row],[Cust PO]],MC[PO Number],0))</f>
        <v>24750</v>
      </c>
      <c r="C71" s="26">
        <f>_xlfn.XLOOKUP(Supplier[[#This Row],[Cust PO]],MC[PO Number],MC[REFERENCE],"NO MATCHES")</f>
        <v>24750</v>
      </c>
      <c r="D71" s="46">
        <v>426.03</v>
      </c>
      <c r="E71" s="26" t="s">
        <v>177</v>
      </c>
      <c r="F71" s="26">
        <v>2554</v>
      </c>
      <c r="G71" s="26">
        <v>4551221</v>
      </c>
      <c r="H71" s="26">
        <f t="shared" si="2"/>
        <v>330858</v>
      </c>
      <c r="I71" s="22"/>
      <c r="L71" s="28"/>
    </row>
    <row r="72" spans="1:12" s="27" customFormat="1" ht="15.6" x14ac:dyDescent="0.3">
      <c r="A72" s="26">
        <v>24743</v>
      </c>
      <c r="B72" s="26">
        <f>INDEX(MC[REFERENCE],MATCH(Supplier[[#This Row],[Cust PO]],MC[PO Number],0))</f>
        <v>24743</v>
      </c>
      <c r="C72" s="26">
        <f>_xlfn.XLOOKUP(Supplier[[#This Row],[Cust PO]],MC[PO Number],MC[REFERENCE],"NO MATCHES")</f>
        <v>24743</v>
      </c>
      <c r="D72" s="46">
        <v>78.540000000000006</v>
      </c>
      <c r="E72" s="26" t="s">
        <v>175</v>
      </c>
      <c r="F72" s="26">
        <v>2554</v>
      </c>
      <c r="G72" s="26">
        <v>4551221</v>
      </c>
      <c r="H72" s="26">
        <f t="shared" si="2"/>
        <v>331383</v>
      </c>
      <c r="I72" s="22"/>
      <c r="L72" s="28"/>
    </row>
    <row r="73" spans="1:12" s="27" customFormat="1" ht="15.6" x14ac:dyDescent="0.3">
      <c r="A73" s="26">
        <v>24793</v>
      </c>
      <c r="B73" s="26">
        <f>INDEX(MC[REFERENCE],MATCH(Supplier[[#This Row],[Cust PO]],MC[PO Number],0))</f>
        <v>24793</v>
      </c>
      <c r="C73" s="26">
        <f>_xlfn.XLOOKUP(Supplier[[#This Row],[Cust PO]],MC[PO Number],MC[REFERENCE],"NO MATCHES")</f>
        <v>24793</v>
      </c>
      <c r="D73" s="46">
        <v>821.37</v>
      </c>
      <c r="E73" s="26" t="s">
        <v>193</v>
      </c>
      <c r="F73" s="26">
        <v>2554</v>
      </c>
      <c r="G73" s="26">
        <v>4551221</v>
      </c>
      <c r="H73" s="26">
        <f t="shared" si="2"/>
        <v>331460</v>
      </c>
      <c r="I73" s="22"/>
      <c r="L73" s="28"/>
    </row>
    <row r="74" spans="1:12" s="27" customFormat="1" ht="15.6" x14ac:dyDescent="0.3">
      <c r="A74" s="26">
        <v>24675</v>
      </c>
      <c r="B74" s="26">
        <f>INDEX(MC[REFERENCE],MATCH(Supplier[[#This Row],[Cust PO]],MC[PO Number],0))</f>
        <v>24675</v>
      </c>
      <c r="C74" s="26">
        <f>_xlfn.XLOOKUP(Supplier[[#This Row],[Cust PO]],MC[PO Number],MC[REFERENCE],"NO MATCHES")</f>
        <v>24675</v>
      </c>
      <c r="D74" s="46">
        <v>409.53</v>
      </c>
      <c r="E74" s="26" t="s">
        <v>13</v>
      </c>
      <c r="F74" s="26">
        <v>2554</v>
      </c>
      <c r="G74" s="26">
        <v>4551221</v>
      </c>
      <c r="H74" s="26">
        <f t="shared" si="2"/>
        <v>332589</v>
      </c>
      <c r="I74" s="22"/>
      <c r="L74" s="28"/>
    </row>
    <row r="75" spans="1:12" s="27" customFormat="1" ht="15.6" x14ac:dyDescent="0.3">
      <c r="A75" s="26">
        <v>24757</v>
      </c>
      <c r="B75" s="26">
        <f>INDEX(MC[REFERENCE],MATCH(Supplier[[#This Row],[Cust PO]],MC[PO Number],0))</f>
        <v>24757</v>
      </c>
      <c r="C75" s="26">
        <f>_xlfn.XLOOKUP(Supplier[[#This Row],[Cust PO]],MC[PO Number],MC[REFERENCE],"NO MATCHES")</f>
        <v>24757</v>
      </c>
      <c r="D75" s="46">
        <v>549.12</v>
      </c>
      <c r="E75" s="26" t="s">
        <v>181</v>
      </c>
      <c r="F75" s="26">
        <v>2554</v>
      </c>
      <c r="G75" s="26">
        <v>4551221</v>
      </c>
      <c r="H75" s="26">
        <f t="shared" si="2"/>
        <v>332725</v>
      </c>
      <c r="I75" s="22"/>
      <c r="L75" s="28"/>
    </row>
    <row r="76" spans="1:12" s="27" customFormat="1" ht="15.6" x14ac:dyDescent="0.3">
      <c r="A76" s="26">
        <v>24679</v>
      </c>
      <c r="B76" s="26">
        <f>INDEX(MC[REFERENCE],MATCH(Supplier[[#This Row],[Cust PO]],MC[PO Number],0))</f>
        <v>24679</v>
      </c>
      <c r="C76" s="26">
        <f>_xlfn.XLOOKUP(Supplier[[#This Row],[Cust PO]],MC[PO Number],MC[REFERENCE],"NO MATCHES")</f>
        <v>24679</v>
      </c>
      <c r="D76" s="46">
        <v>114.18</v>
      </c>
      <c r="E76" s="26" t="s">
        <v>16</v>
      </c>
      <c r="F76" s="26">
        <v>2554</v>
      </c>
      <c r="G76" s="26">
        <v>4551221</v>
      </c>
      <c r="H76" s="26">
        <f t="shared" si="2"/>
        <v>334724</v>
      </c>
      <c r="I76" s="22"/>
      <c r="L76" s="28"/>
    </row>
    <row r="77" spans="1:12" s="27" customFormat="1" ht="15.6" x14ac:dyDescent="0.3">
      <c r="A77" s="26">
        <v>24746</v>
      </c>
      <c r="B77" s="26">
        <f>INDEX(MC[REFERENCE],MATCH(Supplier[[#This Row],[Cust PO]],MC[PO Number],0))</f>
        <v>24746</v>
      </c>
      <c r="C77" s="26">
        <f>_xlfn.XLOOKUP(Supplier[[#This Row],[Cust PO]],MC[PO Number],MC[REFERENCE],"NO MATCHES")</f>
        <v>24746</v>
      </c>
      <c r="D77" s="46">
        <v>302.61</v>
      </c>
      <c r="E77" s="26" t="s">
        <v>176</v>
      </c>
      <c r="F77" s="26">
        <v>2554</v>
      </c>
      <c r="G77" s="26">
        <v>4551221</v>
      </c>
      <c r="H77" s="26">
        <f t="shared" si="2"/>
        <v>335282</v>
      </c>
      <c r="I77" s="22"/>
      <c r="L77" s="28"/>
    </row>
    <row r="78" spans="1:12" s="27" customFormat="1" ht="15.6" x14ac:dyDescent="0.3">
      <c r="A78" s="26">
        <v>24699</v>
      </c>
      <c r="B78" s="26">
        <f>INDEX(MC[REFERENCE],MATCH(Supplier[[#This Row],[Cust PO]],MC[PO Number],0))</f>
        <v>24699</v>
      </c>
      <c r="C78" s="26">
        <f>_xlfn.XLOOKUP(Supplier[[#This Row],[Cust PO]],MC[PO Number],MC[REFERENCE],"NO MATCHES")</f>
        <v>24699</v>
      </c>
      <c r="D78" s="46">
        <v>642.17999999999995</v>
      </c>
      <c r="E78" s="26" t="s">
        <v>25</v>
      </c>
      <c r="F78" s="26">
        <v>2554</v>
      </c>
      <c r="G78" s="26">
        <v>4551221</v>
      </c>
      <c r="H78" s="26">
        <f t="shared" si="2"/>
        <v>335460</v>
      </c>
      <c r="I78" s="22"/>
      <c r="L78" s="28"/>
    </row>
    <row r="79" spans="1:12" s="27" customFormat="1" ht="15.6" x14ac:dyDescent="0.3">
      <c r="A79" s="26">
        <v>24759</v>
      </c>
      <c r="B79" s="26">
        <f>INDEX(MC[REFERENCE],MATCH(Supplier[[#This Row],[Cust PO]],MC[PO Number],0))</f>
        <v>24759</v>
      </c>
      <c r="C79" s="26">
        <f>_xlfn.XLOOKUP(Supplier[[#This Row],[Cust PO]],MC[PO Number],MC[REFERENCE],"NO MATCHES")</f>
        <v>24759</v>
      </c>
      <c r="D79" s="46">
        <v>644.82000000000005</v>
      </c>
      <c r="E79" s="26" t="s">
        <v>183</v>
      </c>
      <c r="F79" s="26">
        <v>2554</v>
      </c>
      <c r="G79" s="26">
        <v>4551221</v>
      </c>
      <c r="H79" s="26">
        <f t="shared" si="2"/>
        <v>336345</v>
      </c>
      <c r="I79" s="22"/>
      <c r="L79" s="28"/>
    </row>
    <row r="80" spans="1:12" s="27" customFormat="1" ht="15.6" x14ac:dyDescent="0.3">
      <c r="A80" s="26">
        <v>24788</v>
      </c>
      <c r="B80" s="26">
        <f>INDEX(MC[REFERENCE],MATCH(Supplier[[#This Row],[Cust PO]],MC[PO Number],0))</f>
        <v>24759</v>
      </c>
      <c r="C80" s="26">
        <f>_xlfn.XLOOKUP(Supplier[[#This Row],[Cust PO]],MC[PO Number],MC[REFERENCE],"NO MATCHES")</f>
        <v>24759</v>
      </c>
      <c r="D80" s="46">
        <v>442.86</v>
      </c>
      <c r="E80" s="26" t="s">
        <v>183</v>
      </c>
      <c r="F80" s="26">
        <v>2554</v>
      </c>
      <c r="G80" s="26">
        <v>4551221</v>
      </c>
      <c r="H80" s="26">
        <f t="shared" si="2"/>
        <v>336345</v>
      </c>
      <c r="I80" s="22"/>
      <c r="L80" s="28"/>
    </row>
    <row r="81" spans="1:12" s="27" customFormat="1" ht="15.6" x14ac:dyDescent="0.3">
      <c r="A81" s="26">
        <v>24676</v>
      </c>
      <c r="B81" s="26">
        <f>INDEX(MC[REFERENCE],MATCH(Supplier[[#This Row],[Cust PO]],MC[PO Number],0))</f>
        <v>24676</v>
      </c>
      <c r="C81" s="26">
        <f>_xlfn.XLOOKUP(Supplier[[#This Row],[Cust PO]],MC[PO Number],MC[REFERENCE],"NO MATCHES")</f>
        <v>24676</v>
      </c>
      <c r="D81" s="46">
        <v>234.96</v>
      </c>
      <c r="E81" s="26" t="s">
        <v>14</v>
      </c>
      <c r="F81" s="26">
        <v>2554</v>
      </c>
      <c r="G81" s="26">
        <v>4551221</v>
      </c>
      <c r="H81" s="26">
        <f t="shared" si="2"/>
        <v>337131</v>
      </c>
      <c r="I81" s="22"/>
      <c r="L81" s="28"/>
    </row>
    <row r="82" spans="1:12" s="27" customFormat="1" ht="15.6" x14ac:dyDescent="0.3">
      <c r="A82" s="26">
        <v>24898</v>
      </c>
      <c r="B82" s="26">
        <f>INDEX(MC[REFERENCE],MATCH(Supplier[[#This Row],[Cust PO]],MC[PO Number],0))</f>
        <v>24898</v>
      </c>
      <c r="C82" s="26">
        <f>_xlfn.XLOOKUP(Supplier[[#This Row],[Cust PO]],MC[PO Number],MC[REFERENCE],"NO MATCHES")</f>
        <v>24898</v>
      </c>
      <c r="D82" s="46">
        <v>1032.24</v>
      </c>
      <c r="E82" s="26" t="s">
        <v>230</v>
      </c>
      <c r="F82" s="26">
        <v>2554</v>
      </c>
      <c r="G82" s="26">
        <v>4551221</v>
      </c>
      <c r="H82" s="26">
        <f t="shared" si="2"/>
        <v>338553</v>
      </c>
      <c r="I82" s="22"/>
      <c r="L82" s="28"/>
    </row>
    <row r="83" spans="1:12" s="27" customFormat="1" ht="15.6" x14ac:dyDescent="0.3">
      <c r="A83" s="26">
        <v>24760</v>
      </c>
      <c r="B83" s="26">
        <f>INDEX(MC[REFERENCE],MATCH(Supplier[[#This Row],[Cust PO]],MC[PO Number],0))</f>
        <v>24760</v>
      </c>
      <c r="C83" s="26">
        <f>_xlfn.XLOOKUP(Supplier[[#This Row],[Cust PO]],MC[PO Number],MC[REFERENCE],"NO MATCHES")</f>
        <v>24760</v>
      </c>
      <c r="D83" s="46">
        <v>113.19</v>
      </c>
      <c r="E83" s="26" t="s">
        <v>184</v>
      </c>
      <c r="F83" s="26">
        <v>2554</v>
      </c>
      <c r="G83" s="26">
        <v>4551221</v>
      </c>
      <c r="H83" s="26">
        <f t="shared" si="2"/>
        <v>338595</v>
      </c>
      <c r="I83" s="22"/>
      <c r="L83" s="28"/>
    </row>
    <row r="84" spans="1:12" s="27" customFormat="1" ht="15.6" x14ac:dyDescent="0.3">
      <c r="A84" s="26">
        <v>24880</v>
      </c>
      <c r="B84" s="26">
        <f>INDEX(MC[REFERENCE],MATCH(Supplier[[#This Row],[Cust PO]],MC[PO Number],0))</f>
        <v>24880</v>
      </c>
      <c r="C84" s="26">
        <f>_xlfn.XLOOKUP(Supplier[[#This Row],[Cust PO]],MC[PO Number],MC[REFERENCE],"NO MATCHES")</f>
        <v>24880</v>
      </c>
      <c r="D84" s="46">
        <v>424.38</v>
      </c>
      <c r="E84" s="26" t="s">
        <v>224</v>
      </c>
      <c r="F84" s="26">
        <v>2554</v>
      </c>
      <c r="G84" s="26">
        <v>4551221</v>
      </c>
      <c r="H84" s="26">
        <f t="shared" si="2"/>
        <v>338807</v>
      </c>
      <c r="I84" s="22"/>
      <c r="L84" s="28"/>
    </row>
    <row r="85" spans="1:12" s="27" customFormat="1" ht="15.6" x14ac:dyDescent="0.3">
      <c r="A85" s="26">
        <v>24847</v>
      </c>
      <c r="B85" s="26">
        <f>INDEX(MC[REFERENCE],MATCH(Supplier[[#This Row],[Cust PO]],MC[PO Number],0))</f>
        <v>24847</v>
      </c>
      <c r="C85" s="26">
        <f>_xlfn.XLOOKUP(Supplier[[#This Row],[Cust PO]],MC[PO Number],MC[REFERENCE],"NO MATCHES")</f>
        <v>24847</v>
      </c>
      <c r="D85" s="46">
        <v>1000.23</v>
      </c>
      <c r="E85" s="26" t="s">
        <v>211</v>
      </c>
      <c r="F85" s="26">
        <v>2554</v>
      </c>
      <c r="G85" s="26">
        <v>4551221</v>
      </c>
      <c r="H85" s="26">
        <f t="shared" si="2"/>
        <v>338938</v>
      </c>
      <c r="I85" s="22"/>
      <c r="L85" s="28"/>
    </row>
    <row r="86" spans="1:12" s="27" customFormat="1" ht="15.6" x14ac:dyDescent="0.3">
      <c r="A86" s="26">
        <v>24779</v>
      </c>
      <c r="B86" s="26">
        <f>INDEX(MC[REFERENCE],MATCH(Supplier[[#This Row],[Cust PO]],MC[PO Number],0))</f>
        <v>24779</v>
      </c>
      <c r="C86" s="26">
        <f>_xlfn.XLOOKUP(Supplier[[#This Row],[Cust PO]],MC[PO Number],MC[REFERENCE],"NO MATCHES")</f>
        <v>24779</v>
      </c>
      <c r="D86" s="46">
        <v>480.81</v>
      </c>
      <c r="E86" s="26" t="s">
        <v>190</v>
      </c>
      <c r="F86" s="26">
        <v>2554</v>
      </c>
      <c r="G86" s="26">
        <v>4551221</v>
      </c>
      <c r="H86" s="26">
        <f t="shared" si="2"/>
        <v>339907</v>
      </c>
      <c r="I86" s="22"/>
      <c r="L86" s="28"/>
    </row>
  </sheetData>
  <phoneticPr fontId="5" type="noConversion"/>
  <dataValidations count="1">
    <dataValidation type="list" allowBlank="1" showInputMessage="1" showErrorMessage="1" sqref="K4" xr:uid="{A55603ED-A572-45DB-8E38-F024042591BE}">
      <formula1>MC_Heads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D34A-D0CE-45EB-8220-FA6C9F3EE824}">
  <sheetPr codeName="Sheet2"/>
  <dimension ref="A1:P88"/>
  <sheetViews>
    <sheetView zoomScaleNormal="100" workbookViewId="0">
      <selection activeCell="D1" sqref="D1"/>
    </sheetView>
  </sheetViews>
  <sheetFormatPr defaultRowHeight="14.4" x14ac:dyDescent="0.3"/>
  <cols>
    <col min="1" max="1" width="17.21875" bestFit="1" customWidth="1"/>
    <col min="2" max="2" width="18.5546875" bestFit="1" customWidth="1"/>
    <col min="3" max="3" width="17.5546875" bestFit="1" customWidth="1"/>
    <col min="4" max="4" width="17" style="2" bestFit="1" customWidth="1"/>
    <col min="5" max="5" width="14.21875" style="2" bestFit="1" customWidth="1"/>
    <col min="6" max="6" width="18.77734375" style="2" bestFit="1" customWidth="1"/>
    <col min="7" max="7" width="16.33203125" bestFit="1" customWidth="1"/>
    <col min="8" max="8" width="17.109375" bestFit="1" customWidth="1"/>
    <col min="9" max="9" width="13.33203125" bestFit="1" customWidth="1"/>
    <col min="10" max="10" width="13" bestFit="1" customWidth="1"/>
    <col min="11" max="11" width="17" style="5" bestFit="1" customWidth="1"/>
    <col min="12" max="12" width="16.33203125" style="5" bestFit="1" customWidth="1"/>
    <col min="13" max="13" width="11.44140625" bestFit="1" customWidth="1"/>
    <col min="14" max="14" width="11.109375" bestFit="1" customWidth="1"/>
    <col min="15" max="15" width="3.44140625" customWidth="1"/>
    <col min="16" max="16" width="3.21875" bestFit="1" customWidth="1"/>
    <col min="17" max="17" width="7.109375" bestFit="1" customWidth="1"/>
  </cols>
  <sheetData>
    <row r="1" spans="1:16" ht="23.4" x14ac:dyDescent="0.45">
      <c r="A1" s="9" t="s">
        <v>119</v>
      </c>
      <c r="L1"/>
    </row>
    <row r="2" spans="1:16" s="22" customFormat="1" ht="15.6" x14ac:dyDescent="0.3">
      <c r="A2" s="22" t="s">
        <v>128</v>
      </c>
      <c r="B2" s="30">
        <f ca="1">TODAY()</f>
        <v>44687</v>
      </c>
      <c r="D2" s="31"/>
      <c r="E2" s="30"/>
      <c r="F2" s="32"/>
    </row>
    <row r="3" spans="1:16" s="22" customFormat="1" ht="15.6" x14ac:dyDescent="0.3">
      <c r="D3" s="32"/>
      <c r="E3" s="32"/>
      <c r="F3" s="32"/>
      <c r="K3" s="32"/>
    </row>
    <row r="4" spans="1:16" s="35" customFormat="1" ht="15.6" x14ac:dyDescent="0.3">
      <c r="A4" s="33" t="s">
        <v>118</v>
      </c>
      <c r="B4" s="33" t="s">
        <v>240</v>
      </c>
      <c r="C4" s="34" t="s">
        <v>117</v>
      </c>
      <c r="D4" s="34" t="s">
        <v>5</v>
      </c>
      <c r="E4" s="34" t="s">
        <v>0</v>
      </c>
      <c r="F4" s="34" t="s">
        <v>1</v>
      </c>
      <c r="G4" s="34" t="s">
        <v>2</v>
      </c>
      <c r="H4" s="34" t="s">
        <v>10</v>
      </c>
      <c r="I4" s="34" t="s">
        <v>8</v>
      </c>
      <c r="J4" s="34" t="s">
        <v>7</v>
      </c>
      <c r="K4" s="34" t="s">
        <v>127</v>
      </c>
    </row>
    <row r="5" spans="1:16" s="22" customFormat="1" ht="15.6" x14ac:dyDescent="0.3">
      <c r="A5" s="21" t="s">
        <v>95</v>
      </c>
      <c r="B5" s="21">
        <f>VALUE(LEFT(MC[[#This Row],[Payment Ref]],5))</f>
        <v>24842</v>
      </c>
      <c r="C5" s="36" t="s">
        <v>120</v>
      </c>
      <c r="D5" s="36">
        <v>545762</v>
      </c>
      <c r="E5" s="37">
        <v>43914</v>
      </c>
      <c r="F5" s="37">
        <f t="shared" ref="F5:F36" si="0">WORKDAY(EDATE(E5,1)-1,1)</f>
        <v>43945</v>
      </c>
      <c r="G5" s="37">
        <v>43933</v>
      </c>
      <c r="H5" s="36">
        <v>210023</v>
      </c>
      <c r="I5" s="36" t="s">
        <v>31</v>
      </c>
      <c r="J5" s="36" t="s">
        <v>32</v>
      </c>
      <c r="K5" s="41">
        <v>126.72</v>
      </c>
      <c r="O5" s="39"/>
      <c r="P5" s="40"/>
    </row>
    <row r="6" spans="1:16" s="22" customFormat="1" ht="15.6" x14ac:dyDescent="0.3">
      <c r="A6" s="21" t="s">
        <v>113</v>
      </c>
      <c r="B6" s="21">
        <f>VALUE(LEFT(MC[[#This Row],[Payment Ref]],5))</f>
        <v>24891</v>
      </c>
      <c r="C6" s="36" t="s">
        <v>120</v>
      </c>
      <c r="D6" s="36">
        <v>545786</v>
      </c>
      <c r="E6" s="37">
        <v>43898</v>
      </c>
      <c r="F6" s="37">
        <f t="shared" si="0"/>
        <v>43929</v>
      </c>
      <c r="G6" s="37">
        <v>43940</v>
      </c>
      <c r="H6" s="36">
        <v>211771</v>
      </c>
      <c r="I6" s="36" t="s">
        <v>31</v>
      </c>
      <c r="J6" s="36" t="s">
        <v>32</v>
      </c>
      <c r="K6" s="41">
        <v>763.29</v>
      </c>
    </row>
    <row r="7" spans="1:16" s="22" customFormat="1" ht="15.6" x14ac:dyDescent="0.3">
      <c r="A7" s="21" t="s">
        <v>42</v>
      </c>
      <c r="B7" s="21">
        <f>VALUE(LEFT(MC[[#This Row],[Payment Ref]],5))</f>
        <v>24685</v>
      </c>
      <c r="C7" s="36" t="s">
        <v>120</v>
      </c>
      <c r="D7" s="36">
        <v>545683</v>
      </c>
      <c r="E7" s="37">
        <v>43899</v>
      </c>
      <c r="F7" s="37">
        <f t="shared" si="0"/>
        <v>43930</v>
      </c>
      <c r="G7" s="37">
        <v>43932</v>
      </c>
      <c r="H7" s="36">
        <v>211781</v>
      </c>
      <c r="I7" s="36" t="s">
        <v>31</v>
      </c>
      <c r="J7" s="36" t="s">
        <v>32</v>
      </c>
      <c r="K7" s="41">
        <v>679.8</v>
      </c>
    </row>
    <row r="8" spans="1:16" s="22" customFormat="1" ht="15.6" x14ac:dyDescent="0.3">
      <c r="A8" s="21" t="s">
        <v>116</v>
      </c>
      <c r="B8" s="21">
        <f>VALUE(LEFT(MC[[#This Row],[Payment Ref]],5))</f>
        <v>24902</v>
      </c>
      <c r="C8" s="36" t="s">
        <v>120</v>
      </c>
      <c r="D8" s="36">
        <v>545790</v>
      </c>
      <c r="E8" s="37">
        <v>43915</v>
      </c>
      <c r="F8" s="37">
        <f t="shared" si="0"/>
        <v>43948</v>
      </c>
      <c r="G8" s="37">
        <v>43933</v>
      </c>
      <c r="H8" s="36">
        <v>213342</v>
      </c>
      <c r="I8" s="36" t="s">
        <v>31</v>
      </c>
      <c r="J8" s="36" t="s">
        <v>32</v>
      </c>
      <c r="K8" s="41">
        <v>533.28</v>
      </c>
      <c r="P8" s="39"/>
    </row>
    <row r="9" spans="1:16" s="22" customFormat="1" ht="15.6" x14ac:dyDescent="0.3">
      <c r="A9" s="21" t="s">
        <v>51</v>
      </c>
      <c r="B9" s="21">
        <f>VALUE(LEFT(MC[[#This Row],[Payment Ref]],5))</f>
        <v>24717</v>
      </c>
      <c r="C9" s="36" t="s">
        <v>120</v>
      </c>
      <c r="D9" s="36">
        <v>545696</v>
      </c>
      <c r="E9" s="37">
        <v>43904</v>
      </c>
      <c r="F9" s="37">
        <f t="shared" si="0"/>
        <v>43935</v>
      </c>
      <c r="G9" s="37">
        <v>43926</v>
      </c>
      <c r="H9" s="36">
        <v>213670</v>
      </c>
      <c r="I9" s="36" t="s">
        <v>31</v>
      </c>
      <c r="J9" s="36" t="s">
        <v>32</v>
      </c>
      <c r="K9" s="41">
        <v>993.63</v>
      </c>
    </row>
    <row r="10" spans="1:16" s="22" customFormat="1" ht="15.6" x14ac:dyDescent="0.3">
      <c r="A10" s="21" t="s">
        <v>111</v>
      </c>
      <c r="B10" s="21">
        <f>VALUE(LEFT(MC[[#This Row],[Payment Ref]],5))</f>
        <v>24885</v>
      </c>
      <c r="C10" s="36" t="s">
        <v>120</v>
      </c>
      <c r="D10" s="36">
        <v>545784</v>
      </c>
      <c r="E10" s="37">
        <v>43942</v>
      </c>
      <c r="F10" s="37">
        <f t="shared" si="0"/>
        <v>43972</v>
      </c>
      <c r="G10" s="37">
        <v>43950</v>
      </c>
      <c r="H10" s="36">
        <v>213693</v>
      </c>
      <c r="I10" s="36" t="s">
        <v>31</v>
      </c>
      <c r="J10" s="36" t="s">
        <v>32</v>
      </c>
      <c r="K10" s="41">
        <v>764.28</v>
      </c>
    </row>
    <row r="11" spans="1:16" s="22" customFormat="1" ht="15.6" x14ac:dyDescent="0.3">
      <c r="A11" s="21" t="s">
        <v>81</v>
      </c>
      <c r="B11" s="21">
        <f>VALUE(LEFT(MC[[#This Row],[Payment Ref]],5))</f>
        <v>24801</v>
      </c>
      <c r="C11" s="36" t="s">
        <v>120</v>
      </c>
      <c r="D11" s="36">
        <v>545739</v>
      </c>
      <c r="E11" s="37">
        <v>43917</v>
      </c>
      <c r="F11" s="37">
        <f t="shared" si="0"/>
        <v>43948</v>
      </c>
      <c r="G11" s="37">
        <v>43933</v>
      </c>
      <c r="H11" s="36">
        <v>214234</v>
      </c>
      <c r="I11" s="36" t="s">
        <v>31</v>
      </c>
      <c r="J11" s="36" t="s">
        <v>32</v>
      </c>
      <c r="K11" s="41">
        <v>1094.28</v>
      </c>
    </row>
    <row r="12" spans="1:16" s="22" customFormat="1" ht="15.6" x14ac:dyDescent="0.3">
      <c r="A12" s="21" t="s">
        <v>93</v>
      </c>
      <c r="B12" s="21">
        <f>VALUE(LEFT(MC[[#This Row],[Payment Ref]],5))</f>
        <v>24837</v>
      </c>
      <c r="C12" s="36" t="s">
        <v>120</v>
      </c>
      <c r="D12" s="36">
        <v>545758</v>
      </c>
      <c r="E12" s="37">
        <v>43916</v>
      </c>
      <c r="F12" s="37">
        <f t="shared" si="0"/>
        <v>43948</v>
      </c>
      <c r="G12" s="37">
        <v>43929</v>
      </c>
      <c r="H12" s="36">
        <v>215639</v>
      </c>
      <c r="I12" s="36" t="s">
        <v>31</v>
      </c>
      <c r="J12" s="36" t="s">
        <v>32</v>
      </c>
      <c r="K12" s="41">
        <v>361.02</v>
      </c>
    </row>
    <row r="13" spans="1:16" s="22" customFormat="1" ht="15.6" x14ac:dyDescent="0.3">
      <c r="A13" s="21" t="s">
        <v>58</v>
      </c>
      <c r="B13" s="21">
        <f>VALUE(LEFT(MC[[#This Row],[Payment Ref]],5))</f>
        <v>24740</v>
      </c>
      <c r="C13" s="36" t="s">
        <v>120</v>
      </c>
      <c r="D13" s="36">
        <v>545706</v>
      </c>
      <c r="E13" s="37">
        <v>43923</v>
      </c>
      <c r="F13" s="37">
        <f t="shared" si="0"/>
        <v>43955</v>
      </c>
      <c r="G13" s="37">
        <v>43930</v>
      </c>
      <c r="H13" s="36">
        <v>216205</v>
      </c>
      <c r="I13" s="36" t="s">
        <v>31</v>
      </c>
      <c r="J13" s="36" t="s">
        <v>32</v>
      </c>
      <c r="K13" s="41">
        <v>711.81</v>
      </c>
    </row>
    <row r="14" spans="1:16" s="22" customFormat="1" ht="15.6" x14ac:dyDescent="0.3">
      <c r="A14" s="21" t="s">
        <v>63</v>
      </c>
      <c r="B14" s="21">
        <f>VALUE(LEFT(MC[[#This Row],[Payment Ref]],5))</f>
        <v>24754</v>
      </c>
      <c r="C14" s="36" t="s">
        <v>120</v>
      </c>
      <c r="D14" s="36">
        <v>545713</v>
      </c>
      <c r="E14" s="37">
        <v>43915</v>
      </c>
      <c r="F14" s="37">
        <f t="shared" si="0"/>
        <v>43948</v>
      </c>
      <c r="G14" s="37">
        <v>43949</v>
      </c>
      <c r="H14" s="36">
        <v>217217</v>
      </c>
      <c r="I14" s="36" t="s">
        <v>31</v>
      </c>
      <c r="J14" s="36" t="s">
        <v>32</v>
      </c>
      <c r="K14" s="41">
        <v>352.44</v>
      </c>
    </row>
    <row r="15" spans="1:16" s="22" customFormat="1" ht="15.6" x14ac:dyDescent="0.3">
      <c r="A15" s="21" t="s">
        <v>105</v>
      </c>
      <c r="B15" s="21">
        <f>VALUE(LEFT(MC[[#This Row],[Payment Ref]],5))</f>
        <v>24875</v>
      </c>
      <c r="C15" s="36" t="s">
        <v>120</v>
      </c>
      <c r="D15" s="36">
        <v>545775</v>
      </c>
      <c r="E15" s="37">
        <v>43912</v>
      </c>
      <c r="F15" s="37">
        <f t="shared" si="0"/>
        <v>43943</v>
      </c>
      <c r="G15" s="37">
        <v>43951</v>
      </c>
      <c r="H15" s="36">
        <v>217275</v>
      </c>
      <c r="I15" s="36" t="s">
        <v>31</v>
      </c>
      <c r="J15" s="36" t="s">
        <v>32</v>
      </c>
      <c r="K15" s="41">
        <v>1065.57</v>
      </c>
    </row>
    <row r="16" spans="1:16" s="22" customFormat="1" ht="15.6" x14ac:dyDescent="0.3">
      <c r="A16" s="21" t="s">
        <v>75</v>
      </c>
      <c r="B16" s="21">
        <f>VALUE(LEFT(MC[[#This Row],[Payment Ref]],5))</f>
        <v>24784</v>
      </c>
      <c r="C16" s="36" t="s">
        <v>120</v>
      </c>
      <c r="D16" s="36">
        <v>545729</v>
      </c>
      <c r="E16" s="37">
        <v>43908</v>
      </c>
      <c r="F16" s="37">
        <f t="shared" si="0"/>
        <v>43941</v>
      </c>
      <c r="G16" s="37">
        <v>43948</v>
      </c>
      <c r="H16" s="36">
        <v>218463</v>
      </c>
      <c r="I16" s="36" t="s">
        <v>31</v>
      </c>
      <c r="J16" s="36" t="s">
        <v>32</v>
      </c>
      <c r="K16" s="41">
        <v>253.77</v>
      </c>
    </row>
    <row r="17" spans="1:14" s="22" customFormat="1" ht="15.6" x14ac:dyDescent="0.3">
      <c r="A17" s="21" t="s">
        <v>80</v>
      </c>
      <c r="B17" s="21">
        <f>VALUE(LEFT(MC[[#This Row],[Payment Ref]],5))</f>
        <v>24798</v>
      </c>
      <c r="C17" s="36" t="s">
        <v>120</v>
      </c>
      <c r="D17" s="36">
        <v>545737</v>
      </c>
      <c r="E17" s="37">
        <v>43921</v>
      </c>
      <c r="F17" s="37">
        <f t="shared" si="0"/>
        <v>43951</v>
      </c>
      <c r="G17" s="37">
        <v>43931</v>
      </c>
      <c r="H17" s="36">
        <v>221183</v>
      </c>
      <c r="I17" s="36" t="s">
        <v>31</v>
      </c>
      <c r="J17" s="36" t="s">
        <v>32</v>
      </c>
      <c r="K17" s="41">
        <v>956.34</v>
      </c>
    </row>
    <row r="18" spans="1:14" s="22" customFormat="1" ht="15.6" x14ac:dyDescent="0.3">
      <c r="A18" s="21" t="s">
        <v>71</v>
      </c>
      <c r="B18" s="21">
        <f>VALUE(LEFT(MC[[#This Row],[Payment Ref]],5))</f>
        <v>24767</v>
      </c>
      <c r="C18" s="36" t="s">
        <v>120</v>
      </c>
      <c r="D18" s="36">
        <v>545724</v>
      </c>
      <c r="E18" s="37">
        <v>43880</v>
      </c>
      <c r="F18" s="37">
        <f t="shared" si="0"/>
        <v>43909</v>
      </c>
      <c r="G18" s="37">
        <v>43924</v>
      </c>
      <c r="H18" s="36">
        <v>222399</v>
      </c>
      <c r="I18" s="36" t="s">
        <v>31</v>
      </c>
      <c r="J18" s="36" t="s">
        <v>32</v>
      </c>
      <c r="K18" s="41">
        <v>1019.04</v>
      </c>
    </row>
    <row r="19" spans="1:14" s="22" customFormat="1" ht="15.6" x14ac:dyDescent="0.3">
      <c r="A19" s="21" t="s">
        <v>84</v>
      </c>
      <c r="B19" s="21">
        <f>VALUE(LEFT(MC[[#This Row],[Payment Ref]],5))</f>
        <v>24813</v>
      </c>
      <c r="C19" s="36" t="s">
        <v>120</v>
      </c>
      <c r="D19" s="36">
        <v>545743</v>
      </c>
      <c r="E19" s="37">
        <v>43921</v>
      </c>
      <c r="F19" s="37">
        <f t="shared" si="0"/>
        <v>43951</v>
      </c>
      <c r="G19" s="37">
        <v>43929</v>
      </c>
      <c r="H19" s="36">
        <v>222998</v>
      </c>
      <c r="I19" s="36" t="s">
        <v>31</v>
      </c>
      <c r="J19" s="36" t="s">
        <v>32</v>
      </c>
      <c r="K19" s="41">
        <v>705.54</v>
      </c>
    </row>
    <row r="20" spans="1:14" s="22" customFormat="1" ht="15.6" x14ac:dyDescent="0.3">
      <c r="A20" s="21" t="s">
        <v>87</v>
      </c>
      <c r="B20" s="21">
        <f>VALUE(LEFT(MC[[#This Row],[Payment Ref]],5))</f>
        <v>24822</v>
      </c>
      <c r="C20" s="36" t="s">
        <v>120</v>
      </c>
      <c r="D20" s="36">
        <v>545748</v>
      </c>
      <c r="E20" s="37">
        <v>43913</v>
      </c>
      <c r="F20" s="37">
        <f t="shared" si="0"/>
        <v>43944</v>
      </c>
      <c r="G20" s="37">
        <v>43939</v>
      </c>
      <c r="H20" s="36">
        <v>223602</v>
      </c>
      <c r="I20" s="36" t="s">
        <v>31</v>
      </c>
      <c r="J20" s="36" t="s">
        <v>32</v>
      </c>
      <c r="K20" s="41">
        <v>422.73</v>
      </c>
      <c r="M20" s="44" t="s">
        <v>233</v>
      </c>
      <c r="N20" s="44"/>
    </row>
    <row r="21" spans="1:14" s="22" customFormat="1" ht="15.6" x14ac:dyDescent="0.3">
      <c r="A21" s="21" t="s">
        <v>30</v>
      </c>
      <c r="B21" s="21">
        <f>VALUE(LEFT(MC[[#This Row],[Payment Ref]],5))</f>
        <v>24673</v>
      </c>
      <c r="C21" s="36" t="s">
        <v>120</v>
      </c>
      <c r="D21" s="36">
        <f>545671</f>
        <v>545671</v>
      </c>
      <c r="E21" s="37">
        <v>43892</v>
      </c>
      <c r="F21" s="37">
        <f t="shared" si="0"/>
        <v>43923</v>
      </c>
      <c r="G21" s="37">
        <v>43938</v>
      </c>
      <c r="H21" s="36">
        <v>223809</v>
      </c>
      <c r="I21" s="36" t="s">
        <v>31</v>
      </c>
      <c r="J21" s="36" t="s">
        <v>32</v>
      </c>
      <c r="K21" s="38">
        <v>742.5</v>
      </c>
      <c r="M21" s="42">
        <v>0</v>
      </c>
      <c r="N21" s="43">
        <v>0</v>
      </c>
    </row>
    <row r="22" spans="1:14" s="22" customFormat="1" ht="15.6" x14ac:dyDescent="0.3">
      <c r="A22" s="21" t="s">
        <v>41</v>
      </c>
      <c r="B22" s="21">
        <f>VALUE(LEFT(MC[[#This Row],[Payment Ref]],5))</f>
        <v>24683</v>
      </c>
      <c r="C22" s="36" t="s">
        <v>120</v>
      </c>
      <c r="D22" s="36">
        <v>545682</v>
      </c>
      <c r="E22" s="37">
        <v>43912</v>
      </c>
      <c r="F22" s="37">
        <f t="shared" si="0"/>
        <v>43943</v>
      </c>
      <c r="G22" s="37">
        <v>43948</v>
      </c>
      <c r="H22" s="36">
        <v>223858</v>
      </c>
      <c r="I22" s="36" t="s">
        <v>31</v>
      </c>
      <c r="J22" s="36" t="s">
        <v>32</v>
      </c>
      <c r="K22" s="41">
        <v>222.42</v>
      </c>
      <c r="M22" s="42">
        <v>1</v>
      </c>
      <c r="N22" s="43">
        <v>2.25</v>
      </c>
    </row>
    <row r="23" spans="1:14" s="22" customFormat="1" ht="15.6" x14ac:dyDescent="0.3">
      <c r="A23" s="21" t="s">
        <v>57</v>
      </c>
      <c r="B23" s="21">
        <f>VALUE(LEFT(MC[[#This Row],[Payment Ref]],5))</f>
        <v>24739</v>
      </c>
      <c r="C23" s="36" t="s">
        <v>120</v>
      </c>
      <c r="D23" s="36">
        <v>545705</v>
      </c>
      <c r="E23" s="37">
        <v>43926</v>
      </c>
      <c r="F23" s="37">
        <f t="shared" si="0"/>
        <v>43956</v>
      </c>
      <c r="G23" s="37">
        <v>43945</v>
      </c>
      <c r="H23" s="36">
        <v>224184</v>
      </c>
      <c r="I23" s="36" t="s">
        <v>31</v>
      </c>
      <c r="J23" s="36" t="s">
        <v>32</v>
      </c>
      <c r="K23" s="41">
        <v>455.07</v>
      </c>
      <c r="M23" s="42">
        <v>5</v>
      </c>
      <c r="N23" s="43">
        <v>5.5</v>
      </c>
    </row>
    <row r="24" spans="1:14" s="22" customFormat="1" ht="15.6" x14ac:dyDescent="0.3">
      <c r="A24" s="21" t="s">
        <v>55</v>
      </c>
      <c r="B24" s="21">
        <f>VALUE(LEFT(MC[[#This Row],[Payment Ref]],5))</f>
        <v>24732</v>
      </c>
      <c r="C24" s="36" t="s">
        <v>120</v>
      </c>
      <c r="D24" s="36">
        <v>545702</v>
      </c>
      <c r="E24" s="37">
        <v>43886</v>
      </c>
      <c r="F24" s="37">
        <f t="shared" si="0"/>
        <v>43915</v>
      </c>
      <c r="G24" s="37">
        <v>43928</v>
      </c>
      <c r="H24" s="36">
        <v>224680</v>
      </c>
      <c r="I24" s="36" t="s">
        <v>31</v>
      </c>
      <c r="J24" s="36" t="s">
        <v>32</v>
      </c>
      <c r="K24" s="41">
        <v>257.07</v>
      </c>
      <c r="M24" s="42">
        <v>10</v>
      </c>
      <c r="N24" s="43">
        <v>10.8</v>
      </c>
    </row>
    <row r="25" spans="1:14" s="22" customFormat="1" ht="15.6" x14ac:dyDescent="0.3">
      <c r="A25" s="21" t="s">
        <v>104</v>
      </c>
      <c r="B25" s="21">
        <f>VALUE(LEFT(MC[[#This Row],[Payment Ref]],5))</f>
        <v>24873</v>
      </c>
      <c r="C25" s="36" t="s">
        <v>120</v>
      </c>
      <c r="D25" s="36">
        <v>545774</v>
      </c>
      <c r="E25" s="37">
        <v>43914</v>
      </c>
      <c r="F25" s="37">
        <f t="shared" si="0"/>
        <v>43945</v>
      </c>
      <c r="G25" s="37">
        <v>43944</v>
      </c>
      <c r="H25" s="36">
        <v>224955</v>
      </c>
      <c r="I25" s="36" t="s">
        <v>31</v>
      </c>
      <c r="J25" s="36" t="s">
        <v>32</v>
      </c>
      <c r="K25" s="41">
        <v>816.75</v>
      </c>
      <c r="M25" s="42">
        <v>15</v>
      </c>
      <c r="N25" s="43">
        <v>25.9</v>
      </c>
    </row>
    <row r="26" spans="1:14" s="22" customFormat="1" ht="15.6" x14ac:dyDescent="0.3">
      <c r="A26" s="21" t="s">
        <v>52</v>
      </c>
      <c r="B26" s="21">
        <f>VALUE(LEFT(MC[[#This Row],[Payment Ref]],5))</f>
        <v>24722</v>
      </c>
      <c r="C26" s="36" t="s">
        <v>120</v>
      </c>
      <c r="D26" s="36">
        <v>545697</v>
      </c>
      <c r="E26" s="37">
        <v>43917</v>
      </c>
      <c r="F26" s="37">
        <f t="shared" si="0"/>
        <v>43948</v>
      </c>
      <c r="G26" s="37">
        <v>43922</v>
      </c>
      <c r="H26" s="36">
        <v>226166</v>
      </c>
      <c r="I26" s="36" t="s">
        <v>31</v>
      </c>
      <c r="J26" s="36" t="s">
        <v>32</v>
      </c>
      <c r="K26" s="41">
        <v>1053.69</v>
      </c>
    </row>
    <row r="27" spans="1:14" s="22" customFormat="1" ht="15.6" x14ac:dyDescent="0.3">
      <c r="A27" s="21" t="s">
        <v>40</v>
      </c>
      <c r="B27" s="21">
        <f>VALUE(LEFT(MC[[#This Row],[Payment Ref]],5))</f>
        <v>24680</v>
      </c>
      <c r="C27" s="36" t="s">
        <v>120</v>
      </c>
      <c r="D27" s="36">
        <v>545681</v>
      </c>
      <c r="E27" s="37">
        <v>43917</v>
      </c>
      <c r="F27" s="37">
        <f t="shared" si="0"/>
        <v>43948</v>
      </c>
      <c r="G27" s="37">
        <v>43935</v>
      </c>
      <c r="H27" s="36">
        <v>226225</v>
      </c>
      <c r="I27" s="36" t="s">
        <v>31</v>
      </c>
      <c r="J27" s="36" t="s">
        <v>32</v>
      </c>
      <c r="K27" s="41">
        <v>466.29</v>
      </c>
    </row>
    <row r="28" spans="1:14" s="22" customFormat="1" ht="15.6" x14ac:dyDescent="0.3">
      <c r="A28" s="21" t="s">
        <v>106</v>
      </c>
      <c r="B28" s="21">
        <f>VALUE(LEFT(MC[[#This Row],[Payment Ref]],5))</f>
        <v>24876</v>
      </c>
      <c r="C28" s="36" t="s">
        <v>120</v>
      </c>
      <c r="D28" s="36">
        <v>545776</v>
      </c>
      <c r="E28" s="37">
        <v>43919</v>
      </c>
      <c r="F28" s="37">
        <f t="shared" si="0"/>
        <v>43950</v>
      </c>
      <c r="G28" s="37">
        <v>43925</v>
      </c>
      <c r="H28" s="36">
        <v>226240</v>
      </c>
      <c r="I28" s="36" t="s">
        <v>31</v>
      </c>
      <c r="J28" s="36" t="s">
        <v>32</v>
      </c>
      <c r="K28" s="41">
        <v>523.38</v>
      </c>
    </row>
    <row r="29" spans="1:14" s="22" customFormat="1" ht="15.6" x14ac:dyDescent="0.3">
      <c r="A29" s="21" t="s">
        <v>66</v>
      </c>
      <c r="B29" s="21">
        <f>VALUE(LEFT(MC[[#This Row],[Payment Ref]],5))</f>
        <v>24758</v>
      </c>
      <c r="C29" s="36" t="s">
        <v>120</v>
      </c>
      <c r="D29" s="36">
        <v>545718</v>
      </c>
      <c r="E29" s="37">
        <v>43893</v>
      </c>
      <c r="F29" s="37">
        <f t="shared" si="0"/>
        <v>43924</v>
      </c>
      <c r="G29" s="37">
        <v>43923</v>
      </c>
      <c r="H29" s="36">
        <v>227351</v>
      </c>
      <c r="I29" s="36" t="s">
        <v>31</v>
      </c>
      <c r="J29" s="36" t="s">
        <v>32</v>
      </c>
      <c r="K29" s="41">
        <v>322.41000000000003</v>
      </c>
    </row>
    <row r="30" spans="1:14" s="22" customFormat="1" ht="15.6" x14ac:dyDescent="0.3">
      <c r="A30" s="21" t="s">
        <v>77</v>
      </c>
      <c r="B30" s="21">
        <f>VALUE(LEFT(MC[[#This Row],[Payment Ref]],5))</f>
        <v>24792</v>
      </c>
      <c r="C30" s="36" t="s">
        <v>120</v>
      </c>
      <c r="D30" s="36">
        <v>545732</v>
      </c>
      <c r="E30" s="37">
        <v>43901</v>
      </c>
      <c r="F30" s="37">
        <f t="shared" si="0"/>
        <v>43934</v>
      </c>
      <c r="G30" s="37">
        <v>43924</v>
      </c>
      <c r="H30" s="36">
        <v>227664</v>
      </c>
      <c r="I30" s="36" t="s">
        <v>31</v>
      </c>
      <c r="J30" s="36" t="s">
        <v>32</v>
      </c>
      <c r="K30" s="41">
        <v>630.96</v>
      </c>
    </row>
    <row r="31" spans="1:14" s="22" customFormat="1" ht="15.6" x14ac:dyDescent="0.3">
      <c r="A31" s="21" t="s">
        <v>70</v>
      </c>
      <c r="B31" s="21">
        <f>VALUE(LEFT(MC[[#This Row],[Payment Ref]],5))</f>
        <v>24764</v>
      </c>
      <c r="C31" s="36" t="s">
        <v>120</v>
      </c>
      <c r="D31" s="36">
        <v>545723</v>
      </c>
      <c r="E31" s="37">
        <v>43911</v>
      </c>
      <c r="F31" s="37">
        <f t="shared" si="0"/>
        <v>43942</v>
      </c>
      <c r="G31" s="37">
        <v>43933</v>
      </c>
      <c r="H31" s="36">
        <v>227994</v>
      </c>
      <c r="I31" s="36" t="s">
        <v>31</v>
      </c>
      <c r="J31" s="36" t="s">
        <v>32</v>
      </c>
      <c r="K31" s="41">
        <v>819.06</v>
      </c>
    </row>
    <row r="32" spans="1:14" s="22" customFormat="1" ht="15.6" x14ac:dyDescent="0.3">
      <c r="A32" s="21" t="s">
        <v>85</v>
      </c>
      <c r="B32" s="21">
        <f>VALUE(LEFT(MC[[#This Row],[Payment Ref]],5))</f>
        <v>24815</v>
      </c>
      <c r="C32" s="36" t="s">
        <v>120</v>
      </c>
      <c r="D32" s="36">
        <v>545745</v>
      </c>
      <c r="E32" s="37">
        <v>43935</v>
      </c>
      <c r="F32" s="37">
        <f t="shared" si="0"/>
        <v>43965</v>
      </c>
      <c r="G32" s="37">
        <v>43948</v>
      </c>
      <c r="H32" s="36">
        <v>228246</v>
      </c>
      <c r="I32" s="36" t="s">
        <v>31</v>
      </c>
      <c r="J32" s="36" t="s">
        <v>32</v>
      </c>
      <c r="K32" s="41">
        <v>138.6</v>
      </c>
    </row>
    <row r="33" spans="1:11" s="22" customFormat="1" ht="15.6" x14ac:dyDescent="0.3">
      <c r="A33" s="21" t="s">
        <v>54</v>
      </c>
      <c r="B33" s="21">
        <f>VALUE(LEFT(MC[[#This Row],[Payment Ref]],5))</f>
        <v>24730</v>
      </c>
      <c r="C33" s="36" t="s">
        <v>120</v>
      </c>
      <c r="D33" s="36">
        <v>545700</v>
      </c>
      <c r="E33" s="37">
        <v>43888</v>
      </c>
      <c r="F33" s="37">
        <f t="shared" si="0"/>
        <v>43917</v>
      </c>
      <c r="G33" s="37">
        <v>43929</v>
      </c>
      <c r="H33" s="36">
        <v>230046</v>
      </c>
      <c r="I33" s="36" t="s">
        <v>31</v>
      </c>
      <c r="J33" s="36" t="s">
        <v>32</v>
      </c>
      <c r="K33" s="41">
        <v>1096.92</v>
      </c>
    </row>
    <row r="34" spans="1:11" s="22" customFormat="1" ht="15.6" x14ac:dyDescent="0.3">
      <c r="A34" s="21" t="s">
        <v>103</v>
      </c>
      <c r="B34" s="21">
        <f>VALUE(LEFT(MC[[#This Row],[Payment Ref]],5))</f>
        <v>24870</v>
      </c>
      <c r="C34" s="36" t="s">
        <v>120</v>
      </c>
      <c r="D34" s="36">
        <v>545773</v>
      </c>
      <c r="E34" s="37">
        <v>43923</v>
      </c>
      <c r="F34" s="37">
        <f t="shared" si="0"/>
        <v>43955</v>
      </c>
      <c r="G34" s="37">
        <v>43951</v>
      </c>
      <c r="H34" s="36">
        <v>231274</v>
      </c>
      <c r="I34" s="36" t="s">
        <v>31</v>
      </c>
      <c r="J34" s="36" t="s">
        <v>32</v>
      </c>
      <c r="K34" s="41">
        <v>603.57000000000005</v>
      </c>
    </row>
    <row r="35" spans="1:11" s="22" customFormat="1" ht="15.6" x14ac:dyDescent="0.3">
      <c r="A35" s="21" t="s">
        <v>50</v>
      </c>
      <c r="B35" s="21">
        <f>VALUE(LEFT(MC[[#This Row],[Payment Ref]],5))</f>
        <v>24712</v>
      </c>
      <c r="C35" s="36" t="s">
        <v>120</v>
      </c>
      <c r="D35" s="36">
        <v>545695</v>
      </c>
      <c r="E35" s="37">
        <v>43912</v>
      </c>
      <c r="F35" s="37">
        <f t="shared" si="0"/>
        <v>43943</v>
      </c>
      <c r="G35" s="37">
        <v>43951</v>
      </c>
      <c r="H35" s="36">
        <v>231320</v>
      </c>
      <c r="I35" s="36" t="s">
        <v>31</v>
      </c>
      <c r="J35" s="36" t="s">
        <v>32</v>
      </c>
      <c r="K35" s="41">
        <v>312.83999999999997</v>
      </c>
    </row>
    <row r="36" spans="1:11" s="22" customFormat="1" ht="15.6" x14ac:dyDescent="0.3">
      <c r="A36" s="21" t="s">
        <v>43</v>
      </c>
      <c r="B36" s="21">
        <f>VALUE(LEFT(MC[[#This Row],[Payment Ref]],5))</f>
        <v>24690</v>
      </c>
      <c r="C36" s="36" t="s">
        <v>120</v>
      </c>
      <c r="D36" s="36">
        <v>545685</v>
      </c>
      <c r="E36" s="37">
        <v>43925</v>
      </c>
      <c r="F36" s="37">
        <f t="shared" si="0"/>
        <v>43955</v>
      </c>
      <c r="G36" s="37">
        <v>43944</v>
      </c>
      <c r="H36" s="36">
        <v>232805</v>
      </c>
      <c r="I36" s="36" t="s">
        <v>31</v>
      </c>
      <c r="J36" s="36" t="s">
        <v>32</v>
      </c>
      <c r="K36" s="41">
        <v>171.93</v>
      </c>
    </row>
    <row r="37" spans="1:11" s="22" customFormat="1" ht="15.6" x14ac:dyDescent="0.3">
      <c r="A37" s="21" t="s">
        <v>83</v>
      </c>
      <c r="B37" s="21">
        <f>VALUE(LEFT(MC[[#This Row],[Payment Ref]],5))</f>
        <v>24808</v>
      </c>
      <c r="C37" s="36" t="s">
        <v>120</v>
      </c>
      <c r="D37" s="36">
        <v>545742</v>
      </c>
      <c r="E37" s="37">
        <v>43929</v>
      </c>
      <c r="F37" s="37">
        <f t="shared" ref="F37:F68" si="1">WORKDAY(EDATE(E37,1)-1,1)</f>
        <v>43959</v>
      </c>
      <c r="G37" s="37">
        <v>43941</v>
      </c>
      <c r="H37" s="36">
        <v>233209</v>
      </c>
      <c r="I37" s="36" t="s">
        <v>31</v>
      </c>
      <c r="J37" s="36" t="s">
        <v>32</v>
      </c>
      <c r="K37" s="41">
        <v>1058.31</v>
      </c>
    </row>
    <row r="38" spans="1:11" s="22" customFormat="1" ht="15.6" x14ac:dyDescent="0.3">
      <c r="A38" s="21" t="s">
        <v>102</v>
      </c>
      <c r="B38" s="21">
        <f>VALUE(LEFT(MC[[#This Row],[Payment Ref]],5))</f>
        <v>24866</v>
      </c>
      <c r="C38" s="36" t="s">
        <v>120</v>
      </c>
      <c r="D38" s="36">
        <v>545772</v>
      </c>
      <c r="E38" s="37">
        <v>43900</v>
      </c>
      <c r="F38" s="37">
        <f t="shared" si="1"/>
        <v>43931</v>
      </c>
      <c r="G38" s="37">
        <v>43931</v>
      </c>
      <c r="H38" s="36">
        <v>234487</v>
      </c>
      <c r="I38" s="36" t="s">
        <v>31</v>
      </c>
      <c r="J38" s="36" t="s">
        <v>32</v>
      </c>
      <c r="K38" s="41">
        <v>840.51</v>
      </c>
    </row>
    <row r="39" spans="1:11" s="22" customFormat="1" ht="15.6" x14ac:dyDescent="0.3">
      <c r="A39" s="21" t="s">
        <v>64</v>
      </c>
      <c r="B39" s="21">
        <f>VALUE(LEFT(MC[[#This Row],[Payment Ref]],5))</f>
        <v>24756</v>
      </c>
      <c r="C39" s="36" t="s">
        <v>120</v>
      </c>
      <c r="D39" s="36">
        <v>545715</v>
      </c>
      <c r="E39" s="37">
        <v>43912</v>
      </c>
      <c r="F39" s="37">
        <f t="shared" si="1"/>
        <v>43943</v>
      </c>
      <c r="G39" s="37">
        <v>43937</v>
      </c>
      <c r="H39" s="36">
        <v>234637</v>
      </c>
      <c r="I39" s="36" t="s">
        <v>31</v>
      </c>
      <c r="J39" s="36" t="s">
        <v>32</v>
      </c>
      <c r="K39" s="41">
        <v>238.59</v>
      </c>
    </row>
    <row r="40" spans="1:11" s="22" customFormat="1" ht="15.6" x14ac:dyDescent="0.3">
      <c r="A40" s="21" t="s">
        <v>92</v>
      </c>
      <c r="B40" s="21">
        <f>VALUE(LEFT(MC[[#This Row],[Payment Ref]],5))</f>
        <v>24833</v>
      </c>
      <c r="C40" s="36" t="s">
        <v>120</v>
      </c>
      <c r="D40" s="36">
        <v>545756</v>
      </c>
      <c r="E40" s="37">
        <v>43881</v>
      </c>
      <c r="F40" s="37">
        <f t="shared" si="1"/>
        <v>43910</v>
      </c>
      <c r="G40" s="37">
        <v>43926</v>
      </c>
      <c r="H40" s="36">
        <v>234966</v>
      </c>
      <c r="I40" s="36" t="s">
        <v>31</v>
      </c>
      <c r="J40" s="36" t="s">
        <v>32</v>
      </c>
      <c r="K40" s="41">
        <v>511.83</v>
      </c>
    </row>
    <row r="41" spans="1:11" s="22" customFormat="1" ht="15.6" x14ac:dyDescent="0.3">
      <c r="A41" s="21" t="s">
        <v>112</v>
      </c>
      <c r="B41" s="21">
        <f>VALUE(LEFT(MC[[#This Row],[Payment Ref]],5))</f>
        <v>24887</v>
      </c>
      <c r="C41" s="36" t="s">
        <v>120</v>
      </c>
      <c r="D41" s="36">
        <v>545785</v>
      </c>
      <c r="E41" s="37">
        <v>43897</v>
      </c>
      <c r="F41" s="37">
        <f t="shared" si="1"/>
        <v>43928</v>
      </c>
      <c r="G41" s="37">
        <v>43926</v>
      </c>
      <c r="H41" s="36">
        <v>235040</v>
      </c>
      <c r="I41" s="36" t="s">
        <v>31</v>
      </c>
      <c r="J41" s="36" t="s">
        <v>32</v>
      </c>
      <c r="K41" s="41">
        <v>335.61</v>
      </c>
    </row>
    <row r="42" spans="1:11" s="22" customFormat="1" ht="15.6" x14ac:dyDescent="0.3">
      <c r="A42" s="21" t="s">
        <v>56</v>
      </c>
      <c r="B42" s="21">
        <f>VALUE(LEFT(MC[[#This Row],[Payment Ref]],5))</f>
        <v>24735</v>
      </c>
      <c r="C42" s="36" t="s">
        <v>120</v>
      </c>
      <c r="D42" s="36">
        <v>545703</v>
      </c>
      <c r="E42" s="37">
        <v>43945</v>
      </c>
      <c r="F42" s="37">
        <f t="shared" si="1"/>
        <v>43976</v>
      </c>
      <c r="G42" s="37">
        <v>43949</v>
      </c>
      <c r="H42" s="36">
        <v>238023</v>
      </c>
      <c r="I42" s="36" t="s">
        <v>31</v>
      </c>
      <c r="J42" s="36" t="s">
        <v>32</v>
      </c>
      <c r="K42" s="41">
        <v>215.49</v>
      </c>
    </row>
    <row r="43" spans="1:11" s="22" customFormat="1" ht="15.6" x14ac:dyDescent="0.3">
      <c r="A43" s="21" t="s">
        <v>62</v>
      </c>
      <c r="B43" s="21">
        <f>VALUE(LEFT(MC[[#This Row],[Payment Ref]],5))</f>
        <v>24753</v>
      </c>
      <c r="C43" s="36" t="s">
        <v>120</v>
      </c>
      <c r="D43" s="36">
        <v>545711</v>
      </c>
      <c r="E43" s="37">
        <v>43899</v>
      </c>
      <c r="F43" s="37">
        <f t="shared" si="1"/>
        <v>43930</v>
      </c>
      <c r="G43" s="37">
        <v>43932</v>
      </c>
      <c r="H43" s="36">
        <v>238202</v>
      </c>
      <c r="I43" s="36" t="s">
        <v>31</v>
      </c>
      <c r="J43" s="36" t="s">
        <v>32</v>
      </c>
      <c r="K43" s="41">
        <v>489.72</v>
      </c>
    </row>
    <row r="44" spans="1:11" s="22" customFormat="1" ht="15.6" x14ac:dyDescent="0.3">
      <c r="A44" s="21" t="s">
        <v>110</v>
      </c>
      <c r="B44" s="21">
        <f>VALUE(LEFT(MC[[#This Row],[Payment Ref]],5))</f>
        <v>24882</v>
      </c>
      <c r="C44" s="36" t="s">
        <v>120</v>
      </c>
      <c r="D44" s="36">
        <v>545783</v>
      </c>
      <c r="E44" s="37">
        <v>43933</v>
      </c>
      <c r="F44" s="37">
        <f t="shared" si="1"/>
        <v>43963</v>
      </c>
      <c r="G44" s="37">
        <v>43935</v>
      </c>
      <c r="H44" s="36">
        <v>239476</v>
      </c>
      <c r="I44" s="36" t="s">
        <v>31</v>
      </c>
      <c r="J44" s="36" t="s">
        <v>32</v>
      </c>
      <c r="K44" s="41">
        <v>955.68</v>
      </c>
    </row>
    <row r="45" spans="1:11" s="22" customFormat="1" ht="15.6" x14ac:dyDescent="0.3">
      <c r="A45" s="21" t="s">
        <v>89</v>
      </c>
      <c r="B45" s="21">
        <f>VALUE(LEFT(MC[[#This Row],[Payment Ref]],5))</f>
        <v>24825</v>
      </c>
      <c r="C45" s="36" t="s">
        <v>120</v>
      </c>
      <c r="D45" s="36">
        <v>545751</v>
      </c>
      <c r="E45" s="37">
        <v>43912</v>
      </c>
      <c r="F45" s="37">
        <f t="shared" si="1"/>
        <v>43943</v>
      </c>
      <c r="G45" s="37">
        <v>43927</v>
      </c>
      <c r="H45" s="36">
        <v>310345</v>
      </c>
      <c r="I45" s="36" t="s">
        <v>33</v>
      </c>
      <c r="J45" s="36" t="s">
        <v>34</v>
      </c>
      <c r="K45" s="41">
        <v>602.58000000000004</v>
      </c>
    </row>
    <row r="46" spans="1:11" s="22" customFormat="1" ht="15.6" x14ac:dyDescent="0.3">
      <c r="A46" s="21" t="s">
        <v>39</v>
      </c>
      <c r="B46" s="21">
        <f>VALUE(LEFT(MC[[#This Row],[Payment Ref]],5))</f>
        <v>24679</v>
      </c>
      <c r="C46" s="36" t="s">
        <v>120</v>
      </c>
      <c r="D46" s="36">
        <v>545679</v>
      </c>
      <c r="E46" s="37">
        <v>43913</v>
      </c>
      <c r="F46" s="37">
        <f t="shared" si="1"/>
        <v>43944</v>
      </c>
      <c r="G46" s="37">
        <v>43951</v>
      </c>
      <c r="H46" s="36">
        <v>310607</v>
      </c>
      <c r="I46" s="36" t="s">
        <v>33</v>
      </c>
      <c r="J46" s="36" t="s">
        <v>34</v>
      </c>
      <c r="K46" s="41">
        <v>930.93</v>
      </c>
    </row>
    <row r="47" spans="1:11" s="22" customFormat="1" ht="15.6" x14ac:dyDescent="0.3">
      <c r="A47" s="21" t="s">
        <v>44</v>
      </c>
      <c r="B47" s="21">
        <f>VALUE(LEFT(MC[[#This Row],[Payment Ref]],5))</f>
        <v>24693</v>
      </c>
      <c r="C47" s="36" t="s">
        <v>120</v>
      </c>
      <c r="D47" s="36">
        <v>545687</v>
      </c>
      <c r="E47" s="37">
        <v>43885</v>
      </c>
      <c r="F47" s="37">
        <f t="shared" si="1"/>
        <v>43914</v>
      </c>
      <c r="G47" s="37">
        <v>43927</v>
      </c>
      <c r="H47" s="36">
        <v>312187</v>
      </c>
      <c r="I47" s="36" t="s">
        <v>33</v>
      </c>
      <c r="J47" s="36" t="s">
        <v>34</v>
      </c>
      <c r="K47" s="41">
        <v>623.70000000000005</v>
      </c>
    </row>
    <row r="48" spans="1:11" s="22" customFormat="1" ht="15.6" x14ac:dyDescent="0.3">
      <c r="A48" s="21" t="s">
        <v>73</v>
      </c>
      <c r="B48" s="21">
        <f>VALUE(LEFT(MC[[#This Row],[Payment Ref]],5))</f>
        <v>24775</v>
      </c>
      <c r="C48" s="36" t="s">
        <v>120</v>
      </c>
      <c r="D48" s="36">
        <v>545726</v>
      </c>
      <c r="E48" s="37">
        <v>43895</v>
      </c>
      <c r="F48" s="37">
        <f t="shared" si="1"/>
        <v>43927</v>
      </c>
      <c r="G48" s="37">
        <v>43937</v>
      </c>
      <c r="H48" s="36">
        <v>312603</v>
      </c>
      <c r="I48" s="36" t="s">
        <v>33</v>
      </c>
      <c r="J48" s="36" t="s">
        <v>34</v>
      </c>
      <c r="K48" s="41">
        <v>-600.27</v>
      </c>
    </row>
    <row r="49" spans="1:11" s="22" customFormat="1" ht="15.6" x14ac:dyDescent="0.3">
      <c r="A49" s="21" t="s">
        <v>108</v>
      </c>
      <c r="B49" s="21">
        <f>VALUE(LEFT(MC[[#This Row],[Payment Ref]],5))</f>
        <v>24878</v>
      </c>
      <c r="C49" s="36" t="s">
        <v>120</v>
      </c>
      <c r="D49" s="36">
        <v>545780</v>
      </c>
      <c r="E49" s="37">
        <v>43934</v>
      </c>
      <c r="F49" s="37">
        <f t="shared" si="1"/>
        <v>43964</v>
      </c>
      <c r="G49" s="37">
        <v>43943</v>
      </c>
      <c r="H49" s="36">
        <v>312800</v>
      </c>
      <c r="I49" s="36" t="s">
        <v>33</v>
      </c>
      <c r="J49" s="36" t="s">
        <v>34</v>
      </c>
      <c r="K49" s="41">
        <v>809.49</v>
      </c>
    </row>
    <row r="50" spans="1:11" s="22" customFormat="1" ht="15.6" x14ac:dyDescent="0.3">
      <c r="A50" s="21" t="s">
        <v>91</v>
      </c>
      <c r="B50" s="21">
        <f>VALUE(LEFT(MC[[#This Row],[Payment Ref]],5))</f>
        <v>24831</v>
      </c>
      <c r="C50" s="36" t="s">
        <v>120</v>
      </c>
      <c r="D50" s="36">
        <v>545754</v>
      </c>
      <c r="E50" s="37">
        <v>43896</v>
      </c>
      <c r="F50" s="37">
        <f t="shared" si="1"/>
        <v>43927</v>
      </c>
      <c r="G50" s="37">
        <v>43925</v>
      </c>
      <c r="H50" s="36">
        <v>313747</v>
      </c>
      <c r="I50" s="36" t="s">
        <v>33</v>
      </c>
      <c r="J50" s="36" t="s">
        <v>34</v>
      </c>
      <c r="K50" s="41">
        <v>56.43</v>
      </c>
    </row>
    <row r="51" spans="1:11" s="22" customFormat="1" ht="15.6" x14ac:dyDescent="0.3">
      <c r="A51" s="21" t="s">
        <v>86</v>
      </c>
      <c r="B51" s="21">
        <f>VALUE(LEFT(MC[[#This Row],[Payment Ref]],5))</f>
        <v>24819</v>
      </c>
      <c r="C51" s="36" t="s">
        <v>120</v>
      </c>
      <c r="D51" s="36">
        <v>545747</v>
      </c>
      <c r="E51" s="37">
        <v>43914</v>
      </c>
      <c r="F51" s="37">
        <f t="shared" si="1"/>
        <v>43945</v>
      </c>
      <c r="G51" s="37">
        <v>43928</v>
      </c>
      <c r="H51" s="36">
        <v>314876</v>
      </c>
      <c r="I51" s="36" t="s">
        <v>33</v>
      </c>
      <c r="J51" s="36" t="s">
        <v>34</v>
      </c>
      <c r="K51" s="41">
        <v>417.12</v>
      </c>
    </row>
    <row r="52" spans="1:11" s="22" customFormat="1" ht="15.6" x14ac:dyDescent="0.3">
      <c r="A52" s="21" t="s">
        <v>100</v>
      </c>
      <c r="B52" s="21">
        <f>VALUE(LEFT(MC[[#This Row],[Payment Ref]],5))</f>
        <v>24861</v>
      </c>
      <c r="C52" s="36" t="s">
        <v>120</v>
      </c>
      <c r="D52" s="36">
        <v>545769</v>
      </c>
      <c r="E52" s="37">
        <v>43887</v>
      </c>
      <c r="F52" s="37">
        <f t="shared" si="1"/>
        <v>43916</v>
      </c>
      <c r="G52" s="37">
        <v>43929</v>
      </c>
      <c r="H52" s="36">
        <v>316190</v>
      </c>
      <c r="I52" s="36" t="s">
        <v>33</v>
      </c>
      <c r="J52" s="36" t="s">
        <v>34</v>
      </c>
      <c r="K52" s="41">
        <v>600.6</v>
      </c>
    </row>
    <row r="53" spans="1:11" s="22" customFormat="1" ht="15.6" x14ac:dyDescent="0.3">
      <c r="A53" s="21" t="s">
        <v>72</v>
      </c>
      <c r="B53" s="21">
        <f>VALUE(LEFT(MC[[#This Row],[Payment Ref]],5))</f>
        <v>24771</v>
      </c>
      <c r="C53" s="36" t="s">
        <v>120</v>
      </c>
      <c r="D53" s="36">
        <v>545725</v>
      </c>
      <c r="E53" s="37">
        <v>43919</v>
      </c>
      <c r="F53" s="37">
        <f t="shared" si="1"/>
        <v>43950</v>
      </c>
      <c r="G53" s="37">
        <v>43935</v>
      </c>
      <c r="H53" s="36">
        <v>316436</v>
      </c>
      <c r="I53" s="36" t="s">
        <v>33</v>
      </c>
      <c r="J53" s="36" t="s">
        <v>34</v>
      </c>
      <c r="K53" s="41">
        <v>736.23</v>
      </c>
    </row>
    <row r="54" spans="1:11" s="22" customFormat="1" ht="15.6" x14ac:dyDescent="0.3">
      <c r="A54" s="21" t="s">
        <v>53</v>
      </c>
      <c r="B54" s="21">
        <f>VALUE(LEFT(MC[[#This Row],[Payment Ref]],5))</f>
        <v>24727</v>
      </c>
      <c r="C54" s="36" t="s">
        <v>120</v>
      </c>
      <c r="D54" s="36">
        <v>545698</v>
      </c>
      <c r="E54" s="37">
        <v>43929</v>
      </c>
      <c r="F54" s="37">
        <f t="shared" si="1"/>
        <v>43959</v>
      </c>
      <c r="G54" s="37">
        <v>43951</v>
      </c>
      <c r="H54" s="36">
        <v>316479</v>
      </c>
      <c r="I54" s="36" t="s">
        <v>33</v>
      </c>
      <c r="J54" s="36" t="s">
        <v>34</v>
      </c>
      <c r="K54" s="41">
        <v>1047.75</v>
      </c>
    </row>
    <row r="55" spans="1:11" s="22" customFormat="1" ht="15.6" x14ac:dyDescent="0.3">
      <c r="A55" s="21" t="s">
        <v>49</v>
      </c>
      <c r="B55" s="21">
        <f>VALUE(LEFT(MC[[#This Row],[Payment Ref]],5))</f>
        <v>24707</v>
      </c>
      <c r="C55" s="36" t="s">
        <v>120</v>
      </c>
      <c r="D55" s="36">
        <v>545693</v>
      </c>
      <c r="E55" s="37">
        <v>43890</v>
      </c>
      <c r="F55" s="37">
        <f t="shared" si="1"/>
        <v>43920</v>
      </c>
      <c r="G55" s="37">
        <v>43928</v>
      </c>
      <c r="H55" s="36">
        <v>316515</v>
      </c>
      <c r="I55" s="36" t="s">
        <v>33</v>
      </c>
      <c r="J55" s="36" t="s">
        <v>34</v>
      </c>
      <c r="K55" s="41">
        <v>299.64</v>
      </c>
    </row>
    <row r="56" spans="1:11" s="22" customFormat="1" ht="15.6" x14ac:dyDescent="0.3">
      <c r="A56" s="21" t="s">
        <v>90</v>
      </c>
      <c r="B56" s="21">
        <f>VALUE(LEFT(MC[[#This Row],[Payment Ref]],5))</f>
        <v>24830</v>
      </c>
      <c r="C56" s="36" t="s">
        <v>120</v>
      </c>
      <c r="D56" s="36">
        <v>545753</v>
      </c>
      <c r="E56" s="37">
        <v>43927</v>
      </c>
      <c r="F56" s="37">
        <f t="shared" si="1"/>
        <v>43957</v>
      </c>
      <c r="G56" s="37">
        <v>43951</v>
      </c>
      <c r="H56" s="36">
        <v>317142</v>
      </c>
      <c r="I56" s="36" t="s">
        <v>33</v>
      </c>
      <c r="J56" s="36" t="s">
        <v>34</v>
      </c>
      <c r="K56" s="41">
        <v>132.66</v>
      </c>
    </row>
    <row r="57" spans="1:11" s="22" customFormat="1" ht="15.6" x14ac:dyDescent="0.3">
      <c r="A57" s="21" t="s">
        <v>37</v>
      </c>
      <c r="B57" s="21">
        <f>VALUE(LEFT(MC[[#This Row],[Payment Ref]],5))</f>
        <v>24677</v>
      </c>
      <c r="C57" s="36" t="s">
        <v>120</v>
      </c>
      <c r="D57" s="36">
        <v>545677</v>
      </c>
      <c r="E57" s="37">
        <v>43907</v>
      </c>
      <c r="F57" s="37">
        <f t="shared" si="1"/>
        <v>43938</v>
      </c>
      <c r="G57" s="37">
        <v>43931</v>
      </c>
      <c r="H57" s="36">
        <v>319376</v>
      </c>
      <c r="I57" s="36" t="s">
        <v>33</v>
      </c>
      <c r="J57" s="36" t="s">
        <v>34</v>
      </c>
      <c r="K57" s="41">
        <v>-450.12</v>
      </c>
    </row>
    <row r="58" spans="1:11" s="22" customFormat="1" ht="15.6" x14ac:dyDescent="0.3">
      <c r="A58" s="21" t="s">
        <v>45</v>
      </c>
      <c r="B58" s="21">
        <f>VALUE(LEFT(MC[[#This Row],[Payment Ref]],5))</f>
        <v>24697</v>
      </c>
      <c r="C58" s="36" t="s">
        <v>120</v>
      </c>
      <c r="D58" s="36">
        <v>545689</v>
      </c>
      <c r="E58" s="37">
        <v>43919</v>
      </c>
      <c r="F58" s="37">
        <f t="shared" si="1"/>
        <v>43950</v>
      </c>
      <c r="G58" s="37">
        <v>43945</v>
      </c>
      <c r="H58" s="36">
        <v>319790</v>
      </c>
      <c r="I58" s="36" t="s">
        <v>33</v>
      </c>
      <c r="J58" s="36" t="s">
        <v>34</v>
      </c>
      <c r="K58" s="41">
        <v>221.1</v>
      </c>
    </row>
    <row r="59" spans="1:11" s="22" customFormat="1" ht="15.6" x14ac:dyDescent="0.3">
      <c r="A59" s="21" t="s">
        <v>88</v>
      </c>
      <c r="B59" s="21">
        <f>VALUE(LEFT(MC[[#This Row],[Payment Ref]],5))</f>
        <v>24824</v>
      </c>
      <c r="C59" s="36" t="s">
        <v>120</v>
      </c>
      <c r="D59" s="36">
        <v>545750</v>
      </c>
      <c r="E59" s="37">
        <v>43908</v>
      </c>
      <c r="F59" s="37">
        <f t="shared" si="1"/>
        <v>43941</v>
      </c>
      <c r="G59" s="37">
        <v>43935</v>
      </c>
      <c r="H59" s="36">
        <v>319833</v>
      </c>
      <c r="I59" s="36" t="s">
        <v>33</v>
      </c>
      <c r="J59" s="36" t="s">
        <v>34</v>
      </c>
      <c r="K59" s="41">
        <v>1061.94</v>
      </c>
    </row>
    <row r="60" spans="1:11" s="22" customFormat="1" ht="15.6" x14ac:dyDescent="0.3">
      <c r="A60" s="21" t="s">
        <v>97</v>
      </c>
      <c r="B60" s="21">
        <f>VALUE(LEFT(MC[[#This Row],[Payment Ref]],5))</f>
        <v>24851</v>
      </c>
      <c r="C60" s="36" t="s">
        <v>120</v>
      </c>
      <c r="D60" s="36">
        <v>545765</v>
      </c>
      <c r="E60" s="37">
        <v>43918</v>
      </c>
      <c r="F60" s="37">
        <f t="shared" si="1"/>
        <v>43949</v>
      </c>
      <c r="G60" s="37">
        <v>43939</v>
      </c>
      <c r="H60" s="36">
        <v>320536</v>
      </c>
      <c r="I60" s="36" t="s">
        <v>33</v>
      </c>
      <c r="J60" s="36" t="s">
        <v>34</v>
      </c>
      <c r="K60" s="41">
        <v>948.75</v>
      </c>
    </row>
    <row r="61" spans="1:11" s="22" customFormat="1" ht="15.6" x14ac:dyDescent="0.3">
      <c r="A61" s="21" t="s">
        <v>99</v>
      </c>
      <c r="B61" s="21">
        <f>VALUE(LEFT(MC[[#This Row],[Payment Ref]],5))</f>
        <v>24857</v>
      </c>
      <c r="C61" s="36" t="s">
        <v>120</v>
      </c>
      <c r="D61" s="36">
        <v>545768</v>
      </c>
      <c r="E61" s="37">
        <v>43933</v>
      </c>
      <c r="F61" s="37">
        <f t="shared" si="1"/>
        <v>43963</v>
      </c>
      <c r="G61" s="37">
        <v>43940</v>
      </c>
      <c r="H61" s="36">
        <v>321358</v>
      </c>
      <c r="I61" s="36" t="s">
        <v>33</v>
      </c>
      <c r="J61" s="36" t="s">
        <v>34</v>
      </c>
      <c r="K61" s="41">
        <v>242.22</v>
      </c>
    </row>
    <row r="62" spans="1:11" s="22" customFormat="1" ht="15.6" x14ac:dyDescent="0.3">
      <c r="A62" s="21" t="s">
        <v>82</v>
      </c>
      <c r="B62" s="21">
        <f>VALUE(LEFT(MC[[#This Row],[Payment Ref]],5))</f>
        <v>24803</v>
      </c>
      <c r="C62" s="36" t="s">
        <v>120</v>
      </c>
      <c r="D62" s="36">
        <v>545740</v>
      </c>
      <c r="E62" s="37">
        <v>43908</v>
      </c>
      <c r="F62" s="37">
        <f t="shared" si="1"/>
        <v>43941</v>
      </c>
      <c r="G62" s="37">
        <v>43926</v>
      </c>
      <c r="H62" s="36">
        <v>321456</v>
      </c>
      <c r="I62" s="36" t="s">
        <v>33</v>
      </c>
      <c r="J62" s="36" t="s">
        <v>34</v>
      </c>
      <c r="K62" s="41">
        <v>628.98</v>
      </c>
    </row>
    <row r="63" spans="1:11" s="22" customFormat="1" ht="15.6" x14ac:dyDescent="0.3">
      <c r="A63" s="21" t="s">
        <v>98</v>
      </c>
      <c r="B63" s="21">
        <f>VALUE(LEFT(MC[[#This Row],[Payment Ref]],5))</f>
        <v>24854</v>
      </c>
      <c r="C63" s="36" t="s">
        <v>120</v>
      </c>
      <c r="D63" s="36">
        <v>545767</v>
      </c>
      <c r="E63" s="37">
        <v>43904</v>
      </c>
      <c r="F63" s="37">
        <f t="shared" si="1"/>
        <v>43935</v>
      </c>
      <c r="G63" s="37">
        <v>43937</v>
      </c>
      <c r="H63" s="36">
        <v>322800</v>
      </c>
      <c r="I63" s="36" t="s">
        <v>33</v>
      </c>
      <c r="J63" s="36" t="s">
        <v>34</v>
      </c>
      <c r="K63" s="41">
        <v>446.49</v>
      </c>
    </row>
    <row r="64" spans="1:11" s="22" customFormat="1" ht="15.6" x14ac:dyDescent="0.3">
      <c r="A64" s="21" t="s">
        <v>48</v>
      </c>
      <c r="B64" s="21">
        <f>VALUE(LEFT(MC[[#This Row],[Payment Ref]],5))</f>
        <v>24704</v>
      </c>
      <c r="C64" s="36" t="s">
        <v>120</v>
      </c>
      <c r="D64" s="36">
        <v>545692</v>
      </c>
      <c r="E64" s="37">
        <v>43909</v>
      </c>
      <c r="F64" s="37">
        <f t="shared" si="1"/>
        <v>43941</v>
      </c>
      <c r="G64" s="37">
        <v>43951</v>
      </c>
      <c r="H64" s="36">
        <v>323955</v>
      </c>
      <c r="I64" s="36" t="s">
        <v>33</v>
      </c>
      <c r="J64" s="36" t="s">
        <v>34</v>
      </c>
      <c r="K64" s="41">
        <v>499.95</v>
      </c>
    </row>
    <row r="65" spans="1:11" s="22" customFormat="1" ht="15.6" x14ac:dyDescent="0.3">
      <c r="A65" s="21" t="s">
        <v>69</v>
      </c>
      <c r="B65" s="21">
        <f>VALUE(LEFT(MC[[#This Row],[Payment Ref]],5))</f>
        <v>24761</v>
      </c>
      <c r="C65" s="36" t="s">
        <v>120</v>
      </c>
      <c r="D65" s="36">
        <v>545722</v>
      </c>
      <c r="E65" s="37">
        <v>43941</v>
      </c>
      <c r="F65" s="37">
        <f t="shared" si="1"/>
        <v>43971</v>
      </c>
      <c r="G65" s="37">
        <v>43949</v>
      </c>
      <c r="H65" s="36">
        <v>325149</v>
      </c>
      <c r="I65" s="36" t="s">
        <v>33</v>
      </c>
      <c r="J65" s="36" t="s">
        <v>34</v>
      </c>
      <c r="K65" s="41">
        <v>449.13</v>
      </c>
    </row>
    <row r="66" spans="1:11" s="22" customFormat="1" ht="15.6" x14ac:dyDescent="0.3">
      <c r="A66" s="21" t="s">
        <v>107</v>
      </c>
      <c r="B66" s="21">
        <f>VALUE(LEFT(MC[[#This Row],[Payment Ref]],5))</f>
        <v>24877</v>
      </c>
      <c r="C66" s="36" t="s">
        <v>120</v>
      </c>
      <c r="D66" s="36">
        <v>545778</v>
      </c>
      <c r="E66" s="37">
        <v>43890</v>
      </c>
      <c r="F66" s="37">
        <f t="shared" si="1"/>
        <v>43920</v>
      </c>
      <c r="G66" s="37">
        <v>43932</v>
      </c>
      <c r="H66" s="36">
        <v>325643</v>
      </c>
      <c r="I66" s="36" t="s">
        <v>33</v>
      </c>
      <c r="J66" s="36" t="s">
        <v>34</v>
      </c>
      <c r="K66" s="41">
        <v>650.42999999999995</v>
      </c>
    </row>
    <row r="67" spans="1:11" s="22" customFormat="1" ht="15.6" x14ac:dyDescent="0.3">
      <c r="A67" s="21" t="s">
        <v>114</v>
      </c>
      <c r="B67" s="21">
        <f>VALUE(LEFT(MC[[#This Row],[Payment Ref]],5))</f>
        <v>24893</v>
      </c>
      <c r="C67" s="36" t="s">
        <v>120</v>
      </c>
      <c r="D67" s="36">
        <v>545788</v>
      </c>
      <c r="E67" s="37">
        <v>43919</v>
      </c>
      <c r="F67" s="37">
        <f t="shared" si="1"/>
        <v>43950</v>
      </c>
      <c r="G67" s="37">
        <v>43933</v>
      </c>
      <c r="H67" s="36">
        <v>326543</v>
      </c>
      <c r="I67" s="36" t="s">
        <v>33</v>
      </c>
      <c r="J67" s="36" t="s">
        <v>34</v>
      </c>
      <c r="K67" s="41">
        <v>446.16</v>
      </c>
    </row>
    <row r="68" spans="1:11" s="22" customFormat="1" ht="15.6" x14ac:dyDescent="0.3">
      <c r="A68" s="21" t="s">
        <v>46</v>
      </c>
      <c r="B68" s="21">
        <f>VALUE(LEFT(MC[[#This Row],[Payment Ref]],5))</f>
        <v>24698</v>
      </c>
      <c r="C68" s="36" t="s">
        <v>120</v>
      </c>
      <c r="D68" s="36">
        <v>545690</v>
      </c>
      <c r="E68" s="37">
        <v>43930</v>
      </c>
      <c r="F68" s="37">
        <f t="shared" si="1"/>
        <v>43962</v>
      </c>
      <c r="G68" s="37">
        <v>43949</v>
      </c>
      <c r="H68" s="36">
        <v>327342</v>
      </c>
      <c r="I68" s="36" t="s">
        <v>33</v>
      </c>
      <c r="J68" s="36" t="s">
        <v>34</v>
      </c>
      <c r="K68" s="41">
        <v>393.36</v>
      </c>
    </row>
    <row r="69" spans="1:11" s="22" customFormat="1" ht="15.6" x14ac:dyDescent="0.3">
      <c r="A69" s="21" t="s">
        <v>234</v>
      </c>
      <c r="B69" s="21">
        <f>VALUE(LEFT(MC[[#This Row],[Payment Ref]],5))</f>
        <v>24674</v>
      </c>
      <c r="C69" s="36" t="s">
        <v>120</v>
      </c>
      <c r="D69" s="36">
        <v>545672</v>
      </c>
      <c r="E69" s="37">
        <v>43923</v>
      </c>
      <c r="F69" s="37">
        <f t="shared" ref="F69:F88" si="2">WORKDAY(EDATE(E69,1)-1,1)</f>
        <v>43955</v>
      </c>
      <c r="G69" s="37">
        <v>43941</v>
      </c>
      <c r="H69" s="36">
        <v>327600</v>
      </c>
      <c r="I69" s="36" t="s">
        <v>33</v>
      </c>
      <c r="J69" s="36" t="s">
        <v>34</v>
      </c>
      <c r="K69" s="41">
        <v>1021.02</v>
      </c>
    </row>
    <row r="70" spans="1:11" s="22" customFormat="1" ht="15.6" x14ac:dyDescent="0.3">
      <c r="A70" s="21" t="s">
        <v>79</v>
      </c>
      <c r="B70" s="21">
        <f>VALUE(LEFT(MC[[#This Row],[Payment Ref]],5))</f>
        <v>24795</v>
      </c>
      <c r="C70" s="36" t="s">
        <v>120</v>
      </c>
      <c r="D70" s="36">
        <v>545735</v>
      </c>
      <c r="E70" s="37">
        <v>43888</v>
      </c>
      <c r="F70" s="37">
        <f t="shared" si="2"/>
        <v>43917</v>
      </c>
      <c r="G70" s="37">
        <v>43928</v>
      </c>
      <c r="H70" s="36">
        <v>327740</v>
      </c>
      <c r="I70" s="36" t="s">
        <v>33</v>
      </c>
      <c r="J70" s="36" t="s">
        <v>34</v>
      </c>
      <c r="K70" s="41">
        <v>950.73</v>
      </c>
    </row>
    <row r="71" spans="1:11" s="22" customFormat="1" ht="15.6" x14ac:dyDescent="0.3">
      <c r="A71" s="21" t="s">
        <v>101</v>
      </c>
      <c r="B71" s="21">
        <f>VALUE(LEFT(MC[[#This Row],[Payment Ref]],5))</f>
        <v>24863</v>
      </c>
      <c r="C71" s="36" t="s">
        <v>120</v>
      </c>
      <c r="D71" s="36">
        <v>545770</v>
      </c>
      <c r="E71" s="37">
        <v>43905</v>
      </c>
      <c r="F71" s="37">
        <f t="shared" si="2"/>
        <v>43936</v>
      </c>
      <c r="G71" s="37">
        <v>43942</v>
      </c>
      <c r="H71" s="36">
        <v>327938</v>
      </c>
      <c r="I71" s="36" t="s">
        <v>33</v>
      </c>
      <c r="J71" s="36" t="s">
        <v>34</v>
      </c>
      <c r="K71" s="41">
        <v>546.80999999999995</v>
      </c>
    </row>
    <row r="72" spans="1:11" s="22" customFormat="1" ht="15.6" x14ac:dyDescent="0.3">
      <c r="A72" s="21" t="s">
        <v>94</v>
      </c>
      <c r="B72" s="21">
        <f>VALUE(LEFT(MC[[#This Row],[Payment Ref]],5))</f>
        <v>24838</v>
      </c>
      <c r="C72" s="36" t="s">
        <v>120</v>
      </c>
      <c r="D72" s="36">
        <v>545760</v>
      </c>
      <c r="E72" s="37">
        <v>43932</v>
      </c>
      <c r="F72" s="37">
        <f t="shared" si="2"/>
        <v>43962</v>
      </c>
      <c r="G72" s="37">
        <v>43948</v>
      </c>
      <c r="H72" s="36">
        <v>328536</v>
      </c>
      <c r="I72" s="36" t="s">
        <v>33</v>
      </c>
      <c r="J72" s="36" t="s">
        <v>34</v>
      </c>
      <c r="K72" s="41">
        <v>668.25</v>
      </c>
    </row>
    <row r="73" spans="1:11" s="22" customFormat="1" ht="15.6" x14ac:dyDescent="0.3">
      <c r="A73" s="21" t="s">
        <v>61</v>
      </c>
      <c r="B73" s="21">
        <f>VALUE(LEFT(MC[[#This Row],[Payment Ref]],5))</f>
        <v>24750</v>
      </c>
      <c r="C73" s="36" t="s">
        <v>120</v>
      </c>
      <c r="D73" s="36">
        <v>545710</v>
      </c>
      <c r="E73" s="37">
        <v>43886</v>
      </c>
      <c r="F73" s="37">
        <f t="shared" si="2"/>
        <v>43915</v>
      </c>
      <c r="G73" s="37">
        <v>43931</v>
      </c>
      <c r="H73" s="36">
        <v>330858</v>
      </c>
      <c r="I73" s="36" t="s">
        <v>33</v>
      </c>
      <c r="J73" s="36" t="s">
        <v>34</v>
      </c>
      <c r="K73" s="41">
        <v>426.03</v>
      </c>
    </row>
    <row r="74" spans="1:11" s="22" customFormat="1" ht="15.6" x14ac:dyDescent="0.3">
      <c r="A74" s="21" t="s">
        <v>59</v>
      </c>
      <c r="B74" s="21">
        <f>VALUE(LEFT(MC[[#This Row],[Payment Ref]],5))</f>
        <v>24743</v>
      </c>
      <c r="C74" s="36" t="s">
        <v>120</v>
      </c>
      <c r="D74" s="36">
        <v>545707</v>
      </c>
      <c r="E74" s="37">
        <v>43911</v>
      </c>
      <c r="F74" s="37">
        <f t="shared" si="2"/>
        <v>43942</v>
      </c>
      <c r="G74" s="37">
        <v>43925</v>
      </c>
      <c r="H74" s="36">
        <v>331383</v>
      </c>
      <c r="I74" s="36" t="s">
        <v>33</v>
      </c>
      <c r="J74" s="36" t="s">
        <v>34</v>
      </c>
      <c r="K74" s="41">
        <v>78.540000000000006</v>
      </c>
    </row>
    <row r="75" spans="1:11" s="22" customFormat="1" ht="15.6" x14ac:dyDescent="0.3">
      <c r="A75" s="21" t="s">
        <v>78</v>
      </c>
      <c r="B75" s="21">
        <f>VALUE(LEFT(MC[[#This Row],[Payment Ref]],5))</f>
        <v>24793</v>
      </c>
      <c r="C75" s="36" t="s">
        <v>120</v>
      </c>
      <c r="D75" s="36">
        <v>545734</v>
      </c>
      <c r="E75" s="37">
        <v>43895</v>
      </c>
      <c r="F75" s="37">
        <f t="shared" si="2"/>
        <v>43927</v>
      </c>
      <c r="G75" s="37">
        <v>43925</v>
      </c>
      <c r="H75" s="36">
        <v>331460</v>
      </c>
      <c r="I75" s="36" t="s">
        <v>33</v>
      </c>
      <c r="J75" s="36" t="s">
        <v>34</v>
      </c>
      <c r="K75" s="41">
        <v>821.37</v>
      </c>
    </row>
    <row r="76" spans="1:11" s="22" customFormat="1" ht="15.6" x14ac:dyDescent="0.3">
      <c r="A76" s="21" t="s">
        <v>35</v>
      </c>
      <c r="B76" s="21">
        <f>VALUE(LEFT(MC[[#This Row],[Payment Ref]],5))</f>
        <v>24675</v>
      </c>
      <c r="C76" s="36" t="s">
        <v>120</v>
      </c>
      <c r="D76" s="36">
        <v>545674</v>
      </c>
      <c r="E76" s="37">
        <v>43906</v>
      </c>
      <c r="F76" s="37">
        <f t="shared" si="2"/>
        <v>43937</v>
      </c>
      <c r="G76" s="37">
        <v>43926</v>
      </c>
      <c r="H76" s="36">
        <v>332589</v>
      </c>
      <c r="I76" s="36" t="s">
        <v>33</v>
      </c>
      <c r="J76" s="36" t="s">
        <v>34</v>
      </c>
      <c r="K76" s="41">
        <v>409.53</v>
      </c>
    </row>
    <row r="77" spans="1:11" s="22" customFormat="1" ht="15.6" x14ac:dyDescent="0.3">
      <c r="A77" s="21" t="s">
        <v>65</v>
      </c>
      <c r="B77" s="21">
        <f>VALUE(LEFT(MC[[#This Row],[Payment Ref]],5))</f>
        <v>24757</v>
      </c>
      <c r="C77" s="36" t="s">
        <v>120</v>
      </c>
      <c r="D77" s="36">
        <v>545716</v>
      </c>
      <c r="E77" s="37">
        <v>43936</v>
      </c>
      <c r="F77" s="37">
        <f t="shared" si="2"/>
        <v>43966</v>
      </c>
      <c r="G77" s="37">
        <v>43941</v>
      </c>
      <c r="H77" s="36">
        <v>332725</v>
      </c>
      <c r="I77" s="36" t="s">
        <v>33</v>
      </c>
      <c r="J77" s="36" t="s">
        <v>34</v>
      </c>
      <c r="K77" s="41">
        <v>549.12</v>
      </c>
    </row>
    <row r="78" spans="1:11" s="22" customFormat="1" ht="15.6" x14ac:dyDescent="0.3">
      <c r="A78" s="21" t="s">
        <v>38</v>
      </c>
      <c r="B78" s="21">
        <f>VALUE(LEFT(MC[[#This Row],[Payment Ref]],5))</f>
        <v>24679</v>
      </c>
      <c r="C78" s="36" t="s">
        <v>120</v>
      </c>
      <c r="D78" s="36">
        <v>545678</v>
      </c>
      <c r="E78" s="37">
        <v>43930</v>
      </c>
      <c r="F78" s="37">
        <f t="shared" si="2"/>
        <v>43962</v>
      </c>
      <c r="G78" s="37">
        <v>43951</v>
      </c>
      <c r="H78" s="36">
        <v>334724</v>
      </c>
      <c r="I78" s="36" t="s">
        <v>33</v>
      </c>
      <c r="J78" s="36" t="s">
        <v>34</v>
      </c>
      <c r="K78" s="41">
        <v>114.18</v>
      </c>
    </row>
    <row r="79" spans="1:11" s="22" customFormat="1" ht="15.6" x14ac:dyDescent="0.3">
      <c r="A79" s="21" t="s">
        <v>60</v>
      </c>
      <c r="B79" s="21">
        <f>VALUE(LEFT(MC[[#This Row],[Payment Ref]],5))</f>
        <v>24746</v>
      </c>
      <c r="C79" s="36" t="s">
        <v>120</v>
      </c>
      <c r="D79" s="36">
        <v>545708</v>
      </c>
      <c r="E79" s="37">
        <v>43892</v>
      </c>
      <c r="F79" s="37">
        <f t="shared" si="2"/>
        <v>43923</v>
      </c>
      <c r="G79" s="37">
        <v>43927</v>
      </c>
      <c r="H79" s="36">
        <v>335282</v>
      </c>
      <c r="I79" s="36" t="s">
        <v>33</v>
      </c>
      <c r="J79" s="36" t="s">
        <v>34</v>
      </c>
      <c r="K79" s="41">
        <v>302.61</v>
      </c>
    </row>
    <row r="80" spans="1:11" s="22" customFormat="1" ht="15.6" x14ac:dyDescent="0.3">
      <c r="A80" s="21" t="s">
        <v>47</v>
      </c>
      <c r="B80" s="21">
        <f>VALUE(LEFT(MC[[#This Row],[Payment Ref]],5))</f>
        <v>24699</v>
      </c>
      <c r="C80" s="36" t="s">
        <v>120</v>
      </c>
      <c r="D80" s="36">
        <v>545691</v>
      </c>
      <c r="E80" s="37">
        <v>43899</v>
      </c>
      <c r="F80" s="37">
        <f t="shared" si="2"/>
        <v>43930</v>
      </c>
      <c r="G80" s="37">
        <v>43942</v>
      </c>
      <c r="H80" s="36">
        <v>335460</v>
      </c>
      <c r="I80" s="36" t="s">
        <v>33</v>
      </c>
      <c r="J80" s="36" t="s">
        <v>34</v>
      </c>
      <c r="K80" s="41">
        <v>642.17999999999995</v>
      </c>
    </row>
    <row r="81" spans="1:11" s="22" customFormat="1" ht="15.6" x14ac:dyDescent="0.3">
      <c r="A81" s="21" t="s">
        <v>67</v>
      </c>
      <c r="B81" s="21">
        <f>VALUE(LEFT(MC[[#This Row],[Payment Ref]],5))</f>
        <v>24759</v>
      </c>
      <c r="C81" s="36" t="s">
        <v>120</v>
      </c>
      <c r="D81" s="36">
        <v>545719</v>
      </c>
      <c r="E81" s="37">
        <v>43892</v>
      </c>
      <c r="F81" s="37">
        <f t="shared" si="2"/>
        <v>43923</v>
      </c>
      <c r="G81" s="37">
        <v>43934</v>
      </c>
      <c r="H81" s="36">
        <v>336345</v>
      </c>
      <c r="I81" s="36" t="s">
        <v>33</v>
      </c>
      <c r="J81" s="36" t="s">
        <v>34</v>
      </c>
      <c r="K81" s="41">
        <v>644.82000000000005</v>
      </c>
    </row>
    <row r="82" spans="1:11" s="22" customFormat="1" ht="15.6" x14ac:dyDescent="0.3">
      <c r="A82" s="21" t="s">
        <v>76</v>
      </c>
      <c r="B82" s="21">
        <f>VALUE(LEFT(MC[[#This Row],[Payment Ref]],5))</f>
        <v>24788</v>
      </c>
      <c r="C82" s="36" t="s">
        <v>120</v>
      </c>
      <c r="D82" s="36">
        <v>545731</v>
      </c>
      <c r="E82" s="37">
        <v>43906</v>
      </c>
      <c r="F82" s="37">
        <f t="shared" si="2"/>
        <v>43937</v>
      </c>
      <c r="G82" s="37">
        <v>43949</v>
      </c>
      <c r="H82" s="36">
        <v>336345</v>
      </c>
      <c r="I82" s="36" t="s">
        <v>33</v>
      </c>
      <c r="J82" s="36" t="s">
        <v>34</v>
      </c>
      <c r="K82" s="41">
        <v>442.86</v>
      </c>
    </row>
    <row r="83" spans="1:11" s="22" customFormat="1" ht="15.6" x14ac:dyDescent="0.3">
      <c r="A83" s="21" t="s">
        <v>36</v>
      </c>
      <c r="B83" s="21">
        <f>VALUE(LEFT(MC[[#This Row],[Payment Ref]],5))</f>
        <v>24676</v>
      </c>
      <c r="C83" s="36" t="s">
        <v>120</v>
      </c>
      <c r="D83" s="36">
        <v>545676</v>
      </c>
      <c r="E83" s="37">
        <v>43915</v>
      </c>
      <c r="F83" s="37">
        <f t="shared" si="2"/>
        <v>43948</v>
      </c>
      <c r="G83" s="37">
        <v>43941</v>
      </c>
      <c r="H83" s="36">
        <v>337131</v>
      </c>
      <c r="I83" s="36" t="s">
        <v>33</v>
      </c>
      <c r="J83" s="36" t="s">
        <v>34</v>
      </c>
      <c r="K83" s="41">
        <v>-234.96</v>
      </c>
    </row>
    <row r="84" spans="1:11" s="22" customFormat="1" ht="15.6" x14ac:dyDescent="0.3">
      <c r="A84" s="21" t="s">
        <v>115</v>
      </c>
      <c r="B84" s="21">
        <f>VALUE(LEFT(MC[[#This Row],[Payment Ref]],5))</f>
        <v>24898</v>
      </c>
      <c r="C84" s="36" t="s">
        <v>120</v>
      </c>
      <c r="D84" s="36">
        <v>545789</v>
      </c>
      <c r="E84" s="37">
        <v>43898</v>
      </c>
      <c r="F84" s="37">
        <f t="shared" si="2"/>
        <v>43929</v>
      </c>
      <c r="G84" s="37">
        <v>43941</v>
      </c>
      <c r="H84" s="36">
        <v>338553</v>
      </c>
      <c r="I84" s="36" t="s">
        <v>33</v>
      </c>
      <c r="J84" s="36" t="s">
        <v>34</v>
      </c>
      <c r="K84" s="41">
        <v>1032.24</v>
      </c>
    </row>
    <row r="85" spans="1:11" s="22" customFormat="1" ht="15.6" x14ac:dyDescent="0.3">
      <c r="A85" s="21" t="s">
        <v>68</v>
      </c>
      <c r="B85" s="21">
        <f>VALUE(LEFT(MC[[#This Row],[Payment Ref]],5))</f>
        <v>24760</v>
      </c>
      <c r="C85" s="36" t="s">
        <v>120</v>
      </c>
      <c r="D85" s="36">
        <v>545721</v>
      </c>
      <c r="E85" s="37">
        <v>43923</v>
      </c>
      <c r="F85" s="37">
        <f t="shared" si="2"/>
        <v>43955</v>
      </c>
      <c r="G85" s="37">
        <v>43944</v>
      </c>
      <c r="H85" s="36">
        <v>338595</v>
      </c>
      <c r="I85" s="36" t="s">
        <v>33</v>
      </c>
      <c r="J85" s="36" t="s">
        <v>34</v>
      </c>
      <c r="K85" s="41">
        <v>113.19</v>
      </c>
    </row>
    <row r="86" spans="1:11" s="22" customFormat="1" ht="15.6" x14ac:dyDescent="0.3">
      <c r="A86" s="21" t="s">
        <v>109</v>
      </c>
      <c r="B86" s="21">
        <f>VALUE(LEFT(MC[[#This Row],[Payment Ref]],5))</f>
        <v>24880</v>
      </c>
      <c r="C86" s="36" t="s">
        <v>120</v>
      </c>
      <c r="D86" s="36">
        <v>545781</v>
      </c>
      <c r="E86" s="37">
        <v>43901</v>
      </c>
      <c r="F86" s="37">
        <f t="shared" si="2"/>
        <v>43934</v>
      </c>
      <c r="G86" s="37">
        <v>43943</v>
      </c>
      <c r="H86" s="36">
        <v>338807</v>
      </c>
      <c r="I86" s="36" t="s">
        <v>33</v>
      </c>
      <c r="J86" s="36" t="s">
        <v>34</v>
      </c>
      <c r="K86" s="41">
        <v>424.38</v>
      </c>
    </row>
    <row r="87" spans="1:11" s="22" customFormat="1" ht="15.6" x14ac:dyDescent="0.3">
      <c r="A87" s="21" t="s">
        <v>96</v>
      </c>
      <c r="B87" s="21">
        <f>VALUE(LEFT(MC[[#This Row],[Payment Ref]],5))</f>
        <v>24847</v>
      </c>
      <c r="C87" s="36" t="s">
        <v>120</v>
      </c>
      <c r="D87" s="36">
        <v>545763</v>
      </c>
      <c r="E87" s="37">
        <v>43905</v>
      </c>
      <c r="F87" s="37">
        <f t="shared" si="2"/>
        <v>43936</v>
      </c>
      <c r="G87" s="37">
        <v>43943</v>
      </c>
      <c r="H87" s="36">
        <v>338938</v>
      </c>
      <c r="I87" s="36" t="s">
        <v>33</v>
      </c>
      <c r="J87" s="36" t="s">
        <v>34</v>
      </c>
      <c r="K87" s="41">
        <v>1000.23</v>
      </c>
    </row>
    <row r="88" spans="1:11" s="22" customFormat="1" ht="15.6" x14ac:dyDescent="0.3">
      <c r="A88" s="21" t="s">
        <v>74</v>
      </c>
      <c r="B88" s="21">
        <f>VALUE(LEFT(MC[[#This Row],[Payment Ref]],5))</f>
        <v>24779</v>
      </c>
      <c r="C88" s="36" t="s">
        <v>120</v>
      </c>
      <c r="D88" s="36">
        <v>545727</v>
      </c>
      <c r="E88" s="37">
        <v>43907</v>
      </c>
      <c r="F88" s="37">
        <f t="shared" si="2"/>
        <v>43938</v>
      </c>
      <c r="G88" s="37">
        <v>43929</v>
      </c>
      <c r="H88" s="36">
        <v>339907</v>
      </c>
      <c r="I88" s="36" t="s">
        <v>33</v>
      </c>
      <c r="J88" s="36" t="s">
        <v>34</v>
      </c>
      <c r="K88" s="41">
        <v>480.81</v>
      </c>
    </row>
  </sheetData>
  <sortState xmlns:xlrd2="http://schemas.microsoft.com/office/spreadsheetml/2017/richdata2" ref="E5:G87">
    <sortCondition ref="G5:G87"/>
  </sortState>
  <mergeCells count="1">
    <mergeCell ref="M20:N20"/>
  </mergeCells>
  <phoneticPr fontId="5" type="noConversion"/>
  <conditionalFormatting sqref="C5:K88">
    <cfRule type="expression" dxfId="2" priority="17">
      <formula>$J5=#REF!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A9-9779-45DC-8275-7C6ACC2F16A5}">
  <dimension ref="A1:E10"/>
  <sheetViews>
    <sheetView zoomScale="115" zoomScaleNormal="115" workbookViewId="0">
      <selection activeCell="A7" sqref="A7"/>
    </sheetView>
  </sheetViews>
  <sheetFormatPr defaultRowHeight="14.4" x14ac:dyDescent="0.3"/>
  <cols>
    <col min="1" max="1" width="22.33203125" customWidth="1"/>
    <col min="2" max="2" width="18.5546875" customWidth="1"/>
    <col min="3" max="5" width="18" customWidth="1"/>
    <col min="6" max="6" width="21.33203125" customWidth="1"/>
  </cols>
  <sheetData>
    <row r="1" spans="1:5" ht="20.399999999999999" thickBot="1" x14ac:dyDescent="0.45">
      <c r="A1" s="8" t="s">
        <v>122</v>
      </c>
      <c r="B1" s="8"/>
      <c r="C1" s="8"/>
    </row>
    <row r="2" spans="1:5" ht="15" thickTop="1" x14ac:dyDescent="0.3"/>
    <row r="3" spans="1:5" x14ac:dyDescent="0.3">
      <c r="A3" t="s">
        <v>123</v>
      </c>
      <c r="B3" s="1" t="e">
        <f>SUM('Supplier Invoice Statement'!#REF!)</f>
        <v>#REF!</v>
      </c>
    </row>
    <row r="4" spans="1:5" x14ac:dyDescent="0.3">
      <c r="A4" t="s">
        <v>232</v>
      </c>
      <c r="B4" s="1" t="e">
        <f>SUM(Amount_Paid)</f>
        <v>#NAME?</v>
      </c>
    </row>
    <row r="5" spans="1:5" x14ac:dyDescent="0.3">
      <c r="A5" t="s">
        <v>124</v>
      </c>
      <c r="B5" s="1" t="e">
        <f>B3-B4</f>
        <v>#REF!</v>
      </c>
    </row>
    <row r="7" spans="1:5" x14ac:dyDescent="0.3">
      <c r="A7" s="3" t="s">
        <v>164</v>
      </c>
      <c r="B7" s="6" t="s">
        <v>125</v>
      </c>
      <c r="C7" s="6" t="s">
        <v>126</v>
      </c>
      <c r="D7" s="6" t="s">
        <v>167</v>
      </c>
      <c r="E7" s="6" t="s">
        <v>121</v>
      </c>
    </row>
    <row r="8" spans="1:5" x14ac:dyDescent="0.3">
      <c r="A8" t="s">
        <v>32</v>
      </c>
      <c r="B8" t="e">
        <f>COUNTIFS(Location,A8)</f>
        <v>#NAME?</v>
      </c>
      <c r="C8" s="7" t="e">
        <f>SUMIFS(Amount_Paid,Location,A8)</f>
        <v>#NAME?</v>
      </c>
      <c r="D8" t="e">
        <f>SUMIFS(#REF!,Location,$A8)</f>
        <v>#REF!</v>
      </c>
      <c r="E8" s="7" t="e">
        <f>SUMIFS(Late_Charge,Location,$A8)</f>
        <v>#NAME?</v>
      </c>
    </row>
    <row r="9" spans="1:5" x14ac:dyDescent="0.3">
      <c r="A9" t="s">
        <v>34</v>
      </c>
      <c r="B9" t="e">
        <f>COUNTIFS(Location,A9)</f>
        <v>#NAME?</v>
      </c>
      <c r="C9" s="7" t="e">
        <f>SUMIFS(Amount_Paid,Location,A9)</f>
        <v>#NAME?</v>
      </c>
      <c r="D9" t="e">
        <f>SUMIFS(#REF!,Location,$A9)</f>
        <v>#REF!</v>
      </c>
      <c r="E9" s="7" t="e">
        <f>SUMIFS(Late_Charge,Location,$A9)</f>
        <v>#NAME?</v>
      </c>
    </row>
    <row r="10" spans="1:5" x14ac:dyDescent="0.3">
      <c r="A10" t="s">
        <v>237</v>
      </c>
      <c r="B10" t="e">
        <f>SUBTOTAL(109,Table2[Number of Invoices])</f>
        <v>#NAME?</v>
      </c>
      <c r="C10" s="17"/>
      <c r="E10" s="18" t="e">
        <f>SUBTOTAL(109,Table2[Late Charge])</f>
        <v>#NAME?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D081-91A7-4DE1-81D8-87D0B9859C69}">
  <dimension ref="A1:C35"/>
  <sheetViews>
    <sheetView workbookViewId="0">
      <selection activeCell="A4" sqref="A4:A15"/>
    </sheetView>
  </sheetViews>
  <sheetFormatPr defaultRowHeight="14.4" x14ac:dyDescent="0.3"/>
  <cols>
    <col min="1" max="1" width="13.33203125" style="10" customWidth="1"/>
    <col min="2" max="2" width="9.109375" style="4"/>
    <col min="3" max="3" width="24.5546875" customWidth="1"/>
  </cols>
  <sheetData>
    <row r="1" spans="1:3" ht="20.399999999999999" thickBot="1" x14ac:dyDescent="0.45">
      <c r="A1" s="14" t="s">
        <v>144</v>
      </c>
      <c r="B1" s="14"/>
      <c r="C1" s="14"/>
    </row>
    <row r="2" spans="1:3" ht="15" thickTop="1" x14ac:dyDescent="0.3"/>
    <row r="3" spans="1:3" x14ac:dyDescent="0.3">
      <c r="A3" s="11" t="s">
        <v>129</v>
      </c>
      <c r="B3" s="12" t="s">
        <v>130</v>
      </c>
      <c r="C3" s="13" t="s">
        <v>131</v>
      </c>
    </row>
    <row r="4" spans="1:3" x14ac:dyDescent="0.3">
      <c r="A4" s="10">
        <v>43831</v>
      </c>
      <c r="B4" s="4" t="str">
        <f>TEXT(A4,"ddd")</f>
        <v>Wed</v>
      </c>
      <c r="C4" t="s">
        <v>132</v>
      </c>
    </row>
    <row r="5" spans="1:3" x14ac:dyDescent="0.3">
      <c r="A5" s="10">
        <v>43857</v>
      </c>
      <c r="B5" s="4" t="str">
        <f t="shared" ref="B5:B15" si="0">TEXT(A5,"ddd")</f>
        <v>Mon</v>
      </c>
      <c r="C5" t="s">
        <v>133</v>
      </c>
    </row>
    <row r="6" spans="1:3" x14ac:dyDescent="0.3">
      <c r="A6" s="10">
        <v>43931</v>
      </c>
      <c r="B6" s="4" t="str">
        <f t="shared" si="0"/>
        <v>Fri</v>
      </c>
      <c r="C6" t="s">
        <v>135</v>
      </c>
    </row>
    <row r="7" spans="1:3" x14ac:dyDescent="0.3">
      <c r="A7" s="10">
        <v>43932</v>
      </c>
      <c r="B7" s="4" t="str">
        <f t="shared" si="0"/>
        <v>Sat</v>
      </c>
      <c r="C7" t="s">
        <v>136</v>
      </c>
    </row>
    <row r="8" spans="1:3" x14ac:dyDescent="0.3">
      <c r="A8" s="10">
        <v>43933</v>
      </c>
      <c r="B8" s="4" t="str">
        <f t="shared" si="0"/>
        <v>Sun</v>
      </c>
      <c r="C8" t="s">
        <v>137</v>
      </c>
    </row>
    <row r="9" spans="1:3" x14ac:dyDescent="0.3">
      <c r="A9" s="10">
        <v>43934</v>
      </c>
      <c r="B9" s="4" t="str">
        <f t="shared" si="0"/>
        <v>Mon</v>
      </c>
      <c r="C9" t="s">
        <v>138</v>
      </c>
    </row>
    <row r="10" spans="1:3" x14ac:dyDescent="0.3">
      <c r="A10" s="10">
        <v>43946</v>
      </c>
      <c r="B10" s="4" t="str">
        <f t="shared" si="0"/>
        <v>Sat</v>
      </c>
      <c r="C10" t="s">
        <v>139</v>
      </c>
    </row>
    <row r="11" spans="1:3" x14ac:dyDescent="0.3">
      <c r="A11" s="10">
        <v>43990</v>
      </c>
      <c r="B11" s="4" t="str">
        <f t="shared" si="0"/>
        <v>Mon</v>
      </c>
      <c r="C11" t="s">
        <v>140</v>
      </c>
    </row>
    <row r="12" spans="1:3" x14ac:dyDescent="0.3">
      <c r="A12" s="10">
        <v>44109</v>
      </c>
      <c r="B12" s="4" t="str">
        <f t="shared" si="0"/>
        <v>Mon</v>
      </c>
      <c r="C12" t="s">
        <v>134</v>
      </c>
    </row>
    <row r="13" spans="1:3" x14ac:dyDescent="0.3">
      <c r="A13" s="10">
        <v>44190</v>
      </c>
      <c r="B13" s="4" t="str">
        <f t="shared" si="0"/>
        <v>Fri</v>
      </c>
      <c r="C13" t="s">
        <v>141</v>
      </c>
    </row>
    <row r="14" spans="1:3" x14ac:dyDescent="0.3">
      <c r="A14" s="10">
        <v>44191</v>
      </c>
      <c r="B14" s="4" t="str">
        <f t="shared" si="0"/>
        <v>Sat</v>
      </c>
      <c r="C14" t="s">
        <v>142</v>
      </c>
    </row>
    <row r="15" spans="1:3" x14ac:dyDescent="0.3">
      <c r="A15" s="10">
        <v>44193</v>
      </c>
      <c r="B15" s="4" t="str">
        <f t="shared" si="0"/>
        <v>Mon</v>
      </c>
      <c r="C15" t="s">
        <v>143</v>
      </c>
    </row>
    <row r="19" spans="1:3" x14ac:dyDescent="0.3">
      <c r="A19" t="s">
        <v>160</v>
      </c>
      <c r="B19"/>
    </row>
    <row r="20" spans="1:3" x14ac:dyDescent="0.3">
      <c r="A20" s="13" t="s">
        <v>161</v>
      </c>
      <c r="B20" s="13" t="s">
        <v>162</v>
      </c>
      <c r="C20" s="13"/>
    </row>
    <row r="21" spans="1:3" x14ac:dyDescent="0.3">
      <c r="A21" t="s">
        <v>145</v>
      </c>
      <c r="B21" t="s">
        <v>146</v>
      </c>
    </row>
    <row r="22" spans="1:3" x14ac:dyDescent="0.3">
      <c r="A22">
        <v>2</v>
      </c>
      <c r="B22" t="s">
        <v>147</v>
      </c>
    </row>
    <row r="23" spans="1:3" x14ac:dyDescent="0.3">
      <c r="A23">
        <v>3</v>
      </c>
      <c r="B23" t="s">
        <v>148</v>
      </c>
    </row>
    <row r="24" spans="1:3" x14ac:dyDescent="0.3">
      <c r="A24">
        <v>4</v>
      </c>
      <c r="B24" t="s">
        <v>149</v>
      </c>
    </row>
    <row r="25" spans="1:3" x14ac:dyDescent="0.3">
      <c r="A25">
        <v>5</v>
      </c>
      <c r="B25" t="s">
        <v>150</v>
      </c>
    </row>
    <row r="26" spans="1:3" x14ac:dyDescent="0.3">
      <c r="A26">
        <v>6</v>
      </c>
      <c r="B26" t="s">
        <v>151</v>
      </c>
    </row>
    <row r="27" spans="1:3" x14ac:dyDescent="0.3">
      <c r="A27">
        <v>7</v>
      </c>
      <c r="B27" t="s">
        <v>152</v>
      </c>
    </row>
    <row r="28" spans="1:3" x14ac:dyDescent="0.3">
      <c r="A28">
        <v>11</v>
      </c>
      <c r="B28" t="s">
        <v>153</v>
      </c>
    </row>
    <row r="29" spans="1:3" x14ac:dyDescent="0.3">
      <c r="A29">
        <v>12</v>
      </c>
      <c r="B29" t="s">
        <v>154</v>
      </c>
    </row>
    <row r="30" spans="1:3" x14ac:dyDescent="0.3">
      <c r="A30">
        <v>13</v>
      </c>
      <c r="B30" t="s">
        <v>155</v>
      </c>
    </row>
    <row r="31" spans="1:3" x14ac:dyDescent="0.3">
      <c r="A31">
        <v>14</v>
      </c>
      <c r="B31" t="s">
        <v>156</v>
      </c>
    </row>
    <row r="32" spans="1:3" x14ac:dyDescent="0.3">
      <c r="A32">
        <v>15</v>
      </c>
      <c r="B32" t="s">
        <v>157</v>
      </c>
    </row>
    <row r="33" spans="1:2" x14ac:dyDescent="0.3">
      <c r="A33">
        <v>16</v>
      </c>
      <c r="B33" t="s">
        <v>158</v>
      </c>
    </row>
    <row r="34" spans="1:2" x14ac:dyDescent="0.3">
      <c r="A34">
        <v>17</v>
      </c>
      <c r="B34" t="s">
        <v>159</v>
      </c>
    </row>
    <row r="35" spans="1:2" x14ac:dyDescent="0.3">
      <c r="A35" s="10" t="s">
        <v>163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Invoice Statement</vt:lpstr>
      <vt:lpstr>MC Invoice Report</vt:lpstr>
      <vt:lpstr>Recon Analysis</vt:lpstr>
      <vt:lpstr>NSW Holidays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 Karunananthan</cp:lastModifiedBy>
  <dcterms:created xsi:type="dcterms:W3CDTF">2019-12-02T06:01:41Z</dcterms:created>
  <dcterms:modified xsi:type="dcterms:W3CDTF">2022-05-05T23:07:07Z</dcterms:modified>
</cp:coreProperties>
</file>