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<sst xmlns="http://schemas.openxmlformats.org/spreadsheetml/2006/main" uniqueCount="67">
  <si>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Compañía de Transporte de Energía Eléctrica en Alta Tensión Transener S.A. (TRAN.BA)</t>
  </si>
  <si>
    <t>Détails</t>
  </si>
  <si>
    <t>31/12/2020</t>
  </si>
  <si>
    <t>31/12/2019</t>
  </si>
  <si>
    <t>31/12/2018</t>
  </si>
  <si>
    <t>31/12/2017</t>
  </si>
  <si>
    <t>Actifs</t>
  </si>
  <si>
    <t>Actifàcourtterme</t>
  </si>
  <si>
    <t>Trésorerie</t>
  </si>
  <si>
    <t>Espècesetquasi-espèces</t>
  </si>
  <si>
    <t>Autresinvestissementsàcourtterme</t>
  </si>
  <si>
    <t>Trésorerietotale</t>
  </si>
  <si>
    <t>Créancesnettes</t>
  </si>
  <si>
    <t>Totaldesactifsàcourtterme</t>
  </si>
  <si>
    <t>Actifsnoncirculants</t>
  </si>
  <si>
    <t>Terrains,usinesetéquipements</t>
  </si>
  <si>
    <t>Investissementsbrutsenterrains,usinesetéquipements</t>
  </si>
  <si>
    <t>Dépréciationcumulée</t>
  </si>
  <si>
    <t>Investissementsnetsenterrains,usinesetéquipements</t>
  </si>
  <si>
    <t>Autresactifsàlongterme</t>
  </si>
  <si>
    <t>-</t>
  </si>
  <si>
    <t>Totaldesactifsnoncirculants</t>
  </si>
  <si>
    <t>Totaldesactifs</t>
  </si>
  <si>
    <t>Passifetcapitauxpropres</t>
  </si>
  <si>
    <t>Passif</t>
  </si>
  <si>
    <t>Passifàcourtterme</t>
  </si>
  <si>
    <t>Dettecourante</t>
  </si>
  <si>
    <t>Créances</t>
  </si>
  <si>
    <t>Autrepassifàcourtterme</t>
  </si>
  <si>
    <t>Totaldespassifsàcourtterme</t>
  </si>
  <si>
    <t>Passifsnonàcourtterme</t>
  </si>
  <si>
    <t>Detteàlongterme</t>
  </si>
  <si>
    <t>Passifd’impôtsdifféré</t>
  </si>
  <si>
    <t>Chiffred'affairesdifféré</t>
  </si>
  <si>
    <t>Totaldespassifsnonàcourtterme</t>
  </si>
  <si>
    <t>Passifstotaux</t>
  </si>
  <si>
    <t>Capitauxpropresdesdétenteurs</t>
  </si>
  <si>
    <t>Actionordinaire</t>
  </si>
  <si>
    <t>Bénéficesnonrépartis</t>
  </si>
  <si>
    <t>Totaldescapitauxpropres</t>
  </si>
  <si>
    <t>Passiftotaletcapitauxpropres</t>
  </si>
  <si>
    <t>Cisco Systems, Inc. (CSCO.BA)</t>
  </si>
  <si>
    <t>31/07/2020</t>
  </si>
  <si>
    <t>31/07/2019</t>
  </si>
  <si>
    <t>31/07/2018</t>
  </si>
  <si>
    <t>31/07/2017</t>
  </si>
  <si>
    <t>Inventaire</t>
  </si>
  <si>
    <t>Autreactifàcourtterme</t>
  </si>
  <si>
    <t>Clientèle</t>
  </si>
  <si>
    <t>Biensincorporels</t>
  </si>
  <si>
    <t>Impôtsexigibles</t>
  </si>
  <si>
    <t>Autrespassifsàlongterme</t>
  </si>
  <si>
    <t>Cumuldesautresbénéficescomplets</t>
  </si>
  <si>
    <t>Sociedad Comercial del Plata S.A. (COME.BA)</t>
  </si>
  <si>
    <t>Banco Hipotecario S.A. (BHIP.BA)</t>
  </si>
  <si>
    <t>Rigolleau S.A. (RIGO.BA)</t>
  </si>
  <si>
    <t>30/11/2020</t>
  </si>
  <si>
    <t>30/11/2019</t>
  </si>
  <si>
    <t>30/11/2018</t>
  </si>
  <si>
    <t>30/11/2017</t>
  </si>
  <si>
    <t>Ledesma Sociedad Anónima Agrícola Industrial (LEDE.BA)</t>
  </si>
  <si>
    <t>31/05/2020</t>
  </si>
  <si>
    <t>31/05/2019</t>
  </si>
  <si>
    <t>31/05/2018</t>
  </si>
  <si>
    <t>Grupo Clarín S.A. (GCLA.BA)</t>
  </si>
  <si>
    <t>Molinos Rio de la Plata S.A. (MOLI.BA)</t>
  </si>
  <si>
    <t>Transportadora de Gas del Norte S.A. (TGNO4.BA)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</si>
</sst>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/>
      <c r="C3"/>
      <c r="D3"/>
      <c r="E3"/>
    </row>
    <row r="4" spans="1:5">
      <c r="A4" t="s">
        <v>7</v>
      </c>
      <c r="B4"/>
      <c r="C4"/>
      <c r="D4"/>
      <c r="E4"/>
    </row>
    <row r="5" spans="1:5">
      <c r="A5" t="s">
        <v>8</v>
      </c>
      <c r="B5"/>
      <c r="C5"/>
      <c r="D5"/>
      <c r="E5"/>
    </row>
    <row r="6" spans="1:5">
      <c r="A6" t="s">
        <v>9</v>
      </c>
      <c r="B6">
        <f>VALUE(901643)</f>
        <v>901643</v>
      </c>
      <c r="C6">
        <f>VALUE(44443)</f>
        <v>44443</v>
      </c>
      <c r="D6">
        <f>VALUE(2782264)</f>
        <v>2782264</v>
      </c>
      <c r="E6">
        <f>VALUE(25182)</f>
        <v>25182</v>
      </c>
    </row>
    <row r="7" spans="1:5">
      <c r="A7" t="s">
        <v>10</v>
      </c>
      <c r="B7">
        <f>VALUE(7771306)</f>
        <v>7771306</v>
      </c>
      <c r="C7">
        <f>VALUE(4188765)</f>
        <v>4188765</v>
      </c>
      <c r="D7">
        <f>VALUE(1942924)</f>
        <v>1942924</v>
      </c>
      <c r="E7">
        <f>VALUE(3010653)</f>
        <v>3010653</v>
      </c>
    </row>
    <row r="8" spans="1:5">
      <c r="A8" t="s">
        <v>11</v>
      </c>
      <c r="B8">
        <f>VALUE(8672949)</f>
        <v>8672949</v>
      </c>
      <c r="C8">
        <f>VALUE(4233208)</f>
        <v>4233208</v>
      </c>
      <c r="D8">
        <f>VALUE(4725188)</f>
        <v>4725188</v>
      </c>
      <c r="E8">
        <f>VALUE(3035835)</f>
        <v>3035835</v>
      </c>
    </row>
    <row r="9" spans="1:5">
      <c r="A9" t="s">
        <v>12</v>
      </c>
      <c r="B9">
        <f>VALUE(3956334)</f>
        <v>3956334</v>
      </c>
      <c r="C9">
        <f>VALUE(3149769)</f>
        <v>3149769</v>
      </c>
      <c r="D9">
        <f>VALUE(1675512)</f>
        <v>1675512</v>
      </c>
      <c r="E9">
        <f>VALUE(1361704)</f>
        <v>1361704</v>
      </c>
    </row>
    <row r="10" spans="1:5">
      <c r="A10" t="s">
        <v>13</v>
      </c>
      <c r="B10">
        <f>VALUE(14248761)</f>
        <v>14248761</v>
      </c>
      <c r="C10">
        <f>VALUE(8688512)</f>
        <v>8688512</v>
      </c>
      <c r="D10">
        <f>VALUE(7302756)</f>
        <v>7302756</v>
      </c>
      <c r="E10">
        <f>VALUE(4789155)</f>
        <v>4789155</v>
      </c>
    </row>
    <row r="11" spans="1:5">
      <c r="A11" t="s">
        <v>14</v>
      </c>
      <c r="B11"/>
      <c r="C11"/>
      <c r="D11"/>
      <c r="E11"/>
    </row>
    <row r="12" spans="1:5">
      <c r="A12" t="s">
        <v>15</v>
      </c>
      <c r="B12"/>
      <c r="C12"/>
      <c r="D12"/>
      <c r="E12"/>
    </row>
    <row r="13" spans="1:5">
      <c r="A13" t="s">
        <v>16</v>
      </c>
      <c r="B13">
        <f>VALUE(66754173)</f>
        <v>66754173</v>
      </c>
      <c r="C13">
        <f>VALUE(47128858)</f>
        <v>47128858</v>
      </c>
      <c r="D13">
        <f>VALUE(28483563)</f>
        <v>28483563</v>
      </c>
      <c r="E13">
        <f>VALUE(4122698)</f>
        <v>4122698</v>
      </c>
    </row>
    <row r="14" spans="1:5">
      <c r="A14" t="s">
        <v>17</v>
      </c>
      <c r="B14">
        <f>VALUE(-36655710)</f>
        <v>-36655710</v>
      </c>
      <c r="C14">
        <f>VALUE(-26258799)</f>
        <v>-26258799</v>
      </c>
      <c r="D14">
        <f>VALUE(-16354176)</f>
        <v>-16354176</v>
      </c>
      <c r="E14">
        <f>VALUE(-1669614)</f>
        <v>-1669614</v>
      </c>
    </row>
    <row r="15" spans="1:5">
      <c r="A15" t="s">
        <v>18</v>
      </c>
      <c r="B15">
        <f>VALUE(30098463)</f>
        <v>30098463</v>
      </c>
      <c r="C15">
        <f>VALUE(20870059)</f>
        <v>20870059</v>
      </c>
      <c r="D15">
        <f>VALUE(12129387)</f>
        <v>12129387</v>
      </c>
      <c r="E15">
        <f>VALUE(2453084)</f>
        <v>2453084</v>
      </c>
    </row>
    <row r="16" spans="1:5">
      <c r="A16" t="s">
        <v>19</v>
      </c>
      <c r="B16">
        <f>VALUE(1234120)</f>
        <v>1234120</v>
      </c>
      <c r="C16">
        <f>VALUE(737233)</f>
        <v>737233</v>
      </c>
      <c r="D16">
        <f>VALUE(431993)</f>
        <v>431993</v>
      </c>
      <c r="E16" t="s">
        <v>20</v>
      </c>
    </row>
    <row r="17" spans="1:5">
      <c r="A17" t="s">
        <v>21</v>
      </c>
      <c r="B17">
        <f>VALUE(31332583)</f>
        <v>31332583</v>
      </c>
      <c r="C17">
        <f>VALUE(21607292)</f>
        <v>21607292</v>
      </c>
      <c r="D17">
        <f>VALUE(12566709)</f>
        <v>12566709</v>
      </c>
      <c r="E17">
        <f>VALUE(2545406)</f>
        <v>2545406</v>
      </c>
    </row>
    <row r="18" spans="1:5">
      <c r="A18" t="s">
        <v>22</v>
      </c>
      <c r="B18">
        <f>VALUE(45581344)</f>
        <v>45581344</v>
      </c>
      <c r="C18">
        <f>VALUE(30295804)</f>
        <v>30295804</v>
      </c>
      <c r="D18">
        <f>VALUE(19869465)</f>
        <v>19869465</v>
      </c>
      <c r="E18">
        <f>VALUE(7334561)</f>
        <v>7334561</v>
      </c>
    </row>
    <row r="19" spans="1:5">
      <c r="A19" t="s">
        <v>23</v>
      </c>
      <c r="B19"/>
      <c r="C19"/>
      <c r="D19"/>
      <c r="E19"/>
    </row>
    <row r="20" spans="1:5">
      <c r="A20" t="s">
        <v>24</v>
      </c>
      <c r="B20"/>
      <c r="C20"/>
      <c r="D20"/>
      <c r="E20"/>
    </row>
    <row r="21" spans="1:5">
      <c r="A21" t="s">
        <v>25</v>
      </c>
      <c r="B21"/>
      <c r="C21"/>
      <c r="D21"/>
      <c r="E21"/>
    </row>
    <row r="22" spans="1:5">
      <c r="A22" t="s">
        <v>26</v>
      </c>
      <c r="B22">
        <f>VALUE(7942290)</f>
        <v>7942290</v>
      </c>
      <c r="C22">
        <f>VALUE(204839)</f>
        <v>204839</v>
      </c>
      <c r="D22">
        <f>VALUE(138840)</f>
        <v>138840</v>
      </c>
      <c r="E22">
        <f>VALUE(68680)</f>
        <v>68680</v>
      </c>
    </row>
    <row r="23" spans="1:5">
      <c r="A23" t="s">
        <v>27</v>
      </c>
      <c r="B23">
        <f>VALUE(1311533)</f>
        <v>1311533</v>
      </c>
      <c r="C23">
        <f>VALUE(826041)</f>
        <v>826041</v>
      </c>
      <c r="D23">
        <f>VALUE(641126)</f>
        <v>641126</v>
      </c>
      <c r="E23">
        <f>VALUE(98774)</f>
        <v>98774</v>
      </c>
    </row>
    <row r="24" spans="1:5">
      <c r="A24" t="s">
        <v>28</v>
      </c>
      <c r="B24" t="s">
        <v>20</v>
      </c>
      <c r="C24">
        <f>VALUE(897339)</f>
        <v>897339</v>
      </c>
      <c r="D24">
        <f>VALUE(614116)</f>
        <v>614116</v>
      </c>
      <c r="E24">
        <f>VALUE(432799)</f>
        <v>432799</v>
      </c>
    </row>
    <row r="25" spans="1:5">
      <c r="A25" t="s">
        <v>29</v>
      </c>
      <c r="B25">
        <f>VALUE(13184511)</f>
        <v>13184511</v>
      </c>
      <c r="C25">
        <f>VALUE(3908479)</f>
        <v>3908479</v>
      </c>
      <c r="D25">
        <f>VALUE(2836930)</f>
        <v>2836930</v>
      </c>
      <c r="E25">
        <f>VALUE(2247940)</f>
        <v>2247940</v>
      </c>
    </row>
    <row r="26" spans="1:5">
      <c r="A26" t="s">
        <v>30</v>
      </c>
      <c r="B26"/>
      <c r="C26"/>
      <c r="D26"/>
      <c r="E26"/>
    </row>
    <row r="27" spans="1:5">
      <c r="A27" t="s">
        <v>31</v>
      </c>
      <c r="B27">
        <f>VALUE(0)</f>
        <v>0</v>
      </c>
      <c r="C27">
        <f>VALUE(5403692)</f>
        <v>5403692</v>
      </c>
      <c r="D27">
        <f>VALUE(3636407)</f>
        <v>3636407</v>
      </c>
      <c r="E27">
        <f>VALUE(1786610)</f>
        <v>1786610</v>
      </c>
    </row>
    <row r="28" spans="1:5">
      <c r="A28" t="s">
        <v>32</v>
      </c>
      <c r="B28">
        <f>VALUE(4340949)</f>
        <v>4340949</v>
      </c>
      <c r="C28">
        <f>VALUE(3386836)</f>
        <v>3386836</v>
      </c>
      <c r="D28">
        <f>VALUE(1395296)</f>
        <v>1395296</v>
      </c>
      <c r="E28" t="s">
        <v>20</v>
      </c>
    </row>
    <row r="29" spans="1:5">
      <c r="A29" t="s">
        <v>33</v>
      </c>
      <c r="B29" t="s">
        <v>20</v>
      </c>
      <c r="C29">
        <f>VALUE(0)</f>
        <v>0</v>
      </c>
      <c r="D29" t="s">
        <v>20</v>
      </c>
      <c r="E29" t="s">
        <v>20</v>
      </c>
    </row>
    <row r="30" spans="1:5">
      <c r="A30" t="s">
        <v>34</v>
      </c>
      <c r="B30">
        <f>VALUE(5072164)</f>
        <v>5072164</v>
      </c>
      <c r="C30">
        <f>VALUE(9368354)</f>
        <v>9368354</v>
      </c>
      <c r="D30">
        <f>VALUE(5476435)</f>
        <v>5476435</v>
      </c>
      <c r="E30">
        <f>VALUE(2082324)</f>
        <v>2082324</v>
      </c>
    </row>
    <row r="31" spans="1:5">
      <c r="A31" t="s">
        <v>35</v>
      </c>
      <c r="B31">
        <f>VALUE(18256675)</f>
        <v>18256675</v>
      </c>
      <c r="C31">
        <f>VALUE(13276833)</f>
        <v>13276833</v>
      </c>
      <c r="D31">
        <f>VALUE(8313365)</f>
        <v>8313365</v>
      </c>
      <c r="E31">
        <f>VALUE(4330264)</f>
        <v>4330264</v>
      </c>
    </row>
    <row r="32" spans="1:5">
      <c r="A32" t="s">
        <v>36</v>
      </c>
      <c r="B32"/>
      <c r="C32"/>
      <c r="D32"/>
      <c r="E32"/>
    </row>
    <row r="33" spans="1:5">
      <c r="A33" t="s">
        <v>37</v>
      </c>
      <c r="B33">
        <f>VALUE(444674)</f>
        <v>444674</v>
      </c>
      <c r="C33">
        <f>VALUE(444674)</f>
        <v>444674</v>
      </c>
      <c r="D33">
        <f>VALUE(444674)</f>
        <v>444674</v>
      </c>
      <c r="E33">
        <f>VALUE(444674)</f>
        <v>444674</v>
      </c>
    </row>
    <row r="34" spans="1:5">
      <c r="A34" t="s">
        <v>38</v>
      </c>
      <c r="B34">
        <f>VALUE(4163511)</f>
        <v>4163511</v>
      </c>
      <c r="C34">
        <f>VALUE(3984877)</f>
        <v>3984877</v>
      </c>
      <c r="D34">
        <f>VALUE(3643536)</f>
        <v>3643536</v>
      </c>
      <c r="E34">
        <f>VALUE(2049903)</f>
        <v>2049903</v>
      </c>
    </row>
    <row r="35" spans="1:5">
      <c r="A35" t="s">
        <v>39</v>
      </c>
      <c r="B35">
        <f>VALUE(27324669)</f>
        <v>27324669</v>
      </c>
      <c r="C35">
        <f>VALUE(17018971)</f>
        <v>17018971</v>
      </c>
      <c r="D35">
        <f>VALUE(11070128)</f>
        <v>11070128</v>
      </c>
      <c r="E35">
        <f>VALUE(2858494)</f>
        <v>2858494</v>
      </c>
    </row>
    <row r="36" spans="1:5">
      <c r="A36" t="s">
        <v>40</v>
      </c>
      <c r="B36">
        <f>VALUE(45581344)</f>
        <v>45581344</v>
      </c>
      <c r="C36">
        <f>VALUE(30295804)</f>
        <v>30295804</v>
      </c>
      <c r="D36">
        <f>VALUE(19869465)</f>
        <v>19869465</v>
      </c>
      <c r="E36">
        <f>VALUE(7334561)</f>
        <v>7334561</v>
      </c>
    </row>
    <row r="38" spans="1:5">
      <c r="A38" t="s">
        <v>41</v>
      </c>
    </row>
    <row r="39" spans="1:5">
      <c r="A39" t="s">
        <v>1</v>
      </c>
      <c r="B39" t="s">
        <v>42</v>
      </c>
      <c r="C39" t="s">
        <v>43</v>
      </c>
      <c r="D39" t="s">
        <v>44</v>
      </c>
      <c r="E39" t="s">
        <v>45</v>
      </c>
    </row>
    <row r="40" spans="1:5">
      <c r="A40" t="s">
        <v>6</v>
      </c>
      <c r="B40"/>
      <c r="C40"/>
      <c r="D40"/>
      <c r="E40"/>
    </row>
    <row r="41" spans="1:5">
      <c r="A41" t="s">
        <v>7</v>
      </c>
      <c r="B41"/>
      <c r="C41"/>
      <c r="D41"/>
      <c r="E41"/>
    </row>
    <row r="42" spans="1:5">
      <c r="A42" t="s">
        <v>8</v>
      </c>
      <c r="B42"/>
      <c r="C42"/>
      <c r="D42"/>
      <c r="E42"/>
    </row>
    <row r="43" spans="1:5">
      <c r="A43" t="s">
        <v>9</v>
      </c>
      <c r="B43">
        <f>VALUE(11809000)</f>
        <v>11809000</v>
      </c>
      <c r="C43">
        <f>VALUE(11750000)</f>
        <v>11750000</v>
      </c>
      <c r="D43">
        <f>VALUE(8934000)</f>
        <v>8934000</v>
      </c>
      <c r="E43">
        <f>VALUE(11708000)</f>
        <v>11708000</v>
      </c>
    </row>
    <row r="44" spans="1:5">
      <c r="A44" t="s">
        <v>10</v>
      </c>
      <c r="B44">
        <f>VALUE(17610000)</f>
        <v>17610000</v>
      </c>
      <c r="C44">
        <f>VALUE(21663000)</f>
        <v>21663000</v>
      </c>
      <c r="D44">
        <f>VALUE(37614000)</f>
        <v>37614000</v>
      </c>
      <c r="E44">
        <f>VALUE(58784000)</f>
        <v>58784000</v>
      </c>
    </row>
    <row r="45" spans="1:5">
      <c r="A45" t="s">
        <v>11</v>
      </c>
      <c r="B45">
        <f>VALUE(29419000)</f>
        <v>29419000</v>
      </c>
      <c r="C45">
        <f>VALUE(33413000)</f>
        <v>33413000</v>
      </c>
      <c r="D45">
        <f>VALUE(46548000)</f>
        <v>46548000</v>
      </c>
      <c r="E45">
        <f>VALUE(70492000)</f>
        <v>70492000</v>
      </c>
    </row>
    <row r="46" spans="1:5">
      <c r="A46" t="s">
        <v>12</v>
      </c>
      <c r="B46">
        <f>VALUE(5472000)</f>
        <v>5472000</v>
      </c>
      <c r="C46">
        <f>VALUE(5491000)</f>
        <v>5491000</v>
      </c>
      <c r="D46">
        <f>VALUE(5554000)</f>
        <v>5554000</v>
      </c>
      <c r="E46">
        <f>VALUE(5146000)</f>
        <v>5146000</v>
      </c>
    </row>
    <row r="47" spans="1:5">
      <c r="A47" t="s">
        <v>46</v>
      </c>
      <c r="B47">
        <f>VALUE(1282000)</f>
        <v>1282000</v>
      </c>
      <c r="C47">
        <f>VALUE(1383000)</f>
        <v>1383000</v>
      </c>
      <c r="D47">
        <f>VALUE(1846000)</f>
        <v>1846000</v>
      </c>
      <c r="E47">
        <f>VALUE(1616000)</f>
        <v>1616000</v>
      </c>
    </row>
    <row r="48" spans="1:5">
      <c r="A48" t="s">
        <v>47</v>
      </c>
      <c r="B48">
        <f>VALUE(2349000)</f>
        <v>2349000</v>
      </c>
      <c r="C48">
        <f>VALUE(2373000)</f>
        <v>2373000</v>
      </c>
      <c r="D48">
        <f>VALUE(2940000)</f>
        <v>2940000</v>
      </c>
      <c r="E48">
        <f>VALUE(1593000)</f>
        <v>1593000</v>
      </c>
    </row>
    <row r="49" spans="1:5">
      <c r="A49" t="s">
        <v>13</v>
      </c>
      <c r="B49">
        <f>VALUE(43573000)</f>
        <v>43573000</v>
      </c>
      <c r="C49">
        <f>VALUE(47755000)</f>
        <v>47755000</v>
      </c>
      <c r="D49">
        <f>VALUE(61837000)</f>
        <v>61837000</v>
      </c>
      <c r="E49">
        <f>VALUE(83703000)</f>
        <v>83703000</v>
      </c>
    </row>
    <row r="50" spans="1:5">
      <c r="A50" t="s">
        <v>14</v>
      </c>
      <c r="B50"/>
      <c r="C50"/>
      <c r="D50"/>
      <c r="E50"/>
    </row>
    <row r="51" spans="1:5">
      <c r="A51" t="s">
        <v>15</v>
      </c>
      <c r="B51"/>
      <c r="C51"/>
      <c r="D51"/>
      <c r="E51"/>
    </row>
    <row r="52" spans="1:5">
      <c r="A52" t="s">
        <v>16</v>
      </c>
      <c r="B52">
        <f>VALUE(11014000)</f>
        <v>11014000</v>
      </c>
      <c r="C52">
        <f>VALUE(12039000)</f>
        <v>12039000</v>
      </c>
      <c r="D52">
        <f>VALUE(12243000)</f>
        <v>12243000</v>
      </c>
      <c r="E52">
        <f>VALUE(12819000)</f>
        <v>12819000</v>
      </c>
    </row>
    <row r="53" spans="1:5">
      <c r="A53" t="s">
        <v>17</v>
      </c>
      <c r="B53">
        <f>VALUE(-8561000)</f>
        <v>-8561000</v>
      </c>
      <c r="C53">
        <f>VALUE(-9250000)</f>
        <v>-9250000</v>
      </c>
      <c r="D53">
        <f>VALUE(-9237000)</f>
        <v>-9237000</v>
      </c>
      <c r="E53">
        <f>VALUE(-9497000)</f>
        <v>-9497000</v>
      </c>
    </row>
    <row r="54" spans="1:5">
      <c r="A54" t="s">
        <v>18</v>
      </c>
      <c r="B54">
        <f>VALUE(2453000)</f>
        <v>2453000</v>
      </c>
      <c r="C54">
        <f>VALUE(2789000)</f>
        <v>2789000</v>
      </c>
      <c r="D54">
        <f>VALUE(3006000)</f>
        <v>3006000</v>
      </c>
      <c r="E54">
        <f>VALUE(3322000)</f>
        <v>3322000</v>
      </c>
    </row>
    <row r="55" spans="1:5">
      <c r="A55" t="s">
        <v>48</v>
      </c>
      <c r="B55">
        <f>VALUE(33806000)</f>
        <v>33806000</v>
      </c>
      <c r="C55">
        <f>VALUE(33529000)</f>
        <v>33529000</v>
      </c>
      <c r="D55">
        <f>VALUE(31706000)</f>
        <v>31706000</v>
      </c>
      <c r="E55">
        <f>VALUE(29766000)</f>
        <v>29766000</v>
      </c>
    </row>
    <row r="56" spans="1:5">
      <c r="A56" t="s">
        <v>49</v>
      </c>
      <c r="B56">
        <f>VALUE(1576000)</f>
        <v>1576000</v>
      </c>
      <c r="C56">
        <f>VALUE(2201000)</f>
        <v>2201000</v>
      </c>
      <c r="D56">
        <f>VALUE(2552000)</f>
        <v>2552000</v>
      </c>
      <c r="E56">
        <f>VALUE(2539000)</f>
        <v>2539000</v>
      </c>
    </row>
    <row r="57" spans="1:5">
      <c r="A57" t="s">
        <v>19</v>
      </c>
      <c r="B57">
        <f>VALUE(3741000)</f>
        <v>3741000</v>
      </c>
      <c r="C57">
        <f>VALUE(2496000)</f>
        <v>2496000</v>
      </c>
      <c r="D57">
        <f>VALUE(1582000)</f>
        <v>1582000</v>
      </c>
      <c r="E57">
        <f>VALUE(1511000)</f>
        <v>1511000</v>
      </c>
    </row>
    <row r="58" spans="1:5">
      <c r="A58" t="s">
        <v>21</v>
      </c>
      <c r="B58">
        <f>VALUE(51280000)</f>
        <v>51280000</v>
      </c>
      <c r="C58">
        <f>VALUE(50038000)</f>
        <v>50038000</v>
      </c>
      <c r="D58">
        <f>VALUE(46947000)</f>
        <v>46947000</v>
      </c>
      <c r="E58">
        <f>VALUE(46115000)</f>
        <v>46115000</v>
      </c>
    </row>
    <row r="59" spans="1:5">
      <c r="A59" t="s">
        <v>22</v>
      </c>
      <c r="B59">
        <f>VALUE(94853000)</f>
        <v>94853000</v>
      </c>
      <c r="C59">
        <f>VALUE(97793000)</f>
        <v>97793000</v>
      </c>
      <c r="D59">
        <f>VALUE(108784000)</f>
        <v>108784000</v>
      </c>
      <c r="E59">
        <f>VALUE(129818000)</f>
        <v>129818000</v>
      </c>
    </row>
    <row r="60" spans="1:5">
      <c r="A60" t="s">
        <v>23</v>
      </c>
      <c r="B60"/>
      <c r="C60"/>
      <c r="D60"/>
      <c r="E60"/>
    </row>
    <row r="61" spans="1:5">
      <c r="A61" t="s">
        <v>24</v>
      </c>
      <c r="B61"/>
      <c r="C61"/>
      <c r="D61"/>
      <c r="E61"/>
    </row>
    <row r="62" spans="1:5">
      <c r="A62" t="s">
        <v>25</v>
      </c>
      <c r="B62"/>
      <c r="C62"/>
      <c r="D62"/>
      <c r="E62"/>
    </row>
    <row r="63" spans="1:5">
      <c r="A63" t="s">
        <v>26</v>
      </c>
      <c r="B63">
        <f>VALUE(3005000)</f>
        <v>3005000</v>
      </c>
      <c r="C63">
        <f>VALUE(10191000)</f>
        <v>10191000</v>
      </c>
      <c r="D63">
        <f>VALUE(5238000)</f>
        <v>5238000</v>
      </c>
      <c r="E63">
        <f>VALUE(7992000)</f>
        <v>7992000</v>
      </c>
    </row>
    <row r="64" spans="1:5">
      <c r="A64" t="s">
        <v>27</v>
      </c>
      <c r="B64">
        <f>VALUE(2218000)</f>
        <v>2218000</v>
      </c>
      <c r="C64">
        <f>VALUE(2059000)</f>
        <v>2059000</v>
      </c>
      <c r="D64">
        <f>VALUE(1904000)</f>
        <v>1904000</v>
      </c>
      <c r="E64">
        <f>VALUE(1385000)</f>
        <v>1385000</v>
      </c>
    </row>
    <row r="65" spans="1:5">
      <c r="A65" t="s">
        <v>50</v>
      </c>
      <c r="B65">
        <f>VALUE(839000)</f>
        <v>839000</v>
      </c>
      <c r="C65">
        <f>VALUE(1149000)</f>
        <v>1149000</v>
      </c>
      <c r="D65">
        <f>VALUE(1004000)</f>
        <v>1004000</v>
      </c>
      <c r="E65">
        <f>VALUE(98000)</f>
        <v>98000</v>
      </c>
    </row>
    <row r="66" spans="1:5">
      <c r="A66" t="s">
        <v>33</v>
      </c>
      <c r="B66">
        <f>VALUE(11406000)</f>
        <v>11406000</v>
      </c>
      <c r="C66">
        <f>VALUE(10668000)</f>
        <v>10668000</v>
      </c>
      <c r="D66">
        <f>VALUE(11490000)</f>
        <v>11490000</v>
      </c>
      <c r="E66">
        <f>VALUE(10821000)</f>
        <v>10821000</v>
      </c>
    </row>
    <row r="67" spans="1:5">
      <c r="A67" t="s">
        <v>28</v>
      </c>
      <c r="B67">
        <f>VALUE(4741000)</f>
        <v>4741000</v>
      </c>
      <c r="C67">
        <f>VALUE(4424000)</f>
        <v>4424000</v>
      </c>
      <c r="D67">
        <f>VALUE(4413000)</f>
        <v>4413000</v>
      </c>
      <c r="E67">
        <f>VALUE(4392000)</f>
        <v>4392000</v>
      </c>
    </row>
    <row r="68" spans="1:5">
      <c r="A68" t="s">
        <v>29</v>
      </c>
      <c r="B68">
        <f>VALUE(25331000)</f>
        <v>25331000</v>
      </c>
      <c r="C68">
        <f>VALUE(31712000)</f>
        <v>31712000</v>
      </c>
      <c r="D68">
        <f>VALUE(27035000)</f>
        <v>27035000</v>
      </c>
      <c r="E68">
        <f>VALUE(27583000)</f>
        <v>27583000</v>
      </c>
    </row>
    <row r="69" spans="1:5">
      <c r="A69" t="s">
        <v>30</v>
      </c>
      <c r="B69"/>
      <c r="C69"/>
      <c r="D69"/>
      <c r="E69"/>
    </row>
    <row r="70" spans="1:5">
      <c r="A70" t="s">
        <v>31</v>
      </c>
      <c r="B70">
        <f>VALUE(11578000)</f>
        <v>11578000</v>
      </c>
      <c r="C70">
        <f>VALUE(14475000)</f>
        <v>14475000</v>
      </c>
      <c r="D70">
        <f>VALUE(20331000)</f>
        <v>20331000</v>
      </c>
      <c r="E70">
        <f>VALUE(25725000)</f>
        <v>25725000</v>
      </c>
    </row>
    <row r="71" spans="1:5">
      <c r="A71" t="s">
        <v>33</v>
      </c>
      <c r="B71">
        <f>VALUE(9040000)</f>
        <v>9040000</v>
      </c>
      <c r="C71">
        <f>VALUE(7799000)</f>
        <v>7799000</v>
      </c>
      <c r="D71">
        <f>VALUE(8195000)</f>
        <v>8195000</v>
      </c>
      <c r="E71">
        <f>VALUE(7673000)</f>
        <v>7673000</v>
      </c>
    </row>
    <row r="72" spans="1:5">
      <c r="A72" t="s">
        <v>51</v>
      </c>
      <c r="B72">
        <f>VALUE(2147000)</f>
        <v>2147000</v>
      </c>
      <c r="C72">
        <f>VALUE(1309000)</f>
        <v>1309000</v>
      </c>
      <c r="D72">
        <f>VALUE(1434000)</f>
        <v>1434000</v>
      </c>
      <c r="E72">
        <f>VALUE(1450000)</f>
        <v>1450000</v>
      </c>
    </row>
    <row r="73" spans="1:5">
      <c r="A73" t="s">
        <v>34</v>
      </c>
      <c r="B73">
        <f>VALUE(31602000)</f>
        <v>31602000</v>
      </c>
      <c r="C73">
        <f>VALUE(32510000)</f>
        <v>32510000</v>
      </c>
      <c r="D73">
        <f>VALUE(38545000)</f>
        <v>38545000</v>
      </c>
      <c r="E73">
        <f>VALUE(36098000)</f>
        <v>36098000</v>
      </c>
    </row>
    <row r="74" spans="1:5">
      <c r="A74" t="s">
        <v>35</v>
      </c>
      <c r="B74">
        <f>VALUE(56933000)</f>
        <v>56933000</v>
      </c>
      <c r="C74">
        <f>VALUE(64222000)</f>
        <v>64222000</v>
      </c>
      <c r="D74">
        <f>VALUE(65580000)</f>
        <v>65580000</v>
      </c>
      <c r="E74">
        <f>VALUE(63681000)</f>
        <v>63681000</v>
      </c>
    </row>
    <row r="75" spans="1:5">
      <c r="A75" t="s">
        <v>36</v>
      </c>
      <c r="B75"/>
      <c r="C75"/>
      <c r="D75"/>
      <c r="E75"/>
    </row>
    <row r="76" spans="1:5">
      <c r="A76" t="s">
        <v>37</v>
      </c>
      <c r="B76">
        <f>VALUE(41202000)</f>
        <v>41202000</v>
      </c>
      <c r="C76">
        <f>VALUE(40266000)</f>
        <v>40266000</v>
      </c>
      <c r="D76">
        <f>VALUE(42820000)</f>
        <v>42820000</v>
      </c>
      <c r="E76">
        <f>VALUE(45253000)</f>
        <v>45253000</v>
      </c>
    </row>
    <row r="77" spans="1:5">
      <c r="A77" t="s">
        <v>38</v>
      </c>
      <c r="B77">
        <f>VALUE(-2763000)</f>
        <v>-2763000</v>
      </c>
      <c r="C77">
        <f>VALUE(-5903000)</f>
        <v>-5903000</v>
      </c>
      <c r="D77">
        <f>VALUE(1233000)</f>
        <v>1233000</v>
      </c>
      <c r="E77">
        <f>VALUE(20838000)</f>
        <v>20838000</v>
      </c>
    </row>
    <row r="78" spans="1:5">
      <c r="A78" t="s">
        <v>52</v>
      </c>
      <c r="B78">
        <f>VALUE(-519000)</f>
        <v>-519000</v>
      </c>
      <c r="C78">
        <f>VALUE(-792000)</f>
        <v>-792000</v>
      </c>
      <c r="D78">
        <f>VALUE(-849000)</f>
        <v>-849000</v>
      </c>
      <c r="E78">
        <f>VALUE(46000)</f>
        <v>46000</v>
      </c>
    </row>
    <row r="79" spans="1:5">
      <c r="A79" t="s">
        <v>39</v>
      </c>
      <c r="B79">
        <f>VALUE(37920000)</f>
        <v>37920000</v>
      </c>
      <c r="C79">
        <f>VALUE(33571000)</f>
        <v>33571000</v>
      </c>
      <c r="D79">
        <f>VALUE(43204000)</f>
        <v>43204000</v>
      </c>
      <c r="E79">
        <f>VALUE(66137000)</f>
        <v>66137000</v>
      </c>
    </row>
    <row r="80" spans="1:5">
      <c r="A80" t="s">
        <v>40</v>
      </c>
      <c r="B80">
        <f>VALUE(94853000)</f>
        <v>94853000</v>
      </c>
      <c r="C80">
        <f>VALUE(97793000)</f>
        <v>97793000</v>
      </c>
      <c r="D80">
        <f>VALUE(108784000)</f>
        <v>108784000</v>
      </c>
      <c r="E80">
        <f>VALUE(129818000)</f>
        <v>129818000</v>
      </c>
    </row>
    <row r="82" spans="1:5">
      <c r="A82" t="s">
        <v>53</v>
      </c>
    </row>
    <row r="83" spans="1:5">
      <c r="A83" t="s">
        <v>1</v>
      </c>
      <c r="B83" t="s">
        <v>2</v>
      </c>
      <c r="C83" t="s">
        <v>3</v>
      </c>
      <c r="D83" t="s">
        <v>4</v>
      </c>
      <c r="E83" t="s">
        <v>5</v>
      </c>
    </row>
    <row r="84" spans="1:5">
      <c r="A84" t="s">
        <v>6</v>
      </c>
      <c r="B84"/>
      <c r="C84"/>
      <c r="D84"/>
      <c r="E84"/>
    </row>
    <row r="85" spans="1:5">
      <c r="A85" t="s">
        <v>7</v>
      </c>
      <c r="B85"/>
      <c r="C85"/>
      <c r="D85"/>
      <c r="E85"/>
    </row>
    <row r="86" spans="1:5">
      <c r="A86" t="s">
        <v>8</v>
      </c>
      <c r="B86"/>
      <c r="C86"/>
      <c r="D86"/>
      <c r="E86"/>
    </row>
    <row r="87" spans="1:5">
      <c r="A87" t="s">
        <v>9</v>
      </c>
      <c r="B87">
        <f>VALUE(1103429)</f>
        <v>1103429</v>
      </c>
      <c r="C87">
        <f>VALUE(901089)</f>
        <v>901089</v>
      </c>
      <c r="D87">
        <f>VALUE(2053075)</f>
        <v>2053075</v>
      </c>
      <c r="E87">
        <f>VALUE(23218)</f>
        <v>23218</v>
      </c>
    </row>
    <row r="88" spans="1:5">
      <c r="A88" t="s">
        <v>10</v>
      </c>
      <c r="B88">
        <f>VALUE(874892)</f>
        <v>874892</v>
      </c>
      <c r="C88">
        <f>VALUE(158414)</f>
        <v>158414</v>
      </c>
      <c r="D88">
        <f>VALUE(45417)</f>
        <v>45417</v>
      </c>
      <c r="E88">
        <f>VALUE(3191)</f>
        <v>3191</v>
      </c>
    </row>
    <row r="89" spans="1:5">
      <c r="A89" t="s">
        <v>11</v>
      </c>
      <c r="B89">
        <f>VALUE(1978321)</f>
        <v>1978321</v>
      </c>
      <c r="C89">
        <f>VALUE(1059503)</f>
        <v>1059503</v>
      </c>
      <c r="D89">
        <f>VALUE(2098492)</f>
        <v>2098492</v>
      </c>
      <c r="E89">
        <f>VALUE(26409)</f>
        <v>26409</v>
      </c>
    </row>
    <row r="90" spans="1:5">
      <c r="A90" t="s">
        <v>12</v>
      </c>
      <c r="B90">
        <f>VALUE(1588812)</f>
        <v>1588812</v>
      </c>
      <c r="C90">
        <f>VALUE(1717027)</f>
        <v>1717027</v>
      </c>
      <c r="D90">
        <f>VALUE(988999)</f>
        <v>988999</v>
      </c>
      <c r="E90">
        <f>VALUE(351810)</f>
        <v>351810</v>
      </c>
    </row>
    <row r="91" spans="1:5">
      <c r="A91" t="s">
        <v>46</v>
      </c>
      <c r="B91">
        <f>VALUE(1291450)</f>
        <v>1291450</v>
      </c>
      <c r="C91">
        <f>VALUE(1260567)</f>
        <v>1260567</v>
      </c>
      <c r="D91">
        <f>VALUE(862923)</f>
        <v>862923</v>
      </c>
      <c r="E91">
        <f>VALUE(419917)</f>
        <v>419917</v>
      </c>
    </row>
    <row r="92" spans="1:5">
      <c r="A92" t="s">
        <v>47</v>
      </c>
      <c r="B92">
        <f>VALUE(550483)</f>
        <v>550483</v>
      </c>
      <c r="C92">
        <f>VALUE(4000)</f>
        <v>4000</v>
      </c>
      <c r="D92">
        <f>VALUE(776630)</f>
        <v>776630</v>
      </c>
      <c r="E92" t="s">
        <v>20</v>
      </c>
    </row>
    <row r="93" spans="1:5">
      <c r="A93" t="s">
        <v>13</v>
      </c>
      <c r="B93">
        <f>VALUE(7306580)</f>
        <v>7306580</v>
      </c>
      <c r="C93">
        <f>VALUE(6389751)</f>
        <v>6389751</v>
      </c>
      <c r="D93">
        <f>VALUE(4214334)</f>
        <v>4214334</v>
      </c>
      <c r="E93">
        <f>VALUE(2503082)</f>
        <v>2503082</v>
      </c>
    </row>
    <row r="94" spans="1:5">
      <c r="A94" t="s">
        <v>14</v>
      </c>
      <c r="B94"/>
      <c r="C94"/>
      <c r="D94"/>
      <c r="E94"/>
    </row>
    <row r="95" spans="1:5">
      <c r="A95" t="s">
        <v>15</v>
      </c>
      <c r="B95"/>
      <c r="C95"/>
      <c r="D95"/>
      <c r="E95"/>
    </row>
    <row r="96" spans="1:5">
      <c r="A96" t="s">
        <v>16</v>
      </c>
      <c r="B96">
        <f>VALUE(22498724)</f>
        <v>22498724</v>
      </c>
      <c r="C96">
        <f>VALUE(22944905)</f>
        <v>22944905</v>
      </c>
      <c r="D96">
        <f>VALUE(13753958)</f>
        <v>13753958</v>
      </c>
      <c r="E96">
        <f>VALUE(2140467)</f>
        <v>2140467</v>
      </c>
    </row>
    <row r="97" spans="1:5">
      <c r="A97" t="s">
        <v>17</v>
      </c>
      <c r="B97">
        <f>VALUE(-3401121)</f>
        <v>-3401121</v>
      </c>
      <c r="C97">
        <f>VALUE(-7874716)</f>
        <v>-7874716</v>
      </c>
      <c r="D97">
        <f>VALUE(-5523477)</f>
        <v>-5523477</v>
      </c>
      <c r="E97">
        <f>VALUE(-580653)</f>
        <v>-580653</v>
      </c>
    </row>
    <row r="98" spans="1:5">
      <c r="A98" t="s">
        <v>18</v>
      </c>
      <c r="B98">
        <f>VALUE(19097603)</f>
        <v>19097603</v>
      </c>
      <c r="C98">
        <f>VALUE(15070189)</f>
        <v>15070189</v>
      </c>
      <c r="D98">
        <f>VALUE(8230481)</f>
        <v>8230481</v>
      </c>
      <c r="E98">
        <f>VALUE(1559814)</f>
        <v>1559814</v>
      </c>
    </row>
    <row r="99" spans="1:5">
      <c r="A99" t="s">
        <v>48</v>
      </c>
      <c r="B99">
        <f>VALUE(994980)</f>
        <v>994980</v>
      </c>
      <c r="C99">
        <f>VALUE(772475)</f>
        <v>772475</v>
      </c>
      <c r="D99" t="s">
        <v>20</v>
      </c>
      <c r="E99" t="s">
        <v>20</v>
      </c>
    </row>
    <row r="100" spans="1:5">
      <c r="A100" t="s">
        <v>49</v>
      </c>
      <c r="B100">
        <f>VALUE(548123)</f>
        <v>548123</v>
      </c>
      <c r="C100">
        <f>VALUE(454087)</f>
        <v>454087</v>
      </c>
      <c r="D100" t="s">
        <v>20</v>
      </c>
      <c r="E100" t="s">
        <v>20</v>
      </c>
    </row>
    <row r="101" spans="1:5">
      <c r="A101" t="s">
        <v>19</v>
      </c>
      <c r="B101">
        <f>VALUE(463478)</f>
        <v>463478</v>
      </c>
      <c r="C101">
        <f>VALUE(295794)</f>
        <v>295794</v>
      </c>
      <c r="D101">
        <f>VALUE(148395)</f>
        <v>148395</v>
      </c>
      <c r="E101">
        <f>VALUE(5480)</f>
        <v>5480</v>
      </c>
    </row>
    <row r="102" spans="1:5">
      <c r="A102" t="s">
        <v>21</v>
      </c>
      <c r="B102">
        <f>VALUE(30017901)</f>
        <v>30017901</v>
      </c>
      <c r="C102">
        <f>VALUE(23663022)</f>
        <v>23663022</v>
      </c>
      <c r="D102">
        <f>VALUE(13695229)</f>
        <v>13695229</v>
      </c>
      <c r="E102">
        <f>VALUE(2351693)</f>
        <v>2351693</v>
      </c>
    </row>
    <row r="103" spans="1:5">
      <c r="A103" t="s">
        <v>22</v>
      </c>
      <c r="B103">
        <f>VALUE(37324481)</f>
        <v>37324481</v>
      </c>
      <c r="C103">
        <f>VALUE(30052773)</f>
        <v>30052773</v>
      </c>
      <c r="D103">
        <f>VALUE(17909563)</f>
        <v>17909563</v>
      </c>
      <c r="E103">
        <f>VALUE(4854775)</f>
        <v>4854775</v>
      </c>
    </row>
    <row r="104" spans="1:5">
      <c r="A104" t="s">
        <v>23</v>
      </c>
      <c r="B104"/>
      <c r="C104"/>
      <c r="D104"/>
      <c r="E104"/>
    </row>
    <row r="105" spans="1:5">
      <c r="A105" t="s">
        <v>24</v>
      </c>
      <c r="B105"/>
      <c r="C105"/>
      <c r="D105"/>
      <c r="E105"/>
    </row>
    <row r="106" spans="1:5">
      <c r="A106" t="s">
        <v>25</v>
      </c>
      <c r="B106"/>
      <c r="C106"/>
      <c r="D106"/>
      <c r="E106"/>
    </row>
    <row r="107" spans="1:5">
      <c r="A107" t="s">
        <v>26</v>
      </c>
      <c r="B107">
        <f>VALUE(767648)</f>
        <v>767648</v>
      </c>
      <c r="C107">
        <f>VALUE(1513901)</f>
        <v>1513901</v>
      </c>
      <c r="D107">
        <f>VALUE(172941)</f>
        <v>172941</v>
      </c>
      <c r="E107">
        <f>VALUE(156469)</f>
        <v>156469</v>
      </c>
    </row>
    <row r="108" spans="1:5">
      <c r="A108" t="s">
        <v>27</v>
      </c>
      <c r="B108">
        <f>VALUE(2131151)</f>
        <v>2131151</v>
      </c>
      <c r="C108">
        <f>VALUE(1864439)</f>
        <v>1864439</v>
      </c>
      <c r="D108">
        <f>VALUE(1179782)</f>
        <v>1179782</v>
      </c>
      <c r="E108">
        <f>VALUE(309248)</f>
        <v>309248</v>
      </c>
    </row>
    <row r="109" spans="1:5">
      <c r="A109" t="s">
        <v>28</v>
      </c>
      <c r="B109">
        <f>VALUE(374)</f>
        <v>374</v>
      </c>
      <c r="C109">
        <f>VALUE(68704)</f>
        <v>68704</v>
      </c>
      <c r="D109">
        <f>VALUE(316931)</f>
        <v>316931</v>
      </c>
      <c r="E109" t="s">
        <v>20</v>
      </c>
    </row>
    <row r="110" spans="1:5">
      <c r="A110" t="s">
        <v>29</v>
      </c>
      <c r="B110">
        <f>VALUE(5993203)</f>
        <v>5993203</v>
      </c>
      <c r="C110">
        <f>VALUE(5255563)</f>
        <v>5255563</v>
      </c>
      <c r="D110">
        <f>VALUE(3655976)</f>
        <v>3655976</v>
      </c>
      <c r="E110">
        <f>VALUE(2545164)</f>
        <v>2545164</v>
      </c>
    </row>
    <row r="111" spans="1:5">
      <c r="A111" t="s">
        <v>30</v>
      </c>
      <c r="B111"/>
      <c r="C111"/>
      <c r="D111"/>
      <c r="E111"/>
    </row>
    <row r="112" spans="1:5">
      <c r="A112" t="s">
        <v>31</v>
      </c>
      <c r="B112">
        <f>VALUE(349088)</f>
        <v>349088</v>
      </c>
      <c r="C112">
        <f>VALUE(589821)</f>
        <v>589821</v>
      </c>
      <c r="D112">
        <f>VALUE(529625)</f>
        <v>529625</v>
      </c>
      <c r="E112">
        <f>VALUE(472611)</f>
        <v>472611</v>
      </c>
    </row>
    <row r="113" spans="1:5">
      <c r="A113" t="s">
        <v>32</v>
      </c>
      <c r="B113">
        <f>VALUE(4035835)</f>
        <v>4035835</v>
      </c>
      <c r="C113">
        <f>VALUE(3086661)</f>
        <v>3086661</v>
      </c>
      <c r="D113">
        <f>VALUE(1539103)</f>
        <v>1539103</v>
      </c>
      <c r="E113">
        <f>VALUE(48199)</f>
        <v>48199</v>
      </c>
    </row>
    <row r="114" spans="1:5">
      <c r="A114" t="s">
        <v>33</v>
      </c>
      <c r="B114" t="s">
        <v>20</v>
      </c>
      <c r="C114" t="s">
        <v>20</v>
      </c>
      <c r="D114">
        <f>VALUE(217086)</f>
        <v>217086</v>
      </c>
      <c r="E114">
        <f>VALUE(0)</f>
        <v>0</v>
      </c>
    </row>
    <row r="115" spans="1:5">
      <c r="A115" t="s">
        <v>51</v>
      </c>
      <c r="B115" t="s">
        <v>20</v>
      </c>
      <c r="C115">
        <f>VALUE(389151)</f>
        <v>389151</v>
      </c>
      <c r="D115">
        <f>VALUE(5595)</f>
        <v>5595</v>
      </c>
      <c r="E115" t="s">
        <v>20</v>
      </c>
    </row>
    <row r="116" spans="1:5">
      <c r="A116" t="s">
        <v>34</v>
      </c>
      <c r="B116">
        <f>VALUE(5416406)</f>
        <v>5416406</v>
      </c>
      <c r="C116">
        <f>VALUE(5746074)</f>
        <v>5746074</v>
      </c>
      <c r="D116">
        <f>VALUE(3120812)</f>
        <v>3120812</v>
      </c>
      <c r="E116">
        <f>VALUE(677571)</f>
        <v>677571</v>
      </c>
    </row>
    <row r="117" spans="1:5">
      <c r="A117" t="s">
        <v>35</v>
      </c>
      <c r="B117">
        <f>VALUE(11409609)</f>
        <v>11409609</v>
      </c>
      <c r="C117">
        <f>VALUE(11001637)</f>
        <v>11001637</v>
      </c>
      <c r="D117">
        <f>VALUE(6776788)</f>
        <v>6776788</v>
      </c>
      <c r="E117">
        <f>VALUE(3222735)</f>
        <v>3222735</v>
      </c>
    </row>
    <row r="118" spans="1:5">
      <c r="A118" t="s">
        <v>36</v>
      </c>
      <c r="B118"/>
      <c r="C118"/>
      <c r="D118"/>
      <c r="E118"/>
    </row>
    <row r="119" spans="1:5">
      <c r="A119" t="s">
        <v>37</v>
      </c>
      <c r="B119">
        <f>VALUE(19333201)</f>
        <v>19333201</v>
      </c>
      <c r="C119">
        <f>VALUE(13660442)</f>
        <v>13660442</v>
      </c>
      <c r="D119">
        <f>VALUE(7952299)</f>
        <v>7952299</v>
      </c>
      <c r="E119">
        <f>VALUE(1583101)</f>
        <v>1583101</v>
      </c>
    </row>
    <row r="120" spans="1:5">
      <c r="A120" t="s">
        <v>38</v>
      </c>
      <c r="B120">
        <f>VALUE(1119330)</f>
        <v>1119330</v>
      </c>
      <c r="C120">
        <f>VALUE(1253859)</f>
        <v>1253859</v>
      </c>
      <c r="D120">
        <f>VALUE(1428016)</f>
        <v>1428016</v>
      </c>
      <c r="E120">
        <f>VALUE(-163892)</f>
        <v>-163892</v>
      </c>
    </row>
    <row r="121" spans="1:5">
      <c r="A121" t="s">
        <v>39</v>
      </c>
      <c r="B121">
        <f>VALUE(24360830)</f>
        <v>24360830</v>
      </c>
      <c r="C121">
        <f>VALUE(17860704)</f>
        <v>17860704</v>
      </c>
      <c r="D121">
        <f>VALUE(11131613)</f>
        <v>11131613</v>
      </c>
      <c r="E121">
        <f>VALUE(1631504)</f>
        <v>1631504</v>
      </c>
    </row>
    <row r="122" spans="1:5">
      <c r="A122" t="s">
        <v>40</v>
      </c>
      <c r="B122">
        <f>VALUE(37324481)</f>
        <v>37324481</v>
      </c>
      <c r="C122">
        <f>VALUE(30052773)</f>
        <v>30052773</v>
      </c>
      <c r="D122">
        <f>VALUE(17909563)</f>
        <v>17909563</v>
      </c>
      <c r="E122">
        <f>VALUE(4854775)</f>
        <v>4854775</v>
      </c>
    </row>
    <row r="124" spans="1:5">
      <c r="A124" t="s">
        <v>54</v>
      </c>
    </row>
    <row r="125" spans="1:5">
      <c r="A125" t="s">
        <v>1</v>
      </c>
      <c r="B125" t="s">
        <v>2</v>
      </c>
      <c r="C125" t="s">
        <v>3</v>
      </c>
      <c r="D125" t="s">
        <v>4</v>
      </c>
      <c r="E125" t="s">
        <v>5</v>
      </c>
    </row>
    <row r="126" spans="1:5">
      <c r="A126" t="s">
        <v>6</v>
      </c>
      <c r="B126"/>
      <c r="C126"/>
      <c r="D126"/>
      <c r="E126"/>
    </row>
    <row r="127" spans="1:5">
      <c r="A127" t="s">
        <v>22</v>
      </c>
      <c r="B127">
        <f>VALUE(137541919)</f>
        <v>137541919</v>
      </c>
      <c r="C127">
        <f>VALUE(89793044)</f>
        <v>89793044</v>
      </c>
      <c r="D127">
        <f>VALUE(84561565)</f>
        <v>84561565</v>
      </c>
      <c r="E127">
        <f>VALUE(65267557)</f>
        <v>65267557</v>
      </c>
    </row>
    <row r="128" spans="1:5">
      <c r="A128" t="s">
        <v>23</v>
      </c>
      <c r="B128"/>
      <c r="C128"/>
      <c r="D128"/>
      <c r="E128"/>
    </row>
    <row r="129" spans="1:5">
      <c r="A129" t="s">
        <v>24</v>
      </c>
      <c r="B129"/>
      <c r="C129"/>
      <c r="D129"/>
      <c r="E129"/>
    </row>
    <row r="130" spans="1:5">
      <c r="A130" t="s">
        <v>35</v>
      </c>
      <c r="B130">
        <f>VALUE(119594366)</f>
        <v>119594366</v>
      </c>
      <c r="C130">
        <f>VALUE(78111852)</f>
        <v>78111852</v>
      </c>
      <c r="D130">
        <f>VALUE(74470381)</f>
        <v>74470381</v>
      </c>
      <c r="E130">
        <f>VALUE(57335593)</f>
        <v>57335593</v>
      </c>
    </row>
    <row r="131" spans="1:5">
      <c r="A131" t="s">
        <v>36</v>
      </c>
      <c r="B131"/>
      <c r="C131"/>
      <c r="D131"/>
      <c r="E131"/>
    </row>
    <row r="132" spans="1:5">
      <c r="A132" t="s">
        <v>37</v>
      </c>
      <c r="B132">
        <f>VALUE(1500000)</f>
        <v>1500000</v>
      </c>
      <c r="C132">
        <f>VALUE(1500000)</f>
        <v>1500000</v>
      </c>
      <c r="D132">
        <f>VALUE(1500000)</f>
        <v>1500000</v>
      </c>
      <c r="E132" t="s">
        <v>20</v>
      </c>
    </row>
    <row r="133" spans="1:5">
      <c r="A133" t="s">
        <v>38</v>
      </c>
      <c r="B133">
        <f>VALUE(-51860540)</f>
        <v>-51860540</v>
      </c>
      <c r="C133">
        <f>VALUE(1851798)</f>
        <v>1851798</v>
      </c>
      <c r="D133">
        <f>VALUE(1909292)</f>
        <v>1909292</v>
      </c>
      <c r="E133" t="s">
        <v>20</v>
      </c>
    </row>
    <row r="134" spans="1:5">
      <c r="A134" t="s">
        <v>39</v>
      </c>
      <c r="B134">
        <f>VALUE(17502677)</f>
        <v>17502677</v>
      </c>
      <c r="C134">
        <f>VALUE(11400598)</f>
        <v>11400598</v>
      </c>
      <c r="D134">
        <f>VALUE(9798800)</f>
        <v>9798800</v>
      </c>
      <c r="E134">
        <f>VALUE(7649671)</f>
        <v>7649671</v>
      </c>
    </row>
    <row r="135" spans="1:5">
      <c r="A135" t="s">
        <v>40</v>
      </c>
      <c r="B135">
        <f>VALUE(137541919)</f>
        <v>137541919</v>
      </c>
      <c r="C135">
        <f>VALUE(89793044)</f>
        <v>89793044</v>
      </c>
      <c r="D135">
        <f>VALUE(84561565)</f>
        <v>84561565</v>
      </c>
      <c r="E135">
        <f>VALUE(65267557)</f>
        <v>65267557</v>
      </c>
    </row>
    <row r="137" spans="1:5">
      <c r="A137" t="s">
        <v>55</v>
      </c>
    </row>
    <row r="138" spans="1:5">
      <c r="A138" t="s">
        <v>1</v>
      </c>
      <c r="B138" t="s">
        <v>56</v>
      </c>
      <c r="C138" t="s">
        <v>57</v>
      </c>
      <c r="D138" t="s">
        <v>58</v>
      </c>
      <c r="E138" t="s">
        <v>59</v>
      </c>
    </row>
    <row r="139" spans="1:5">
      <c r="A139" t="s">
        <v>6</v>
      </c>
      <c r="B139"/>
      <c r="C139"/>
      <c r="D139"/>
      <c r="E139"/>
    </row>
    <row r="140" spans="1:5">
      <c r="A140" t="s">
        <v>7</v>
      </c>
      <c r="B140"/>
      <c r="C140"/>
      <c r="D140"/>
      <c r="E140"/>
    </row>
    <row r="141" spans="1:5">
      <c r="A141" t="s">
        <v>8</v>
      </c>
      <c r="B141"/>
      <c r="C141"/>
      <c r="D141"/>
      <c r="E141"/>
    </row>
    <row r="142" spans="1:5">
      <c r="A142" t="s">
        <v>9</v>
      </c>
      <c r="B142">
        <f>VALUE(87363)</f>
        <v>87363</v>
      </c>
      <c r="C142">
        <f>VALUE(46926)</f>
        <v>46926</v>
      </c>
      <c r="D142">
        <f>VALUE(6125)</f>
        <v>6125</v>
      </c>
      <c r="E142">
        <f>VALUE(138772)</f>
        <v>138772</v>
      </c>
    </row>
    <row r="143" spans="1:5">
      <c r="A143" t="s">
        <v>10</v>
      </c>
      <c r="B143">
        <f>VALUE(30813)</f>
        <v>30813</v>
      </c>
      <c r="C143" t="s">
        <v>20</v>
      </c>
      <c r="D143" t="s">
        <v>20</v>
      </c>
      <c r="E143" t="s">
        <v>20</v>
      </c>
    </row>
    <row r="144" spans="1:5">
      <c r="A144" t="s">
        <v>11</v>
      </c>
      <c r="B144">
        <f>VALUE(118177)</f>
        <v>118177</v>
      </c>
      <c r="C144">
        <f>VALUE(46926)</f>
        <v>46926</v>
      </c>
      <c r="D144">
        <f>VALUE(6125)</f>
        <v>6125</v>
      </c>
      <c r="E144">
        <f>VALUE(138772)</f>
        <v>138772</v>
      </c>
    </row>
    <row r="145" spans="1:5">
      <c r="A145" t="s">
        <v>12</v>
      </c>
      <c r="B145">
        <f>VALUE(1867101)</f>
        <v>1867101</v>
      </c>
      <c r="C145">
        <f>VALUE(1431148)</f>
        <v>1431148</v>
      </c>
      <c r="D145">
        <f>VALUE(566292)</f>
        <v>566292</v>
      </c>
      <c r="E145">
        <f>VALUE(501008)</f>
        <v>501008</v>
      </c>
    </row>
    <row r="146" spans="1:5">
      <c r="A146" t="s">
        <v>46</v>
      </c>
      <c r="B146">
        <f>VALUE(1221124)</f>
        <v>1221124</v>
      </c>
      <c r="C146">
        <f>VALUE(1376399)</f>
        <v>1376399</v>
      </c>
      <c r="D146">
        <f>VALUE(1010032)</f>
        <v>1010032</v>
      </c>
      <c r="E146">
        <f>VALUE(664783)</f>
        <v>664783</v>
      </c>
    </row>
    <row r="147" spans="1:5">
      <c r="A147" t="s">
        <v>13</v>
      </c>
      <c r="B147">
        <f>VALUE(3343064)</f>
        <v>3343064</v>
      </c>
      <c r="C147">
        <f>VALUE(3044758)</f>
        <v>3044758</v>
      </c>
      <c r="D147">
        <f>VALUE(1625449)</f>
        <v>1625449</v>
      </c>
      <c r="E147">
        <f>VALUE(1320817)</f>
        <v>1320817</v>
      </c>
    </row>
    <row r="148" spans="1:5">
      <c r="A148" t="s">
        <v>14</v>
      </c>
      <c r="B148"/>
      <c r="C148"/>
      <c r="D148"/>
      <c r="E148"/>
    </row>
    <row r="149" spans="1:5">
      <c r="A149" t="s">
        <v>15</v>
      </c>
      <c r="B149"/>
      <c r="C149"/>
      <c r="D149"/>
      <c r="E149"/>
    </row>
    <row r="150" spans="1:5">
      <c r="A150" t="s">
        <v>16</v>
      </c>
      <c r="B150">
        <f>VALUE(15189412)</f>
        <v>15189412</v>
      </c>
      <c r="C150">
        <f>VALUE(11136072)</f>
        <v>11136072</v>
      </c>
      <c r="D150">
        <f>VALUE(1319715)</f>
        <v>1319715</v>
      </c>
      <c r="E150">
        <f>VALUE(1222298)</f>
        <v>1222298</v>
      </c>
    </row>
    <row r="151" spans="1:5">
      <c r="A151" t="s">
        <v>17</v>
      </c>
      <c r="B151">
        <f>VALUE(-12520525)</f>
        <v>-12520525</v>
      </c>
      <c r="C151">
        <f>VALUE(-8897511)</f>
        <v>-8897511</v>
      </c>
      <c r="D151">
        <f>VALUE(-682867)</f>
        <v>-682867</v>
      </c>
      <c r="E151">
        <f>VALUE(-607809)</f>
        <v>-607809</v>
      </c>
    </row>
    <row r="152" spans="1:5">
      <c r="A152" t="s">
        <v>18</v>
      </c>
      <c r="B152">
        <f>VALUE(2668887)</f>
        <v>2668887</v>
      </c>
      <c r="C152">
        <f>VALUE(2238562)</f>
        <v>2238562</v>
      </c>
      <c r="D152">
        <f>VALUE(636848)</f>
        <v>636848</v>
      </c>
      <c r="E152">
        <f>VALUE(614489)</f>
        <v>614489</v>
      </c>
    </row>
    <row r="153" spans="1:5">
      <c r="A153" t="s">
        <v>21</v>
      </c>
      <c r="B153">
        <f>VALUE(2668887)</f>
        <v>2668887</v>
      </c>
      <c r="C153">
        <f>VALUE(2241373)</f>
        <v>2241373</v>
      </c>
      <c r="D153">
        <f>VALUE(701752)</f>
        <v>701752</v>
      </c>
      <c r="E153">
        <f>VALUE(750674)</f>
        <v>750674</v>
      </c>
    </row>
    <row r="154" spans="1:5">
      <c r="A154" t="s">
        <v>22</v>
      </c>
      <c r="B154">
        <f>VALUE(6011951)</f>
        <v>6011951</v>
      </c>
      <c r="C154">
        <f>VALUE(5286131)</f>
        <v>5286131</v>
      </c>
      <c r="D154">
        <f>VALUE(2327200)</f>
        <v>2327200</v>
      </c>
      <c r="E154">
        <f>VALUE(2071491)</f>
        <v>2071491</v>
      </c>
    </row>
    <row r="155" spans="1:5">
      <c r="A155" t="s">
        <v>23</v>
      </c>
      <c r="B155"/>
      <c r="C155"/>
      <c r="D155"/>
      <c r="E155"/>
    </row>
    <row r="156" spans="1:5">
      <c r="A156" t="s">
        <v>24</v>
      </c>
      <c r="B156"/>
      <c r="C156"/>
      <c r="D156"/>
      <c r="E156"/>
    </row>
    <row r="157" spans="1:5">
      <c r="A157" t="s">
        <v>25</v>
      </c>
      <c r="B157"/>
      <c r="C157"/>
      <c r="D157"/>
      <c r="E157"/>
    </row>
    <row r="158" spans="1:5">
      <c r="A158" t="s">
        <v>26</v>
      </c>
      <c r="B158">
        <f>VALUE(268187)</f>
        <v>268187</v>
      </c>
      <c r="C158">
        <f>VALUE(1666415)</f>
        <v>1666415</v>
      </c>
      <c r="D158">
        <f>VALUE(786322)</f>
        <v>786322</v>
      </c>
      <c r="E158">
        <f>VALUE(600539)</f>
        <v>600539</v>
      </c>
    </row>
    <row r="159" spans="1:5">
      <c r="A159" t="s">
        <v>27</v>
      </c>
      <c r="B159">
        <f>VALUE(493568)</f>
        <v>493568</v>
      </c>
      <c r="C159">
        <f>VALUE(645641)</f>
        <v>645641</v>
      </c>
      <c r="D159">
        <f>VALUE(305231)</f>
        <v>305231</v>
      </c>
      <c r="E159">
        <f>VALUE(465199)</f>
        <v>465199</v>
      </c>
    </row>
    <row r="160" spans="1:5">
      <c r="A160" t="s">
        <v>29</v>
      </c>
      <c r="B160">
        <f>VALUE(1842570)</f>
        <v>1842570</v>
      </c>
      <c r="C160">
        <f>VALUE(2837111)</f>
        <v>2837111</v>
      </c>
      <c r="D160">
        <f>VALUE(1434460)</f>
        <v>1434460</v>
      </c>
      <c r="E160">
        <f>VALUE(1093959)</f>
        <v>1093959</v>
      </c>
    </row>
    <row r="161" spans="1:5">
      <c r="A161" t="s">
        <v>30</v>
      </c>
      <c r="B161"/>
      <c r="C161"/>
      <c r="D161"/>
      <c r="E161"/>
    </row>
    <row r="162" spans="1:5">
      <c r="A162" t="s">
        <v>31</v>
      </c>
      <c r="B162">
        <f>VALUE(867831)</f>
        <v>867831</v>
      </c>
      <c r="C162">
        <f>VALUE(83250)</f>
        <v>83250</v>
      </c>
      <c r="D162">
        <f>VALUE(226480)</f>
        <v>226480</v>
      </c>
      <c r="E162">
        <f>VALUE(351425)</f>
        <v>351425</v>
      </c>
    </row>
    <row r="163" spans="1:5">
      <c r="A163" t="s">
        <v>32</v>
      </c>
      <c r="B163">
        <f>VALUE(533260)</f>
        <v>533260</v>
      </c>
      <c r="C163">
        <f>VALUE(393810)</f>
        <v>393810</v>
      </c>
      <c r="D163" t="s">
        <v>20</v>
      </c>
      <c r="E163">
        <f>VALUE(0)</f>
        <v>0</v>
      </c>
    </row>
    <row r="164" spans="1:5">
      <c r="A164" t="s">
        <v>34</v>
      </c>
      <c r="B164">
        <f>VALUE(1456591)</f>
        <v>1456591</v>
      </c>
      <c r="C164">
        <f>VALUE(514059)</f>
        <v>514059</v>
      </c>
      <c r="D164">
        <f>VALUE(246480)</f>
        <v>246480</v>
      </c>
      <c r="E164">
        <f>VALUE(377678)</f>
        <v>377678</v>
      </c>
    </row>
    <row r="165" spans="1:5">
      <c r="A165" t="s">
        <v>35</v>
      </c>
      <c r="B165">
        <f>VALUE(3299162)</f>
        <v>3299162</v>
      </c>
      <c r="C165">
        <f>VALUE(3351171)</f>
        <v>3351171</v>
      </c>
      <c r="D165">
        <f>VALUE(1680940)</f>
        <v>1680940</v>
      </c>
      <c r="E165">
        <f>VALUE(1471637)</f>
        <v>1471637</v>
      </c>
    </row>
    <row r="166" spans="1:5">
      <c r="A166" t="s">
        <v>36</v>
      </c>
      <c r="B166"/>
      <c r="C166"/>
      <c r="D166"/>
      <c r="E166"/>
    </row>
    <row r="167" spans="1:5">
      <c r="A167" t="s">
        <v>37</v>
      </c>
      <c r="B167">
        <f>VALUE(145069)</f>
        <v>145069</v>
      </c>
      <c r="C167">
        <f>VALUE(145069)</f>
        <v>145069</v>
      </c>
      <c r="D167">
        <f>VALUE(72535)</f>
        <v>72535</v>
      </c>
      <c r="E167">
        <f>VALUE(72535)</f>
        <v>72535</v>
      </c>
    </row>
    <row r="168" spans="1:5">
      <c r="A168" t="s">
        <v>38</v>
      </c>
      <c r="B168">
        <f>VALUE(85156)</f>
        <v>85156</v>
      </c>
      <c r="C168">
        <f>VALUE(-411639)</f>
        <v>-411639</v>
      </c>
      <c r="D168">
        <f>VALUE(86302)</f>
        <v>86302</v>
      </c>
      <c r="E168">
        <f>VALUE(71089)</f>
        <v>71089</v>
      </c>
    </row>
    <row r="169" spans="1:5">
      <c r="A169" t="s">
        <v>39</v>
      </c>
      <c r="B169">
        <f>VALUE(2712790)</f>
        <v>2712790</v>
      </c>
      <c r="C169">
        <f>VALUE(1934960)</f>
        <v>1934960</v>
      </c>
      <c r="D169">
        <f>VALUE(646262)</f>
        <v>646262</v>
      </c>
      <c r="E169">
        <f>VALUE(599853)</f>
        <v>599853</v>
      </c>
    </row>
    <row r="170" spans="1:5">
      <c r="A170" t="s">
        <v>40</v>
      </c>
      <c r="B170">
        <f>VALUE(6011951)</f>
        <v>6011951</v>
      </c>
      <c r="C170">
        <f>VALUE(5286131)</f>
        <v>5286131</v>
      </c>
      <c r="D170">
        <f>VALUE(2327200)</f>
        <v>2327200</v>
      </c>
      <c r="E170">
        <f>VALUE(2071491)</f>
        <v>2071491</v>
      </c>
    </row>
    <row r="172" spans="1:5">
      <c r="A172" t="s">
        <v>60</v>
      </c>
    </row>
    <row r="173" spans="1:5">
      <c r="A173" t="s">
        <v>1</v>
      </c>
      <c r="B173" t="s">
        <v>61</v>
      </c>
      <c r="C173" t="s">
        <v>62</v>
      </c>
      <c r="D173" t="s">
        <v>63</v>
      </c>
    </row>
    <row r="174" spans="1:5">
      <c r="A174" t="s">
        <v>6</v>
      </c>
      <c r="B174"/>
      <c r="C174"/>
      <c r="D174"/>
    </row>
    <row r="175" spans="1:5">
      <c r="A175" t="s">
        <v>7</v>
      </c>
      <c r="B175"/>
      <c r="C175"/>
      <c r="D175"/>
    </row>
    <row r="176" spans="1:5">
      <c r="A176" t="s">
        <v>8</v>
      </c>
      <c r="B176"/>
      <c r="C176"/>
      <c r="D176"/>
    </row>
    <row r="177" spans="1:5">
      <c r="A177" t="s">
        <v>9</v>
      </c>
      <c r="B177">
        <f>VALUE(327062)</f>
        <v>327062</v>
      </c>
      <c r="C177">
        <f>VALUE(428750)</f>
        <v>428750</v>
      </c>
      <c r="D177">
        <f>VALUE(1586829)</f>
        <v>1586829</v>
      </c>
    </row>
    <row r="178" spans="1:5">
      <c r="A178" t="s">
        <v>10</v>
      </c>
      <c r="B178">
        <f>VALUE(55076)</f>
        <v>55076</v>
      </c>
      <c r="C178">
        <f>VALUE(59228)</f>
        <v>59228</v>
      </c>
      <c r="D178" t="s">
        <v>20</v>
      </c>
    </row>
    <row r="179" spans="1:5">
      <c r="A179" t="s">
        <v>11</v>
      </c>
      <c r="B179">
        <f>VALUE(382138)</f>
        <v>382138</v>
      </c>
      <c r="C179">
        <f>VALUE(487978)</f>
        <v>487978</v>
      </c>
      <c r="D179">
        <f>VALUE(1586829)</f>
        <v>1586829</v>
      </c>
    </row>
    <row r="180" spans="1:5">
      <c r="A180" t="s">
        <v>12</v>
      </c>
      <c r="B180">
        <f>VALUE(3379558)</f>
        <v>3379558</v>
      </c>
      <c r="C180">
        <f>VALUE(2185970)</f>
        <v>2185970</v>
      </c>
      <c r="D180">
        <f>VALUE(1193877)</f>
        <v>1193877</v>
      </c>
    </row>
    <row r="181" spans="1:5">
      <c r="A181" t="s">
        <v>46</v>
      </c>
      <c r="B181">
        <f>VALUE(8604708)</f>
        <v>8604708</v>
      </c>
      <c r="C181">
        <f>VALUE(5603362)</f>
        <v>5603362</v>
      </c>
      <c r="D181">
        <f>VALUE(3242926)</f>
        <v>3242926</v>
      </c>
    </row>
    <row r="182" spans="1:5">
      <c r="A182" t="s">
        <v>47</v>
      </c>
      <c r="B182">
        <f>VALUE(313111)</f>
        <v>313111</v>
      </c>
      <c r="C182">
        <f>VALUE(137492)</f>
        <v>137492</v>
      </c>
      <c r="D182">
        <f>VALUE(99515)</f>
        <v>99515</v>
      </c>
    </row>
    <row r="183" spans="1:5">
      <c r="A183" t="s">
        <v>13</v>
      </c>
      <c r="B183">
        <f>VALUE(14920905)</f>
        <v>14920905</v>
      </c>
      <c r="C183">
        <f>VALUE(9965915)</f>
        <v>9965915</v>
      </c>
      <c r="D183">
        <f>VALUE(7231725)</f>
        <v>7231725</v>
      </c>
    </row>
    <row r="184" spans="1:5">
      <c r="A184" t="s">
        <v>14</v>
      </c>
      <c r="B184"/>
      <c r="C184"/>
      <c r="D184"/>
    </row>
    <row r="185" spans="1:5">
      <c r="A185" t="s">
        <v>15</v>
      </c>
      <c r="B185"/>
      <c r="C185"/>
      <c r="D185"/>
    </row>
    <row r="186" spans="1:5">
      <c r="A186" t="s">
        <v>16</v>
      </c>
      <c r="B186">
        <f>VALUE(10870119)</f>
        <v>10870119</v>
      </c>
      <c r="C186">
        <f>VALUE(6800767)</f>
        <v>6800767</v>
      </c>
      <c r="D186">
        <f>VALUE(1541513)</f>
        <v>1541513</v>
      </c>
    </row>
    <row r="187" spans="1:5">
      <c r="A187" t="s">
        <v>17</v>
      </c>
      <c r="B187">
        <f>VALUE(-125326)</f>
        <v>-125326</v>
      </c>
      <c r="C187" t="s">
        <v>20</v>
      </c>
      <c r="D187" t="s">
        <v>20</v>
      </c>
    </row>
    <row r="188" spans="1:5">
      <c r="A188" t="s">
        <v>18</v>
      </c>
      <c r="B188">
        <f>VALUE(10744793)</f>
        <v>10744793</v>
      </c>
      <c r="C188">
        <f>VALUE(6800767)</f>
        <v>6800767</v>
      </c>
      <c r="D188">
        <f>VALUE(1541513)</f>
        <v>1541513</v>
      </c>
    </row>
    <row r="189" spans="1:5">
      <c r="A189" t="s">
        <v>19</v>
      </c>
      <c r="B189" t="s">
        <v>20</v>
      </c>
      <c r="C189" t="s">
        <v>20</v>
      </c>
      <c r="D189">
        <f>VALUE(325)</f>
        <v>325</v>
      </c>
    </row>
    <row r="190" spans="1:5">
      <c r="A190" t="s">
        <v>21</v>
      </c>
      <c r="B190">
        <f>VALUE(12237391)</f>
        <v>12237391</v>
      </c>
      <c r="C190">
        <f>VALUE(7817868)</f>
        <v>7817868</v>
      </c>
      <c r="D190">
        <f>VALUE(2372792)</f>
        <v>2372792</v>
      </c>
    </row>
    <row r="191" spans="1:5">
      <c r="A191" t="s">
        <v>22</v>
      </c>
      <c r="B191">
        <f>VALUE(27158296)</f>
        <v>27158296</v>
      </c>
      <c r="C191">
        <f>VALUE(17783783)</f>
        <v>17783783</v>
      </c>
      <c r="D191">
        <f>VALUE(9604517)</f>
        <v>9604517</v>
      </c>
    </row>
    <row r="192" spans="1:5">
      <c r="A192" t="s">
        <v>23</v>
      </c>
      <c r="B192"/>
      <c r="C192"/>
      <c r="D192"/>
    </row>
    <row r="193" spans="1:5">
      <c r="A193" t="s">
        <v>24</v>
      </c>
      <c r="B193"/>
      <c r="C193"/>
      <c r="D193"/>
    </row>
    <row r="194" spans="1:5">
      <c r="A194" t="s">
        <v>25</v>
      </c>
      <c r="B194"/>
      <c r="C194"/>
      <c r="D194"/>
    </row>
    <row r="195" spans="1:5">
      <c r="A195" t="s">
        <v>26</v>
      </c>
      <c r="B195">
        <f>VALUE(4966024)</f>
        <v>4966024</v>
      </c>
      <c r="C195">
        <f>VALUE(5552174)</f>
        <v>5552174</v>
      </c>
      <c r="D195">
        <f>VALUE(3016144)</f>
        <v>3016144</v>
      </c>
    </row>
    <row r="196" spans="1:5">
      <c r="A196" t="s">
        <v>27</v>
      </c>
      <c r="B196">
        <f>VALUE(2570563)</f>
        <v>2570563</v>
      </c>
      <c r="C196">
        <f>VALUE(2230404)</f>
        <v>2230404</v>
      </c>
      <c r="D196">
        <f>VALUE(1260881)</f>
        <v>1260881</v>
      </c>
    </row>
    <row r="197" spans="1:5">
      <c r="A197" t="s">
        <v>28</v>
      </c>
      <c r="B197">
        <f>VALUE(1253438)</f>
        <v>1253438</v>
      </c>
      <c r="C197">
        <f>VALUE(668948)</f>
        <v>668948</v>
      </c>
      <c r="D197">
        <f>VALUE(465460)</f>
        <v>465460</v>
      </c>
    </row>
    <row r="198" spans="1:5">
      <c r="A198" t="s">
        <v>29</v>
      </c>
      <c r="B198">
        <f>VALUE(10029720)</f>
        <v>10029720</v>
      </c>
      <c r="C198">
        <f>VALUE(8955320)</f>
        <v>8955320</v>
      </c>
      <c r="D198">
        <f>VALUE(5107037)</f>
        <v>5107037</v>
      </c>
    </row>
    <row r="199" spans="1:5">
      <c r="A199" t="s">
        <v>30</v>
      </c>
      <c r="B199"/>
      <c r="C199"/>
      <c r="D199"/>
    </row>
    <row r="200" spans="1:5">
      <c r="A200" t="s">
        <v>31</v>
      </c>
      <c r="B200">
        <f>VALUE(6885700)</f>
        <v>6885700</v>
      </c>
      <c r="C200">
        <f>VALUE(2488118)</f>
        <v>2488118</v>
      </c>
      <c r="D200">
        <f>VALUE(2959030)</f>
        <v>2959030</v>
      </c>
    </row>
    <row r="201" spans="1:5">
      <c r="A201" t="s">
        <v>32</v>
      </c>
      <c r="B201">
        <f>VALUE(1164040)</f>
        <v>1164040</v>
      </c>
      <c r="C201">
        <f>VALUE(716337)</f>
        <v>716337</v>
      </c>
      <c r="D201">
        <f>VALUE(946)</f>
        <v>946</v>
      </c>
    </row>
    <row r="202" spans="1:5">
      <c r="A202" t="s">
        <v>34</v>
      </c>
      <c r="B202">
        <f>VALUE(8503321)</f>
        <v>8503321</v>
      </c>
      <c r="C202">
        <f>VALUE(3345466)</f>
        <v>3345466</v>
      </c>
      <c r="D202">
        <f>VALUE(3021352)</f>
        <v>3021352</v>
      </c>
    </row>
    <row r="203" spans="1:5">
      <c r="A203" t="s">
        <v>35</v>
      </c>
      <c r="B203">
        <f>VALUE(18533041)</f>
        <v>18533041</v>
      </c>
      <c r="C203">
        <f>VALUE(12300786)</f>
        <v>12300786</v>
      </c>
      <c r="D203">
        <f>VALUE(8128389)</f>
        <v>8128389</v>
      </c>
    </row>
    <row r="204" spans="1:5">
      <c r="A204" t="s">
        <v>36</v>
      </c>
      <c r="B204"/>
      <c r="C204"/>
      <c r="D204"/>
    </row>
    <row r="205" spans="1:5">
      <c r="A205" t="s">
        <v>37</v>
      </c>
      <c r="B205">
        <f>VALUE(439714)</f>
        <v>439714</v>
      </c>
      <c r="C205">
        <f>VALUE(439714)</f>
        <v>439714</v>
      </c>
      <c r="D205">
        <f>VALUE(439714)</f>
        <v>439714</v>
      </c>
    </row>
    <row r="206" spans="1:5">
      <c r="A206" t="s">
        <v>38</v>
      </c>
      <c r="B206">
        <f>VALUE(637069)</f>
        <v>637069</v>
      </c>
      <c r="C206">
        <f>VALUE(-1814720)</f>
        <v>-1814720</v>
      </c>
      <c r="D206">
        <f>VALUE(351470)</f>
        <v>351470</v>
      </c>
    </row>
    <row r="207" spans="1:5">
      <c r="A207" t="s">
        <v>39</v>
      </c>
      <c r="B207">
        <f>VALUE(8625255)</f>
        <v>8625255</v>
      </c>
      <c r="C207">
        <f>VALUE(5482997)</f>
        <v>5482997</v>
      </c>
      <c r="D207">
        <f>VALUE(1476128)</f>
        <v>1476128</v>
      </c>
    </row>
    <row r="208" spans="1:5">
      <c r="A208" t="s">
        <v>40</v>
      </c>
      <c r="B208">
        <f>VALUE(27158296)</f>
        <v>27158296</v>
      </c>
      <c r="C208">
        <f>VALUE(17783783)</f>
        <v>17783783</v>
      </c>
      <c r="D208">
        <f>VALUE(9604517)</f>
        <v>9604517</v>
      </c>
    </row>
    <row r="210" spans="1:5">
      <c r="A210" t="s">
        <v>64</v>
      </c>
    </row>
    <row r="211" spans="1:5">
      <c r="A211" t="s">
        <v>1</v>
      </c>
      <c r="B211" t="s">
        <v>2</v>
      </c>
      <c r="C211" t="s">
        <v>3</v>
      </c>
      <c r="D211" t="s">
        <v>4</v>
      </c>
      <c r="E211" t="s">
        <v>5</v>
      </c>
    </row>
    <row r="212" spans="1:5">
      <c r="A212" t="s">
        <v>6</v>
      </c>
      <c r="B212"/>
      <c r="C212"/>
      <c r="D212"/>
      <c r="E212"/>
    </row>
    <row r="213" spans="1:5">
      <c r="A213" t="s">
        <v>7</v>
      </c>
      <c r="B213"/>
      <c r="C213"/>
      <c r="D213"/>
      <c r="E213"/>
    </row>
    <row r="214" spans="1:5">
      <c r="A214" t="s">
        <v>8</v>
      </c>
      <c r="B214"/>
      <c r="C214"/>
      <c r="D214"/>
      <c r="E214"/>
    </row>
    <row r="215" spans="1:5">
      <c r="A215" t="s">
        <v>9</v>
      </c>
      <c r="B215">
        <f>VALUE(1294111)</f>
        <v>1294111</v>
      </c>
      <c r="C215">
        <f>VALUE(1505711)</f>
        <v>1505711</v>
      </c>
      <c r="D215">
        <f>VALUE(837803)</f>
        <v>837803</v>
      </c>
      <c r="E215">
        <f>VALUE(356730)</f>
        <v>356730</v>
      </c>
    </row>
    <row r="216" spans="1:5">
      <c r="A216" t="s">
        <v>10</v>
      </c>
      <c r="B216">
        <f>VALUE(1944102)</f>
        <v>1944102</v>
      </c>
      <c r="C216">
        <f>VALUE(706658)</f>
        <v>706658</v>
      </c>
      <c r="D216">
        <f>VALUE(1124600)</f>
        <v>1124600</v>
      </c>
      <c r="E216">
        <f>VALUE(701760)</f>
        <v>701760</v>
      </c>
    </row>
    <row r="217" spans="1:5">
      <c r="A217" t="s">
        <v>11</v>
      </c>
      <c r="B217">
        <f>VALUE(3238213)</f>
        <v>3238213</v>
      </c>
      <c r="C217">
        <f>VALUE(2212369)</f>
        <v>2212369</v>
      </c>
      <c r="D217">
        <f>VALUE(1962403)</f>
        <v>1962403</v>
      </c>
      <c r="E217">
        <f>VALUE(1058490)</f>
        <v>1058490</v>
      </c>
    </row>
    <row r="218" spans="1:5">
      <c r="A218" t="s">
        <v>12</v>
      </c>
      <c r="B218">
        <f>VALUE(7876188)</f>
        <v>7876188</v>
      </c>
      <c r="C218">
        <f>VALUE(5801329)</f>
        <v>5801329</v>
      </c>
      <c r="D218">
        <f>VALUE(8205204)</f>
        <v>8205204</v>
      </c>
      <c r="E218">
        <f>VALUE(4776943)</f>
        <v>4776943</v>
      </c>
    </row>
    <row r="219" spans="1:5">
      <c r="A219" t="s">
        <v>46</v>
      </c>
      <c r="B219">
        <f>VALUE(1113656)</f>
        <v>1113656</v>
      </c>
      <c r="C219">
        <f>VALUE(1312241)</f>
        <v>1312241</v>
      </c>
      <c r="D219">
        <f>VALUE(1811100)</f>
        <v>1811100</v>
      </c>
      <c r="E219">
        <f>VALUE(677238)</f>
        <v>677238</v>
      </c>
    </row>
    <row r="220" spans="1:5">
      <c r="A220" t="s">
        <v>47</v>
      </c>
      <c r="B220">
        <f>VALUE(112763)</f>
        <v>112763</v>
      </c>
      <c r="C220">
        <f>VALUE(119106)</f>
        <v>119106</v>
      </c>
      <c r="D220">
        <f>VALUE(121794)</f>
        <v>121794</v>
      </c>
      <c r="E220">
        <f>VALUE(68199)</f>
        <v>68199</v>
      </c>
    </row>
    <row r="221" spans="1:5">
      <c r="A221" t="s">
        <v>13</v>
      </c>
      <c r="B221">
        <f>VALUE(14450169)</f>
        <v>14450169</v>
      </c>
      <c r="C221">
        <f>VALUE(10976801)</f>
        <v>10976801</v>
      </c>
      <c r="D221">
        <f>VALUE(13554488)</f>
        <v>13554488</v>
      </c>
      <c r="E221">
        <f>VALUE(7171088)</f>
        <v>7171088</v>
      </c>
    </row>
    <row r="222" spans="1:5">
      <c r="A222" t="s">
        <v>14</v>
      </c>
      <c r="B222"/>
      <c r="C222"/>
      <c r="D222"/>
      <c r="E222"/>
    </row>
    <row r="223" spans="1:5">
      <c r="A223" t="s">
        <v>15</v>
      </c>
      <c r="B223"/>
      <c r="C223"/>
      <c r="D223"/>
      <c r="E223"/>
    </row>
    <row r="224" spans="1:5">
      <c r="A224" t="s">
        <v>16</v>
      </c>
      <c r="B224">
        <f>VALUE(35218650)</f>
        <v>35218650</v>
      </c>
      <c r="C224">
        <f>VALUE(25682988)</f>
        <v>25682988</v>
      </c>
      <c r="D224">
        <f>VALUE(24888917)</f>
        <v>24888917</v>
      </c>
      <c r="E224">
        <f>VALUE(2765598)</f>
        <v>2765598</v>
      </c>
    </row>
    <row r="225" spans="1:5">
      <c r="A225" t="s">
        <v>17</v>
      </c>
      <c r="B225">
        <f>VALUE(-28100494)</f>
        <v>-28100494</v>
      </c>
      <c r="C225">
        <f>VALUE(-20017492)</f>
        <v>-20017492</v>
      </c>
      <c r="D225">
        <f>VALUE(-19331247)</f>
        <v>-19331247</v>
      </c>
      <c r="E225">
        <f>VALUE(-1772986)</f>
        <v>-1772986</v>
      </c>
    </row>
    <row r="226" spans="1:5">
      <c r="A226" t="s">
        <v>18</v>
      </c>
      <c r="B226">
        <f>VALUE(7118156)</f>
        <v>7118156</v>
      </c>
      <c r="C226">
        <f>VALUE(5665497)</f>
        <v>5665497</v>
      </c>
      <c r="D226">
        <f>VALUE(5557670)</f>
        <v>5557670</v>
      </c>
      <c r="E226">
        <f>VALUE(992612)</f>
        <v>992612</v>
      </c>
    </row>
    <row r="227" spans="1:5">
      <c r="A227" t="s">
        <v>48</v>
      </c>
      <c r="B227">
        <f>VALUE(22073)</f>
        <v>22073</v>
      </c>
      <c r="C227">
        <f>VALUE(931226)</f>
        <v>931226</v>
      </c>
      <c r="D227">
        <f>VALUE(997431)</f>
        <v>997431</v>
      </c>
      <c r="E227">
        <f>VALUE(269818)</f>
        <v>269818</v>
      </c>
    </row>
    <row r="228" spans="1:5">
      <c r="A228" t="s">
        <v>49</v>
      </c>
      <c r="B228">
        <f>VALUE(457786)</f>
        <v>457786</v>
      </c>
      <c r="C228">
        <f>VALUE(423961)</f>
        <v>423961</v>
      </c>
      <c r="D228">
        <f>VALUE(735308)</f>
        <v>735308</v>
      </c>
      <c r="E228">
        <f>VALUE(233562)</f>
        <v>233562</v>
      </c>
    </row>
    <row r="229" spans="1:5">
      <c r="A229" t="s">
        <v>19</v>
      </c>
      <c r="B229">
        <f>VALUE(68831)</f>
        <v>68831</v>
      </c>
      <c r="C229">
        <f>VALUE(52227)</f>
        <v>52227</v>
      </c>
      <c r="D229">
        <f>VALUE(59059)</f>
        <v>59059</v>
      </c>
      <c r="E229">
        <f>VALUE(28219)</f>
        <v>28219</v>
      </c>
    </row>
    <row r="230" spans="1:5">
      <c r="A230" t="s">
        <v>21</v>
      </c>
      <c r="B230">
        <f>VALUE(11344382)</f>
        <v>11344382</v>
      </c>
      <c r="C230">
        <f>VALUE(9533676)</f>
        <v>9533676</v>
      </c>
      <c r="D230">
        <f>VALUE(9880377)</f>
        <v>9880377</v>
      </c>
      <c r="E230">
        <f>VALUE(2820905)</f>
        <v>2820905</v>
      </c>
    </row>
    <row r="231" spans="1:5">
      <c r="A231" t="s">
        <v>22</v>
      </c>
      <c r="B231">
        <f>VALUE(25794550)</f>
        <v>25794550</v>
      </c>
      <c r="C231">
        <f>VALUE(20510477)</f>
        <v>20510477</v>
      </c>
      <c r="D231">
        <f>VALUE(23434866)</f>
        <v>23434866</v>
      </c>
      <c r="E231">
        <f>VALUE(9991993)</f>
        <v>9991993</v>
      </c>
    </row>
    <row r="232" spans="1:5">
      <c r="A232" t="s">
        <v>23</v>
      </c>
      <c r="B232"/>
      <c r="C232"/>
      <c r="D232"/>
      <c r="E232"/>
    </row>
    <row r="233" spans="1:5">
      <c r="A233" t="s">
        <v>24</v>
      </c>
      <c r="B233"/>
      <c r="C233"/>
      <c r="D233"/>
      <c r="E233"/>
    </row>
    <row r="234" spans="1:5">
      <c r="A234" t="s">
        <v>25</v>
      </c>
      <c r="B234"/>
      <c r="C234"/>
      <c r="D234"/>
      <c r="E234"/>
    </row>
    <row r="235" spans="1:5">
      <c r="A235" t="s">
        <v>26</v>
      </c>
      <c r="B235">
        <f>VALUE(273337)</f>
        <v>273337</v>
      </c>
      <c r="C235">
        <f>VALUE(972165)</f>
        <v>972165</v>
      </c>
      <c r="D235">
        <f>VALUE(1559178)</f>
        <v>1559178</v>
      </c>
      <c r="E235">
        <f>VALUE(487087)</f>
        <v>487087</v>
      </c>
    </row>
    <row r="236" spans="1:5">
      <c r="A236" t="s">
        <v>27</v>
      </c>
      <c r="B236">
        <f>VALUE(4320748)</f>
        <v>4320748</v>
      </c>
      <c r="C236">
        <f>VALUE(3609900)</f>
        <v>3609900</v>
      </c>
      <c r="D236">
        <f>VALUE(4673991)</f>
        <v>4673991</v>
      </c>
      <c r="E236">
        <f>VALUE(2119966)</f>
        <v>2119966</v>
      </c>
    </row>
    <row r="237" spans="1:5">
      <c r="A237" t="s">
        <v>28</v>
      </c>
      <c r="B237">
        <f>VALUE(164716)</f>
        <v>164716</v>
      </c>
      <c r="C237">
        <f>VALUE(170335)</f>
        <v>170335</v>
      </c>
      <c r="D237">
        <f>VALUE(105123)</f>
        <v>105123</v>
      </c>
      <c r="E237">
        <f>VALUE(78384)</f>
        <v>78384</v>
      </c>
    </row>
    <row r="238" spans="1:5">
      <c r="A238" t="s">
        <v>29</v>
      </c>
      <c r="B238">
        <f>VALUE(8967580)</f>
        <v>8967580</v>
      </c>
      <c r="C238">
        <f>VALUE(7752096)</f>
        <v>7752096</v>
      </c>
      <c r="D238">
        <f>VALUE(9854251)</f>
        <v>9854251</v>
      </c>
      <c r="E238">
        <f>VALUE(4719694)</f>
        <v>4719694</v>
      </c>
    </row>
    <row r="239" spans="1:5">
      <c r="A239" t="s">
        <v>30</v>
      </c>
      <c r="B239"/>
      <c r="C239"/>
      <c r="D239"/>
      <c r="E239"/>
    </row>
    <row r="240" spans="1:5">
      <c r="A240" t="s">
        <v>31</v>
      </c>
      <c r="B240">
        <f>VALUE(1439685)</f>
        <v>1439685</v>
      </c>
      <c r="C240">
        <f>VALUE(899158)</f>
        <v>899158</v>
      </c>
      <c r="D240">
        <f>VALUE(244852)</f>
        <v>244852</v>
      </c>
      <c r="E240">
        <f>VALUE(546819)</f>
        <v>546819</v>
      </c>
    </row>
    <row r="241" spans="1:5">
      <c r="A241" t="s">
        <v>32</v>
      </c>
      <c r="B241">
        <f>VALUE(188972)</f>
        <v>188972</v>
      </c>
      <c r="C241">
        <f>VALUE(282077)</f>
        <v>282077</v>
      </c>
      <c r="D241">
        <f>VALUE(299751)</f>
        <v>299751</v>
      </c>
      <c r="E241">
        <f>VALUE(0)</f>
        <v>0</v>
      </c>
    </row>
    <row r="242" spans="1:5">
      <c r="A242" t="s">
        <v>51</v>
      </c>
      <c r="B242">
        <f>VALUE(4157)</f>
        <v>4157</v>
      </c>
      <c r="C242">
        <f>VALUE(10313)</f>
        <v>10313</v>
      </c>
      <c r="D242">
        <f>VALUE(12366)</f>
        <v>12366</v>
      </c>
      <c r="E242">
        <f>VALUE(9448)</f>
        <v>9448</v>
      </c>
    </row>
    <row r="243" spans="1:5">
      <c r="A243" t="s">
        <v>34</v>
      </c>
      <c r="B243">
        <f>VALUE(3035918)</f>
        <v>3035918</v>
      </c>
      <c r="C243">
        <f>VALUE(2284681)</f>
        <v>2284681</v>
      </c>
      <c r="D243">
        <f>VALUE(1619268)</f>
        <v>1619268</v>
      </c>
      <c r="E243">
        <f>VALUE(1043669)</f>
        <v>1043669</v>
      </c>
    </row>
    <row r="244" spans="1:5">
      <c r="A244" t="s">
        <v>35</v>
      </c>
      <c r="B244">
        <f>VALUE(12003498)</f>
        <v>12003498</v>
      </c>
      <c r="C244">
        <f>VALUE(10036777)</f>
        <v>10036777</v>
      </c>
      <c r="D244">
        <f>VALUE(11473519)</f>
        <v>11473519</v>
      </c>
      <c r="E244">
        <f>VALUE(5763363)</f>
        <v>5763363</v>
      </c>
    </row>
    <row r="245" spans="1:5">
      <c r="A245" t="s">
        <v>36</v>
      </c>
      <c r="B245"/>
      <c r="C245"/>
      <c r="D245"/>
      <c r="E245"/>
    </row>
    <row r="246" spans="1:5">
      <c r="A246" t="s">
        <v>37</v>
      </c>
      <c r="B246">
        <f>VALUE(5115095)</f>
        <v>5115095</v>
      </c>
      <c r="C246">
        <f>VALUE(3757215)</f>
        <v>3757215</v>
      </c>
      <c r="D246">
        <f>VALUE(3757215)</f>
        <v>3757215</v>
      </c>
      <c r="E246">
        <f>VALUE(221898)</f>
        <v>221898</v>
      </c>
    </row>
    <row r="247" spans="1:5">
      <c r="A247" t="s">
        <v>38</v>
      </c>
      <c r="B247">
        <f>VALUE(1217814)</f>
        <v>1217814</v>
      </c>
      <c r="C247">
        <f>VALUE(-410311)</f>
        <v>-410311</v>
      </c>
      <c r="D247">
        <f>VALUE(-841370)</f>
        <v>-841370</v>
      </c>
      <c r="E247">
        <f>VALUE(3465192)</f>
        <v>3465192</v>
      </c>
    </row>
    <row r="248" spans="1:5">
      <c r="A248" t="s">
        <v>39</v>
      </c>
      <c r="B248">
        <f>VALUE(13695070)</f>
        <v>13695070</v>
      </c>
      <c r="C248">
        <f>VALUE(10267167)</f>
        <v>10267167</v>
      </c>
      <c r="D248">
        <f>VALUE(11773786)</f>
        <v>11773786</v>
      </c>
      <c r="E248">
        <f>VALUE(4189098)</f>
        <v>4189098</v>
      </c>
    </row>
    <row r="249" spans="1:5">
      <c r="A249" t="s">
        <v>40</v>
      </c>
      <c r="B249">
        <f>VALUE(25794550)</f>
        <v>25794550</v>
      </c>
      <c r="C249">
        <f>VALUE(20510477)</f>
        <v>20510477</v>
      </c>
      <c r="D249">
        <f>VALUE(23434866)</f>
        <v>23434866</v>
      </c>
      <c r="E249">
        <f>VALUE(9991993)</f>
        <v>9991993</v>
      </c>
    </row>
    <row r="251" spans="1:5">
      <c r="A251" t="s">
        <v>65</v>
      </c>
    </row>
    <row r="252" spans="1:5">
      <c r="A252" t="s">
        <v>1</v>
      </c>
      <c r="B252" t="s">
        <v>2</v>
      </c>
      <c r="C252" t="s">
        <v>3</v>
      </c>
      <c r="D252" t="s">
        <v>4</v>
      </c>
      <c r="E252" t="s">
        <v>5</v>
      </c>
    </row>
    <row r="253" spans="1:5">
      <c r="A253" t="s">
        <v>6</v>
      </c>
      <c r="B253"/>
      <c r="C253"/>
      <c r="D253"/>
      <c r="E253"/>
    </row>
    <row r="254" spans="1:5">
      <c r="A254" t="s">
        <v>7</v>
      </c>
      <c r="B254"/>
      <c r="C254"/>
      <c r="D254"/>
      <c r="E254"/>
    </row>
    <row r="255" spans="1:5">
      <c r="A255" t="s">
        <v>8</v>
      </c>
      <c r="B255"/>
      <c r="C255"/>
      <c r="D255"/>
      <c r="E255"/>
    </row>
    <row r="256" spans="1:5">
      <c r="A256" t="s">
        <v>9</v>
      </c>
      <c r="B256">
        <f>VALUE(3141019)</f>
        <v>3141019</v>
      </c>
      <c r="C256">
        <f>VALUE(71130)</f>
        <v>71130</v>
      </c>
      <c r="D256">
        <f>VALUE(279488)</f>
        <v>279488</v>
      </c>
      <c r="E256">
        <f>VALUE(135434)</f>
        <v>135434</v>
      </c>
    </row>
    <row r="257" spans="1:5">
      <c r="A257" t="s">
        <v>10</v>
      </c>
      <c r="B257" t="s">
        <v>20</v>
      </c>
      <c r="C257" t="s">
        <v>20</v>
      </c>
      <c r="D257">
        <f>VALUE(20698)</f>
        <v>20698</v>
      </c>
      <c r="E257">
        <f>VALUE(42005)</f>
        <v>42005</v>
      </c>
    </row>
    <row r="258" spans="1:5">
      <c r="A258" t="s">
        <v>11</v>
      </c>
      <c r="B258">
        <f>VALUE(3141019)</f>
        <v>3141019</v>
      </c>
      <c r="C258">
        <f>VALUE(71130)</f>
        <v>71130</v>
      </c>
      <c r="D258">
        <f>VALUE(279488)</f>
        <v>279488</v>
      </c>
      <c r="E258">
        <f>VALUE(135434)</f>
        <v>135434</v>
      </c>
    </row>
    <row r="259" spans="1:5">
      <c r="A259" t="s">
        <v>12</v>
      </c>
      <c r="B259">
        <f>VALUE(3878476)</f>
        <v>3878476</v>
      </c>
      <c r="C259">
        <f>VALUE(9535)</f>
        <v>9535</v>
      </c>
      <c r="D259">
        <f>VALUE(3035302)</f>
        <v>3035302</v>
      </c>
      <c r="E259">
        <f>VALUE(2229616)</f>
        <v>2229616</v>
      </c>
    </row>
    <row r="260" spans="1:5">
      <c r="A260" t="s">
        <v>46</v>
      </c>
      <c r="B260">
        <f>VALUE(10032588)</f>
        <v>10032588</v>
      </c>
      <c r="C260">
        <f>VALUE(11448)</f>
        <v>11448</v>
      </c>
      <c r="D260">
        <f>VALUE(4791542)</f>
        <v>4791542</v>
      </c>
      <c r="E260">
        <f>VALUE(2870838)</f>
        <v>2870838</v>
      </c>
    </row>
    <row r="261" spans="1:5">
      <c r="A261" t="s">
        <v>13</v>
      </c>
      <c r="B261">
        <f>VALUE(18489052)</f>
        <v>18489052</v>
      </c>
      <c r="C261">
        <f>VALUE(125937)</f>
        <v>125937</v>
      </c>
      <c r="D261">
        <f>VALUE(9223878)</f>
        <v>9223878</v>
      </c>
      <c r="E261">
        <f>VALUE(5656641)</f>
        <v>5656641</v>
      </c>
    </row>
    <row r="262" spans="1:5">
      <c r="A262" t="s">
        <v>14</v>
      </c>
      <c r="B262"/>
      <c r="C262"/>
      <c r="D262"/>
      <c r="E262"/>
    </row>
    <row r="263" spans="1:5">
      <c r="A263" t="s">
        <v>15</v>
      </c>
      <c r="B263"/>
      <c r="C263"/>
      <c r="D263"/>
      <c r="E263"/>
    </row>
    <row r="264" spans="1:5">
      <c r="A264" t="s">
        <v>16</v>
      </c>
      <c r="B264">
        <f>VALUE(37158966)</f>
        <v>37158966</v>
      </c>
      <c r="C264">
        <f>VALUE(0)</f>
        <v>0</v>
      </c>
      <c r="D264">
        <f>VALUE(17553056)</f>
        <v>17553056</v>
      </c>
      <c r="E264">
        <f>VALUE(3707296)</f>
        <v>3707296</v>
      </c>
    </row>
    <row r="265" spans="1:5">
      <c r="A265" t="s">
        <v>17</v>
      </c>
      <c r="B265">
        <f>VALUE(-24619196)</f>
        <v>-24619196</v>
      </c>
      <c r="C265">
        <f>VALUE(0)</f>
        <v>0</v>
      </c>
      <c r="D265">
        <f>VALUE(-10840773)</f>
        <v>-10840773</v>
      </c>
      <c r="E265">
        <f>VALUE(-1591084)</f>
        <v>-1591084</v>
      </c>
    </row>
    <row r="266" spans="1:5">
      <c r="A266" t="s">
        <v>18</v>
      </c>
      <c r="B266">
        <f>VALUE(12539770)</f>
        <v>12539770</v>
      </c>
      <c r="C266">
        <f>VALUE(0)</f>
        <v>0</v>
      </c>
      <c r="D266">
        <f>VALUE(6712283)</f>
        <v>6712283</v>
      </c>
      <c r="E266">
        <f>VALUE(2116212)</f>
        <v>2116212</v>
      </c>
    </row>
    <row r="267" spans="1:5">
      <c r="A267" t="s">
        <v>48</v>
      </c>
      <c r="B267">
        <f>VALUE(1544011)</f>
        <v>1544011</v>
      </c>
      <c r="C267" t="s">
        <v>20</v>
      </c>
      <c r="D267">
        <f>VALUE(737249)</f>
        <v>737249</v>
      </c>
      <c r="E267">
        <f>VALUE(94820)</f>
        <v>94820</v>
      </c>
    </row>
    <row r="268" spans="1:5">
      <c r="A268" t="s">
        <v>49</v>
      </c>
      <c r="B268">
        <f>VALUE(526585)</f>
        <v>526585</v>
      </c>
      <c r="C268" t="s">
        <v>20</v>
      </c>
      <c r="D268">
        <f>VALUE(147825)</f>
        <v>147825</v>
      </c>
      <c r="E268">
        <f>VALUE(73098)</f>
        <v>73098</v>
      </c>
    </row>
    <row r="269" spans="1:5">
      <c r="A269" t="s">
        <v>19</v>
      </c>
      <c r="B269">
        <f>VALUE(874503)</f>
        <v>874503</v>
      </c>
      <c r="C269">
        <f>VALUE(3)</f>
        <v>3</v>
      </c>
      <c r="D269">
        <f>VALUE(2348)</f>
        <v>2348</v>
      </c>
      <c r="E269">
        <f>VALUE(1886)</f>
        <v>1886</v>
      </c>
    </row>
    <row r="270" spans="1:5">
      <c r="A270" t="s">
        <v>21</v>
      </c>
      <c r="B270">
        <f>VALUE(17238686)</f>
        <v>17238686</v>
      </c>
      <c r="C270">
        <f>VALUE(267784)</f>
        <v>267784</v>
      </c>
      <c r="D270">
        <f>VALUE(8325326)</f>
        <v>8325326</v>
      </c>
      <c r="E270">
        <f>VALUE(3146216)</f>
        <v>3146216</v>
      </c>
    </row>
    <row r="271" spans="1:5">
      <c r="A271" t="s">
        <v>22</v>
      </c>
      <c r="B271">
        <f>VALUE(35727738)</f>
        <v>35727738</v>
      </c>
      <c r="C271">
        <f>VALUE(393721)</f>
        <v>393721</v>
      </c>
      <c r="D271">
        <f>VALUE(17549204)</f>
        <v>17549204</v>
      </c>
      <c r="E271">
        <f>VALUE(8802857)</f>
        <v>8802857</v>
      </c>
    </row>
    <row r="272" spans="1:5">
      <c r="A272" t="s">
        <v>23</v>
      </c>
      <c r="B272"/>
      <c r="C272"/>
      <c r="D272"/>
      <c r="E272"/>
    </row>
    <row r="273" spans="1:5">
      <c r="A273" t="s">
        <v>24</v>
      </c>
      <c r="B273"/>
      <c r="C273"/>
      <c r="D273"/>
      <c r="E273"/>
    </row>
    <row r="274" spans="1:5">
      <c r="A274" t="s">
        <v>25</v>
      </c>
      <c r="B274"/>
      <c r="C274"/>
      <c r="D274"/>
      <c r="E274"/>
    </row>
    <row r="275" spans="1:5">
      <c r="A275" t="s">
        <v>26</v>
      </c>
      <c r="B275">
        <f>VALUE(6509243)</f>
        <v>6509243</v>
      </c>
      <c r="C275" t="s">
        <v>20</v>
      </c>
      <c r="D275">
        <f>VALUE(2852648)</f>
        <v>2852648</v>
      </c>
      <c r="E275">
        <f>VALUE(1359947)</f>
        <v>1359947</v>
      </c>
    </row>
    <row r="276" spans="1:5">
      <c r="A276" t="s">
        <v>27</v>
      </c>
      <c r="B276">
        <f>VALUE(5395680)</f>
        <v>5395680</v>
      </c>
      <c r="C276">
        <f>VALUE(13618)</f>
        <v>13618</v>
      </c>
      <c r="D276">
        <f>VALUE(2083922)</f>
        <v>2083922</v>
      </c>
      <c r="E276">
        <f>VALUE(1499231)</f>
        <v>1499231</v>
      </c>
    </row>
    <row r="277" spans="1:5">
      <c r="A277" t="s">
        <v>28</v>
      </c>
      <c r="B277">
        <f>VALUE(88765)</f>
        <v>88765</v>
      </c>
      <c r="C277">
        <f>VALUE(29134)</f>
        <v>29134</v>
      </c>
      <c r="D277">
        <f>VALUE(52779)</f>
        <v>52779</v>
      </c>
      <c r="E277">
        <f>VALUE(28249)</f>
        <v>28249</v>
      </c>
    </row>
    <row r="278" spans="1:5">
      <c r="A278" t="s">
        <v>29</v>
      </c>
      <c r="B278">
        <f>VALUE(13892310)</f>
        <v>13892310</v>
      </c>
      <c r="C278">
        <f>VALUE(57813)</f>
        <v>57813</v>
      </c>
      <c r="D278">
        <f>VALUE(6116829)</f>
        <v>6116829</v>
      </c>
      <c r="E278">
        <f>VALUE(3553827)</f>
        <v>3553827</v>
      </c>
    </row>
    <row r="279" spans="1:5">
      <c r="A279" t="s">
        <v>30</v>
      </c>
      <c r="B279"/>
      <c r="C279"/>
      <c r="D279"/>
      <c r="E279"/>
    </row>
    <row r="280" spans="1:5">
      <c r="A280" t="s">
        <v>31</v>
      </c>
      <c r="B280">
        <f>VALUE(5390334)</f>
        <v>5390334</v>
      </c>
      <c r="C280" t="s">
        <v>20</v>
      </c>
      <c r="D280">
        <f>VALUE(4558092)</f>
        <v>4558092</v>
      </c>
      <c r="E280">
        <f>VALUE(2467653)</f>
        <v>2467653</v>
      </c>
    </row>
    <row r="281" spans="1:5">
      <c r="A281" t="s">
        <v>32</v>
      </c>
      <c r="B281">
        <f>VALUE(3198968)</f>
        <v>3198968</v>
      </c>
      <c r="C281" t="s">
        <v>20</v>
      </c>
      <c r="D281">
        <f>VALUE(1107389)</f>
        <v>1107389</v>
      </c>
      <c r="E281">
        <f>VALUE(166053)</f>
        <v>166053</v>
      </c>
    </row>
    <row r="282" spans="1:5">
      <c r="A282" t="s">
        <v>51</v>
      </c>
      <c r="B282">
        <f>VALUE(480928)</f>
        <v>480928</v>
      </c>
      <c r="C282" t="s">
        <v>20</v>
      </c>
      <c r="D282" t="s">
        <v>20</v>
      </c>
      <c r="E282" t="s">
        <v>20</v>
      </c>
    </row>
    <row r="283" spans="1:5">
      <c r="A283" t="s">
        <v>34</v>
      </c>
      <c r="B283">
        <f>VALUE(9587137)</f>
        <v>9587137</v>
      </c>
      <c r="C283">
        <f>VALUE(6243)</f>
        <v>6243</v>
      </c>
      <c r="D283">
        <f>VALUE(5747919)</f>
        <v>5747919</v>
      </c>
      <c r="E283">
        <f>VALUE(2732846)</f>
        <v>2732846</v>
      </c>
    </row>
    <row r="284" spans="1:5">
      <c r="A284" t="s">
        <v>35</v>
      </c>
      <c r="B284">
        <f>VALUE(23479447)</f>
        <v>23479447</v>
      </c>
      <c r="C284">
        <f>VALUE(64056)</f>
        <v>64056</v>
      </c>
      <c r="D284">
        <f>VALUE(11864748)</f>
        <v>11864748</v>
      </c>
      <c r="E284">
        <f>VALUE(6286673)</f>
        <v>6286673</v>
      </c>
    </row>
    <row r="285" spans="1:5">
      <c r="A285" t="s">
        <v>36</v>
      </c>
      <c r="B285"/>
      <c r="C285"/>
      <c r="D285"/>
      <c r="E285"/>
    </row>
    <row r="286" spans="1:5">
      <c r="A286" t="s">
        <v>37</v>
      </c>
      <c r="B286">
        <f>VALUE(201415)</f>
        <v>201415</v>
      </c>
      <c r="C286">
        <f>VALUE(253258)</f>
        <v>253258</v>
      </c>
      <c r="D286">
        <f>VALUE(201415)</f>
        <v>201415</v>
      </c>
      <c r="E286">
        <f>VALUE(201415)</f>
        <v>201415</v>
      </c>
    </row>
    <row r="287" spans="1:5">
      <c r="A287" t="s">
        <v>38</v>
      </c>
      <c r="B287">
        <f>VALUE(1745812)</f>
        <v>1745812</v>
      </c>
      <c r="C287">
        <f>VALUE(1170843)</f>
        <v>1170843</v>
      </c>
      <c r="D287">
        <f>VALUE(-3588849)</f>
        <v>-3588849</v>
      </c>
      <c r="E287">
        <f>VALUE(-187430)</f>
        <v>-187430</v>
      </c>
    </row>
    <row r="288" spans="1:5">
      <c r="A288" t="s">
        <v>39</v>
      </c>
      <c r="B288">
        <f>VALUE(12248291)</f>
        <v>12248291</v>
      </c>
      <c r="C288">
        <f>VALUE(329665)</f>
        <v>329665</v>
      </c>
      <c r="D288">
        <f>VALUE(5684456)</f>
        <v>5684456</v>
      </c>
      <c r="E288">
        <f>VALUE(2516184)</f>
        <v>2516184</v>
      </c>
    </row>
    <row r="289" spans="1:5">
      <c r="A289" t="s">
        <v>40</v>
      </c>
      <c r="B289">
        <f>VALUE(35727738)</f>
        <v>35727738</v>
      </c>
      <c r="C289">
        <f>VALUE(393721)</f>
        <v>393721</v>
      </c>
      <c r="D289">
        <f>VALUE(17549204)</f>
        <v>17549204</v>
      </c>
      <c r="E289">
        <f>VALUE(8802857)</f>
        <v>8802857</v>
      </c>
    </row>
    <row r="291" spans="1:5">
      <c r="A291" t="s">
        <v>66</v>
      </c>
    </row>
    <row r="292" spans="1:5">
      <c r="A292" t="s">
        <v>1</v>
      </c>
      <c r="B292" t="s">
        <v>2</v>
      </c>
      <c r="C292" t="s">
        <v>3</v>
      </c>
      <c r="D292" t="s">
        <v>4</v>
      </c>
      <c r="E292" t="s">
        <v>5</v>
      </c>
    </row>
    <row r="293" spans="1:5">
      <c r="A293" t="s">
        <v>6</v>
      </c>
      <c r="B293"/>
      <c r="C293"/>
      <c r="D293"/>
      <c r="E293"/>
    </row>
    <row r="294" spans="1:5">
      <c r="A294" t="s">
        <v>7</v>
      </c>
      <c r="B294"/>
      <c r="C294"/>
      <c r="D294"/>
      <c r="E294"/>
    </row>
    <row r="295" spans="1:5">
      <c r="A295" t="s">
        <v>8</v>
      </c>
      <c r="B295"/>
      <c r="C295"/>
      <c r="D295"/>
      <c r="E295"/>
    </row>
    <row r="296" spans="1:5">
      <c r="A296" t="s">
        <v>9</v>
      </c>
      <c r="B296">
        <f>VALUE(3082052)</f>
        <v>3082052</v>
      </c>
      <c r="C296">
        <f>VALUE(2123765)</f>
        <v>2123765</v>
      </c>
      <c r="D296">
        <f>VALUE(2342047)</f>
        <v>2342047</v>
      </c>
      <c r="E296">
        <f>VALUE(475496)</f>
        <v>475496</v>
      </c>
    </row>
    <row r="297" spans="1:5">
      <c r="A297" t="s">
        <v>10</v>
      </c>
      <c r="B297">
        <f>VALUE(1263472)</f>
        <v>1263472</v>
      </c>
      <c r="C297">
        <f>VALUE(1803757)</f>
        <v>1803757</v>
      </c>
      <c r="D297">
        <f>VALUE(2813816)</f>
        <v>2813816</v>
      </c>
      <c r="E297">
        <f>VALUE(126636)</f>
        <v>126636</v>
      </c>
    </row>
    <row r="298" spans="1:5">
      <c r="A298" t="s">
        <v>11</v>
      </c>
      <c r="B298">
        <f>VALUE(4345524)</f>
        <v>4345524</v>
      </c>
      <c r="C298">
        <f>VALUE(3927522)</f>
        <v>3927522</v>
      </c>
      <c r="D298">
        <f>VALUE(5155863)</f>
        <v>5155863</v>
      </c>
      <c r="E298">
        <f>VALUE(602132)</f>
        <v>602132</v>
      </c>
    </row>
    <row r="299" spans="1:5">
      <c r="A299" t="s">
        <v>12</v>
      </c>
      <c r="B299">
        <f>VALUE(2347873)</f>
        <v>2347873</v>
      </c>
      <c r="C299">
        <f>VALUE(2955785)</f>
        <v>2955785</v>
      </c>
      <c r="D299">
        <f>VALUE(1426635)</f>
        <v>1426635</v>
      </c>
      <c r="E299">
        <f>VALUE(900318)</f>
        <v>900318</v>
      </c>
    </row>
    <row r="300" spans="1:5">
      <c r="A300" t="s">
        <v>46</v>
      </c>
      <c r="B300">
        <f>VALUE(149687)</f>
        <v>149687</v>
      </c>
      <c r="C300">
        <f>VALUE(170159)</f>
        <v>170159</v>
      </c>
      <c r="D300">
        <f>VALUE(55758)</f>
        <v>55758</v>
      </c>
      <c r="E300">
        <f>VALUE(36848)</f>
        <v>36848</v>
      </c>
    </row>
    <row r="301" spans="1:5">
      <c r="A301" t="s">
        <v>13</v>
      </c>
      <c r="B301">
        <f>VALUE(7353195)</f>
        <v>7353195</v>
      </c>
      <c r="C301">
        <f>VALUE(7565457)</f>
        <v>7565457</v>
      </c>
      <c r="D301">
        <f>VALUE(6941638)</f>
        <v>6941638</v>
      </c>
      <c r="E301">
        <f>VALUE(1637532)</f>
        <v>1637532</v>
      </c>
    </row>
    <row r="302" spans="1:5">
      <c r="A302" t="s">
        <v>14</v>
      </c>
      <c r="B302"/>
      <c r="C302"/>
      <c r="D302"/>
      <c r="E302"/>
    </row>
    <row r="303" spans="1:5">
      <c r="A303" t="s">
        <v>15</v>
      </c>
      <c r="B303"/>
      <c r="C303"/>
      <c r="D303"/>
      <c r="E303"/>
    </row>
    <row r="304" spans="1:5">
      <c r="A304" t="s">
        <v>16</v>
      </c>
      <c r="B304">
        <f>VALUE(62030603)</f>
        <v>62030603</v>
      </c>
      <c r="C304">
        <f>VALUE(55766251)</f>
        <v>55766251</v>
      </c>
      <c r="D304">
        <f>VALUE(39636829)</f>
        <v>39636829</v>
      </c>
      <c r="E304">
        <f>VALUE(24159726)</f>
        <v>24159726</v>
      </c>
    </row>
    <row r="305" spans="1:5">
      <c r="A305" t="s">
        <v>17</v>
      </c>
      <c r="B305">
        <f>VALUE(-9103327)</f>
        <v>-9103327</v>
      </c>
      <c r="C305">
        <f>VALUE(-6713692)</f>
        <v>-6713692</v>
      </c>
      <c r="D305">
        <f>VALUE(-4077985)</f>
        <v>-4077985</v>
      </c>
      <c r="E305">
        <f>VALUE(-2463555)</f>
        <v>-2463555</v>
      </c>
    </row>
    <row r="306" spans="1:5">
      <c r="A306" t="s">
        <v>18</v>
      </c>
      <c r="B306">
        <f>VALUE(52927276)</f>
        <v>52927276</v>
      </c>
      <c r="C306">
        <f>VALUE(49052559)</f>
        <v>49052559</v>
      </c>
      <c r="D306">
        <f>VALUE(35558844)</f>
        <v>35558844</v>
      </c>
      <c r="E306">
        <f>VALUE(21696171)</f>
        <v>21696171</v>
      </c>
    </row>
    <row r="307" spans="1:5">
      <c r="A307" t="s">
        <v>19</v>
      </c>
      <c r="B307">
        <f>VALUE(1462994)</f>
        <v>1462994</v>
      </c>
      <c r="C307">
        <f>VALUE(844112)</f>
        <v>844112</v>
      </c>
      <c r="D307">
        <f>VALUE(497049)</f>
        <v>497049</v>
      </c>
      <c r="E307">
        <f>VALUE(98353)</f>
        <v>98353</v>
      </c>
    </row>
    <row r="308" spans="1:5">
      <c r="A308" t="s">
        <v>21</v>
      </c>
      <c r="B308">
        <f>VALUE(66434274)</f>
        <v>66434274</v>
      </c>
      <c r="C308">
        <f>VALUE(55073014)</f>
        <v>55073014</v>
      </c>
      <c r="D308">
        <f>VALUE(39327977)</f>
        <v>39327977</v>
      </c>
      <c r="E308">
        <f>VALUE(23422379)</f>
        <v>23422379</v>
      </c>
    </row>
    <row r="309" spans="1:5">
      <c r="A309" t="s">
        <v>22</v>
      </c>
      <c r="B309">
        <f>VALUE(73787469)</f>
        <v>73787469</v>
      </c>
      <c r="C309">
        <f>VALUE(62638471)</f>
        <v>62638471</v>
      </c>
      <c r="D309">
        <f>VALUE(46269615)</f>
        <v>46269615</v>
      </c>
      <c r="E309">
        <f>VALUE(25059911)</f>
        <v>25059911</v>
      </c>
    </row>
    <row r="310" spans="1:5">
      <c r="A310" t="s">
        <v>23</v>
      </c>
      <c r="B310"/>
      <c r="C310"/>
      <c r="D310"/>
      <c r="E310"/>
    </row>
    <row r="311" spans="1:5">
      <c r="A311" t="s">
        <v>24</v>
      </c>
      <c r="B311"/>
      <c r="C311"/>
      <c r="D311"/>
      <c r="E311"/>
    </row>
    <row r="312" spans="1:5">
      <c r="A312" t="s">
        <v>25</v>
      </c>
      <c r="B312"/>
      <c r="C312"/>
      <c r="D312"/>
      <c r="E312"/>
    </row>
    <row r="313" spans="1:5">
      <c r="A313" t="s">
        <v>26</v>
      </c>
      <c r="B313">
        <f>VALUE(545552)</f>
        <v>545552</v>
      </c>
      <c r="C313">
        <f>VALUE(7239781)</f>
        <v>7239781</v>
      </c>
      <c r="D313">
        <f>VALUE(4243336)</f>
        <v>4243336</v>
      </c>
      <c r="E313">
        <f>VALUE(31250)</f>
        <v>31250</v>
      </c>
    </row>
    <row r="314" spans="1:5">
      <c r="A314" t="s">
        <v>27</v>
      </c>
      <c r="B314">
        <f>VALUE(1049004)</f>
        <v>1049004</v>
      </c>
      <c r="C314">
        <f>VALUE(1011896)</f>
        <v>1011896</v>
      </c>
      <c r="D314">
        <f>VALUE(89522)</f>
        <v>89522</v>
      </c>
      <c r="E314">
        <f>VALUE(116076)</f>
        <v>116076</v>
      </c>
    </row>
    <row r="315" spans="1:5">
      <c r="A315" t="s">
        <v>28</v>
      </c>
      <c r="B315">
        <f>VALUE(1070976)</f>
        <v>1070976</v>
      </c>
      <c r="C315">
        <f>VALUE(6033)</f>
        <v>6033</v>
      </c>
      <c r="D315">
        <f>VALUE(6704)</f>
        <v>6704</v>
      </c>
      <c r="E315">
        <f>VALUE(15831)</f>
        <v>15831</v>
      </c>
    </row>
    <row r="316" spans="1:5">
      <c r="A316" t="s">
        <v>29</v>
      </c>
      <c r="B316">
        <f>VALUE(4400778)</f>
        <v>4400778</v>
      </c>
      <c r="C316">
        <f>VALUE(10445744)</f>
        <v>10445744</v>
      </c>
      <c r="D316">
        <f>VALUE(6374543)</f>
        <v>6374543</v>
      </c>
      <c r="E316">
        <f>VALUE(781615)</f>
        <v>781615</v>
      </c>
    </row>
    <row r="317" spans="1:5">
      <c r="A317" t="s">
        <v>30</v>
      </c>
      <c r="B317"/>
      <c r="C317"/>
      <c r="D317"/>
      <c r="E317"/>
    </row>
    <row r="318" spans="1:5">
      <c r="A318" t="s">
        <v>31</v>
      </c>
      <c r="B318">
        <f>VALUE(4837853)</f>
        <v>4837853</v>
      </c>
      <c r="C318">
        <f>VALUE(0)</f>
        <v>0</v>
      </c>
      <c r="D318">
        <f>VALUE(4136620)</f>
        <v>4136620</v>
      </c>
      <c r="E318">
        <f>VALUE(4047412)</f>
        <v>4047412</v>
      </c>
    </row>
    <row r="319" spans="1:5">
      <c r="A319" t="s">
        <v>32</v>
      </c>
      <c r="B319">
        <f>VALUE(8769928)</f>
        <v>8769928</v>
      </c>
      <c r="C319">
        <f>VALUE(8934048)</f>
        <v>8934048</v>
      </c>
      <c r="D319">
        <f>VALUE(6406100)</f>
        <v>6406100</v>
      </c>
      <c r="E319">
        <f>VALUE(4993937)</f>
        <v>4993937</v>
      </c>
    </row>
    <row r="320" spans="1:5">
      <c r="A320" t="s">
        <v>33</v>
      </c>
      <c r="B320" t="s">
        <v>20</v>
      </c>
      <c r="C320" t="s">
        <v>20</v>
      </c>
      <c r="D320" t="s">
        <v>20</v>
      </c>
      <c r="E320">
        <f>VALUE(4993937)</f>
        <v>4993937</v>
      </c>
    </row>
    <row r="321" spans="1:5">
      <c r="A321" t="s">
        <v>51</v>
      </c>
      <c r="B321">
        <f>VALUE(488339)</f>
        <v>488339</v>
      </c>
      <c r="C321" t="s">
        <v>20</v>
      </c>
      <c r="D321">
        <f>VALUE(32709)</f>
        <v>32709</v>
      </c>
      <c r="E321">
        <f>VALUE(21061)</f>
        <v>21061</v>
      </c>
    </row>
    <row r="322" spans="1:5">
      <c r="A322" t="s">
        <v>34</v>
      </c>
      <c r="B322">
        <f>VALUE(14395803)</f>
        <v>14395803</v>
      </c>
      <c r="C322">
        <f>VALUE(9258575)</f>
        <v>9258575</v>
      </c>
      <c r="D322">
        <f>VALUE(10817819)</f>
        <v>10817819</v>
      </c>
      <c r="E322">
        <f>VALUE(9242855)</f>
        <v>9242855</v>
      </c>
    </row>
    <row r="323" spans="1:5">
      <c r="A323" t="s">
        <v>35</v>
      </c>
      <c r="B323">
        <f>VALUE(18796581)</f>
        <v>18796581</v>
      </c>
      <c r="C323">
        <f>VALUE(19704319)</f>
        <v>19704319</v>
      </c>
      <c r="D323">
        <f>VALUE(17192362)</f>
        <v>17192362</v>
      </c>
      <c r="E323">
        <f>VALUE(10024470)</f>
        <v>10024470</v>
      </c>
    </row>
    <row r="324" spans="1:5">
      <c r="A324" t="s">
        <v>36</v>
      </c>
      <c r="B324"/>
      <c r="C324"/>
      <c r="D324"/>
      <c r="E324"/>
    </row>
    <row r="325" spans="1:5">
      <c r="A325" t="s">
        <v>37</v>
      </c>
      <c r="B325">
        <f>VALUE(439374)</f>
        <v>439374</v>
      </c>
      <c r="C325">
        <f>VALUE(439374)</f>
        <v>439374</v>
      </c>
      <c r="D325">
        <f>VALUE(439374)</f>
        <v>439374</v>
      </c>
      <c r="E325">
        <f>VALUE(439374)</f>
        <v>439374</v>
      </c>
    </row>
    <row r="326" spans="1:5">
      <c r="A326" t="s">
        <v>38</v>
      </c>
      <c r="B326">
        <f>VALUE(5681319)</f>
        <v>5681319</v>
      </c>
      <c r="C326">
        <f>VALUE(7141804)</f>
        <v>7141804</v>
      </c>
      <c r="D326">
        <f>VALUE(5385238)</f>
        <v>5385238</v>
      </c>
      <c r="E326">
        <f>VALUE(455552)</f>
        <v>455552</v>
      </c>
    </row>
    <row r="327" spans="1:5">
      <c r="A327" t="s">
        <v>39</v>
      </c>
      <c r="B327">
        <f>VALUE(54990888)</f>
        <v>54990888</v>
      </c>
      <c r="C327">
        <f>VALUE(42934152)</f>
        <v>42934152</v>
      </c>
      <c r="D327">
        <f>VALUE(29077253)</f>
        <v>29077253</v>
      </c>
      <c r="E327">
        <f>VALUE(15035441)</f>
        <v>15035441</v>
      </c>
    </row>
    <row r="328" spans="1:5">
      <c r="A328" t="s">
        <v>40</v>
      </c>
      <c r="B328">
        <f>VALUE(73787469)</f>
        <v>73787469</v>
      </c>
      <c r="C328">
        <f>VALUE(62638471)</f>
        <v>62638471</v>
      </c>
      <c r="D328">
        <f>VALUE(46269615)</f>
        <v>46269615</v>
      </c>
      <c r="E328">
        <f>VALUE(25059911)</f>
        <v>25059911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2021-06-17T21:04:14+00:00</dcterms:created>
  <dcterms:modified xsi:type="dcterms:W3CDTF">2021-06-17T21:04:14+00:00</dcterms:modified>
  <dc:title>Untitled Spreadsheet</dc:title>
  <dc:description/>
  <dc:subject/>
  <cp:keywords/>
  <cp:category/>
</cp:coreProperties>
</file>