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<sst xmlns="http://schemas.openxmlformats.org/spreadsheetml/2006/main" uniqueCount="59">
  <si>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Compañía de Transporte de Energía Eléctrica en Alta Tensión Transener S.A. (TRAN.BA)</t>
  </si>
  <si>
    <t>Détails</t>
  </si>
  <si>
    <t>ttm</t>
  </si>
  <si>
    <t>31/12/2020</t>
  </si>
  <si>
    <t>31/12/2019</t>
  </si>
  <si>
    <t>31/12/2018</t>
  </si>
  <si>
    <t>31/12/2017</t>
  </si>
  <si>
    <t>Fluxdetrésorerieprovenantd’activitésd'exploitation</t>
  </si>
  <si>
    <t>Bénéficenet</t>
  </si>
  <si>
    <t>MARGE NET</t>
  </si>
  <si>
    <t>Dépréciationetamortissement</t>
  </si>
  <si>
    <t>Variationdufondsderoulement</t>
  </si>
  <si>
    <t>Autrefondsderoulement</t>
  </si>
  <si>
    <t>Autresélémentsnonmonétaires</t>
  </si>
  <si>
    <t>Trésorerienetteobtenueparlesactivitésd’exploitation</t>
  </si>
  <si>
    <t>Fluxdetrésorerieprovenantd’opérationsd’investissement</t>
  </si>
  <si>
    <t>Investissemententerrains,usinesetéquipements</t>
  </si>
  <si>
    <t>Acquisitionsnettes</t>
  </si>
  <si>
    <t>Achatd’investissements</t>
  </si>
  <si>
    <t>Ventes/échéancedesinvestissements</t>
  </si>
  <si>
    <t>Autresactivitésd’investissement</t>
  </si>
  <si>
    <t>Fluxnetdetrésorerieutilisépourlesactivitésd’investissement</t>
  </si>
  <si>
    <t>Variationdelatrésorerienette</t>
  </si>
  <si>
    <t>Trésorerieendébutdepériode</t>
  </si>
  <si>
    <t>Trésorerieenfindepériode</t>
  </si>
  <si>
    <t>Fluxdetrésoreriedisponible</t>
  </si>
  <si>
    <t>Fluxdetrésoreried’exploitation</t>
  </si>
  <si>
    <t>Dépensesd’investissement</t>
  </si>
  <si>
    <t>Cisco Systems, Inc. (CSCO.BA)</t>
  </si>
  <si>
    <t>31/07/2020</t>
  </si>
  <si>
    <t>31/07/2019</t>
  </si>
  <si>
    <t>31/07/2018</t>
  </si>
  <si>
    <t>31/07/2017</t>
  </si>
  <si>
    <t>Impôtssurlerevenudifférés</t>
  </si>
  <si>
    <t>Rémunérationàbased’actions</t>
  </si>
  <si>
    <t>Comptesdébiteurs</t>
  </si>
  <si>
    <t>Inventaire</t>
  </si>
  <si>
    <t>Créances</t>
  </si>
  <si>
    <t>Fluxdetrésorerieprovenantd’activitésfinancières</t>
  </si>
  <si>
    <t>Remboursementdedette</t>
  </si>
  <si>
    <t>Actionordinaireémise</t>
  </si>
  <si>
    <t>Actionordinairerachetée</t>
  </si>
  <si>
    <t>Dividendespayés</t>
  </si>
  <si>
    <t>Autresactivitésfinancières</t>
  </si>
  <si>
    <t>Trésorerienetteobtenuepar(utiliséepour)lesactivitésdefinancement</t>
  </si>
  <si>
    <t>Sociedad Comercial del Plata S.A. (COME.BA)</t>
  </si>
  <si>
    <t>Banco Hipotecario S.A. (BHIP.BA)</t>
  </si>
  <si>
    <t>Rigolleau S.A. (RIGO.BA)</t>
  </si>
  <si>
    <t>30/11/2020</t>
  </si>
  <si>
    <t>30/11/2019</t>
  </si>
  <si>
    <t>30/11/2018</t>
  </si>
  <si>
    <t>30/11/2017</t>
  </si>
  <si>
    <t>Ledesma Sociedad Anónima Agrícola Industrial (LEDE.BA)</t>
  </si>
  <si>
    <t>31/05/2020</t>
  </si>
  <si>
    <t>31/05/2019</t>
  </si>
  <si>
    <t>31/05/2018</t>
  </si>
  <si>
    <t>Grupo Clarín S.A. (GCLA.BA)</t>
  </si>
  <si>
    <t>64,666</t>
  </si>
  <si>
    <t>161,364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</si>
</sst>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7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9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9">
      <c r="A3" t="s">
        <v>7</v>
      </c>
      <c r="B3"/>
      <c r="C3"/>
      <c r="D3"/>
      <c r="E3"/>
      <c r="F3"/>
    </row>
    <row r="4" spans="1:9">
      <c r="A4" t="s">
        <v>8</v>
      </c>
      <c r="B4">
        <f>VALUE(3110033)</f>
        <v>3110033</v>
      </c>
      <c r="C4">
        <f>VALUE(4163511)</f>
        <v>4163511</v>
      </c>
      <c r="D4">
        <f>VALUE(3984877)</f>
        <v>3984877</v>
      </c>
      <c r="E4">
        <f>VALUE(3054935)</f>
        <v>3054935</v>
      </c>
      <c r="F4">
        <f>VALUE(2282093)</f>
        <v>2282093</v>
      </c>
      <c r="I4" t="s">
        <v>9</v>
      </c>
    </row>
    <row r="5" spans="1:9">
      <c r="A5" t="s">
        <v>10</v>
      </c>
      <c r="B5">
        <f>VALUE(1802460)</f>
        <v>1802460</v>
      </c>
      <c r="C5">
        <f>VALUE(1749096)</f>
        <v>1749096</v>
      </c>
      <c r="D5">
        <f>VALUE(1127762)</f>
        <v>1127762</v>
      </c>
      <c r="E5">
        <f>VALUE(678141)</f>
        <v>678141</v>
      </c>
      <c r="F5">
        <f>VALUE(113091)</f>
        <v>113091</v>
      </c>
    </row>
    <row r="6" spans="1:9">
      <c r="A6" t="s">
        <v>11</v>
      </c>
      <c r="B6">
        <f>VALUE(364769)</f>
        <v>364769</v>
      </c>
      <c r="C6">
        <f>VALUE(23500)</f>
        <v>23500</v>
      </c>
      <c r="D6">
        <f>VALUE(1859420)</f>
        <v>1859420</v>
      </c>
      <c r="E6">
        <f>VALUE(1208465)</f>
        <v>1208465</v>
      </c>
      <c r="F6">
        <f>VALUE(1210278)</f>
        <v>1210278</v>
      </c>
    </row>
    <row r="7" spans="1:9">
      <c r="A7" t="s">
        <v>12</v>
      </c>
      <c r="B7">
        <f>VALUE(2901099)</f>
        <v>2901099</v>
      </c>
      <c r="C7">
        <f>VALUE(4033835)</f>
        <v>4033835</v>
      </c>
      <c r="D7">
        <f>VALUE(2885396)</f>
        <v>2885396</v>
      </c>
      <c r="E7">
        <f>VALUE(1193438)</f>
        <v>1193438</v>
      </c>
      <c r="F7">
        <f>VALUE(1231845)</f>
        <v>1231845</v>
      </c>
    </row>
    <row r="8" spans="1:9">
      <c r="A8" t="s">
        <v>13</v>
      </c>
      <c r="B8">
        <f>VALUE(596271)</f>
        <v>596271</v>
      </c>
      <c r="C8">
        <f>VALUE(1330394)</f>
        <v>1330394</v>
      </c>
      <c r="D8">
        <f>VALUE(948624)</f>
        <v>948624</v>
      </c>
      <c r="E8">
        <f>VALUE(147069)</f>
        <v>147069</v>
      </c>
      <c r="F8">
        <f>VALUE(152597)</f>
        <v>152597</v>
      </c>
    </row>
    <row r="9" spans="1:9">
      <c r="A9" t="s">
        <v>14</v>
      </c>
      <c r="B9">
        <f>VALUE(5939792)</f>
        <v>5939792</v>
      </c>
      <c r="C9">
        <f>VALUE(7563176)</f>
        <v>7563176</v>
      </c>
      <c r="D9">
        <f>VALUE(6237268)</f>
        <v>6237268</v>
      </c>
      <c r="E9">
        <f>VALUE(3856019)</f>
        <v>3856019</v>
      </c>
      <c r="F9">
        <f>VALUE(1938093)</f>
        <v>1938093</v>
      </c>
    </row>
    <row r="10" spans="1:9">
      <c r="A10" t="s">
        <v>15</v>
      </c>
      <c r="B10"/>
      <c r="C10"/>
      <c r="D10"/>
      <c r="E10"/>
      <c r="F10"/>
    </row>
    <row r="11" spans="1:9">
      <c r="A11" t="s">
        <v>16</v>
      </c>
      <c r="B11">
        <f>VALUE(3038693)</f>
        <v>3038693</v>
      </c>
      <c r="C11">
        <f>VALUE(3529341)</f>
        <v>3529341</v>
      </c>
      <c r="D11">
        <f>VALUE(3351872)</f>
        <v>3351872</v>
      </c>
      <c r="E11">
        <f>VALUE(2662581)</f>
        <v>2662581</v>
      </c>
      <c r="F11">
        <f>VALUE(706248)</f>
        <v>706248</v>
      </c>
    </row>
    <row r="12" spans="1:9">
      <c r="A12" t="s">
        <v>17</v>
      </c>
      <c r="B12"/>
      <c r="C12">
        <f>VALUE(0)</f>
        <v>0</v>
      </c>
      <c r="D12"/>
      <c r="E12"/>
      <c r="F12"/>
    </row>
    <row r="13" spans="1:9">
      <c r="A13" t="s">
        <v>18</v>
      </c>
      <c r="B13"/>
      <c r="C13">
        <f>VALUE(2023942)</f>
        <v>2023942</v>
      </c>
      <c r="D13"/>
      <c r="E13"/>
      <c r="F13">
        <f>VALUE(2049234)</f>
        <v>2049234</v>
      </c>
    </row>
    <row r="14" spans="1:9">
      <c r="A14" t="s">
        <v>19</v>
      </c>
      <c r="B14"/>
      <c r="C14"/>
      <c r="D14"/>
      <c r="E14">
        <f>VALUE(3167644)</f>
        <v>3167644</v>
      </c>
      <c r="F14"/>
    </row>
    <row r="15" spans="1:9">
      <c r="A15" t="s">
        <v>20</v>
      </c>
      <c r="B15">
        <f>VALUE(216606)</f>
        <v>216606</v>
      </c>
      <c r="C15">
        <f>VALUE(230446)</f>
        <v>230446</v>
      </c>
      <c r="D15">
        <f>VALUE(373691)</f>
        <v>373691</v>
      </c>
      <c r="E15">
        <f>VALUE(37216)</f>
        <v>37216</v>
      </c>
      <c r="F15"/>
    </row>
    <row r="16" spans="1:9">
      <c r="A16" t="s">
        <v>21</v>
      </c>
      <c r="B16">
        <f>VALUE(4117470)</f>
        <v>4117470</v>
      </c>
      <c r="C16">
        <f>VALUE(5783729)</f>
        <v>5783729</v>
      </c>
      <c r="D16">
        <f>VALUE(4758843)</f>
        <v>4758843</v>
      </c>
      <c r="E16">
        <f>VALUE(467847)</f>
        <v>467847</v>
      </c>
      <c r="F16">
        <f>VALUE(2755482)</f>
        <v>2755482</v>
      </c>
    </row>
    <row r="17" spans="1:9">
      <c r="A17" t="s">
        <v>22</v>
      </c>
      <c r="B17">
        <f>VALUE(1005233)</f>
        <v>1005233</v>
      </c>
      <c r="C17">
        <f>VALUE(999790)</f>
        <v>999790</v>
      </c>
      <c r="D17">
        <f>VALUE(4066734)</f>
        <v>4066734</v>
      </c>
      <c r="E17">
        <f>VALUE(2527082)</f>
        <v>2527082</v>
      </c>
      <c r="F17">
        <f>VALUE(41341)</f>
        <v>41341</v>
      </c>
    </row>
    <row r="18" spans="1:9">
      <c r="A18" t="s">
        <v>23</v>
      </c>
      <c r="B18">
        <f>VALUE(66596)</f>
        <v>66596</v>
      </c>
      <c r="C18">
        <f>VALUE(60506)</f>
        <v>60506</v>
      </c>
      <c r="D18">
        <f>VALUE(4278981)</f>
        <v>4278981</v>
      </c>
      <c r="E18">
        <f>VALUE(37189)</f>
        <v>37189</v>
      </c>
      <c r="F18">
        <f>VALUE(66523)</f>
        <v>66523</v>
      </c>
    </row>
    <row r="19" spans="1:9">
      <c r="A19" t="s">
        <v>24</v>
      </c>
      <c r="B19">
        <f>VALUE(1071829)</f>
        <v>1071829</v>
      </c>
      <c r="C19">
        <f>VALUE(901643)</f>
        <v>901643</v>
      </c>
      <c r="D19">
        <f>VALUE(44443)</f>
        <v>44443</v>
      </c>
      <c r="E19">
        <f>VALUE(2782264)</f>
        <v>2782264</v>
      </c>
      <c r="F19">
        <f>VALUE(25182)</f>
        <v>25182</v>
      </c>
    </row>
    <row r="20" spans="1:9">
      <c r="A20" t="s">
        <v>25</v>
      </c>
      <c r="B20"/>
      <c r="C20"/>
      <c r="D20"/>
      <c r="E20"/>
      <c r="F20"/>
    </row>
    <row r="21" spans="1:9">
      <c r="A21" t="s">
        <v>26</v>
      </c>
      <c r="B21">
        <f>VALUE(5939792)</f>
        <v>5939792</v>
      </c>
      <c r="C21">
        <f>VALUE(7563176)</f>
        <v>7563176</v>
      </c>
      <c r="D21">
        <f>VALUE(6237268)</f>
        <v>6237268</v>
      </c>
      <c r="E21">
        <f>VALUE(3856019)</f>
        <v>3856019</v>
      </c>
      <c r="F21">
        <f>VALUE(1938093)</f>
        <v>1938093</v>
      </c>
    </row>
    <row r="22" spans="1:9">
      <c r="A22" t="s">
        <v>27</v>
      </c>
      <c r="B22">
        <f>VALUE(3038693)</f>
        <v>3038693</v>
      </c>
      <c r="C22">
        <f>VALUE(3529341)</f>
        <v>3529341</v>
      </c>
      <c r="D22">
        <f>VALUE(3351872)</f>
        <v>3351872</v>
      </c>
      <c r="E22">
        <f>VALUE(2662581)</f>
        <v>2662581</v>
      </c>
      <c r="F22">
        <f>VALUE(706248)</f>
        <v>706248</v>
      </c>
    </row>
    <row r="23" spans="1:9">
      <c r="A23" t="s">
        <v>25</v>
      </c>
      <c r="B23">
        <f>VALUE(2901099)</f>
        <v>2901099</v>
      </c>
      <c r="C23">
        <f>VALUE(4033835)</f>
        <v>4033835</v>
      </c>
      <c r="D23">
        <f>VALUE(2885396)</f>
        <v>2885396</v>
      </c>
      <c r="E23">
        <f>VALUE(1193438)</f>
        <v>1193438</v>
      </c>
      <c r="F23">
        <f>VALUE(1231845)</f>
        <v>1231845</v>
      </c>
    </row>
    <row r="25" spans="1:9">
      <c r="A25" t="s">
        <v>28</v>
      </c>
    </row>
    <row r="26" spans="1:9">
      <c r="A26" t="s">
        <v>1</v>
      </c>
      <c r="B26" t="s">
        <v>2</v>
      </c>
      <c r="C26" t="s">
        <v>29</v>
      </c>
      <c r="D26" t="s">
        <v>30</v>
      </c>
      <c r="E26" t="s">
        <v>31</v>
      </c>
      <c r="F26" t="s">
        <v>32</v>
      </c>
    </row>
    <row r="27" spans="1:9">
      <c r="A27" t="s">
        <v>7</v>
      </c>
      <c r="B27"/>
      <c r="C27"/>
      <c r="D27"/>
      <c r="E27"/>
      <c r="F27"/>
    </row>
    <row r="28" spans="1:9">
      <c r="A28" t="s">
        <v>8</v>
      </c>
      <c r="B28">
        <f>VALUE(10218000)</f>
        <v>10218000</v>
      </c>
      <c r="C28">
        <f>VALUE(11214000)</f>
        <v>11214000</v>
      </c>
      <c r="D28">
        <f>VALUE(11621000)</f>
        <v>11621000</v>
      </c>
      <c r="E28">
        <f>VALUE(110000)</f>
        <v>110000</v>
      </c>
      <c r="F28">
        <f>VALUE(9609000)</f>
        <v>9609000</v>
      </c>
      <c r="I28" t="s">
        <v>9</v>
      </c>
    </row>
    <row r="29" spans="1:9">
      <c r="A29" t="s">
        <v>10</v>
      </c>
      <c r="B29">
        <f>VALUE(1817000)</f>
        <v>1817000</v>
      </c>
      <c r="C29">
        <f>VALUE(1808000)</f>
        <v>1808000</v>
      </c>
      <c r="D29">
        <f>VALUE(1897000)</f>
        <v>1897000</v>
      </c>
      <c r="E29">
        <f>VALUE(2192000)</f>
        <v>2192000</v>
      </c>
      <c r="F29">
        <f>VALUE(2286000)</f>
        <v>2286000</v>
      </c>
    </row>
    <row r="30" spans="1:9">
      <c r="A30" t="s">
        <v>33</v>
      </c>
      <c r="B30">
        <f>VALUE(230000)</f>
        <v>230000</v>
      </c>
      <c r="C30">
        <f>VALUE(38000)</f>
        <v>38000</v>
      </c>
      <c r="D30">
        <f>VALUE(350000)</f>
        <v>350000</v>
      </c>
      <c r="E30">
        <f>VALUE(900000)</f>
        <v>900000</v>
      </c>
      <c r="F30">
        <f>VALUE(124000)</f>
        <v>124000</v>
      </c>
    </row>
    <row r="31" spans="1:9">
      <c r="A31" t="s">
        <v>34</v>
      </c>
      <c r="B31">
        <f>VALUE(1736000)</f>
        <v>1736000</v>
      </c>
      <c r="C31">
        <f>VALUE(1569000)</f>
        <v>1569000</v>
      </c>
      <c r="D31">
        <f>VALUE(1570000)</f>
        <v>1570000</v>
      </c>
      <c r="E31">
        <f>VALUE(1576000)</f>
        <v>1576000</v>
      </c>
      <c r="F31">
        <f>VALUE(1526000)</f>
        <v>1526000</v>
      </c>
    </row>
    <row r="32" spans="1:9">
      <c r="A32" t="s">
        <v>11</v>
      </c>
      <c r="B32">
        <f>VALUE(1336000)</f>
        <v>1336000</v>
      </c>
      <c r="C32">
        <f>VALUE(918000)</f>
        <v>918000</v>
      </c>
      <c r="D32">
        <f>VALUE(1077000)</f>
        <v>1077000</v>
      </c>
      <c r="E32">
        <f>VALUE(9344000)</f>
        <v>9344000</v>
      </c>
      <c r="F32">
        <f>VALUE(586000)</f>
        <v>586000</v>
      </c>
    </row>
    <row r="33" spans="1:9">
      <c r="A33" t="s">
        <v>35</v>
      </c>
      <c r="B33">
        <f>VALUE(369000)</f>
        <v>369000</v>
      </c>
      <c r="C33">
        <f>VALUE(107000)</f>
        <v>107000</v>
      </c>
      <c r="D33">
        <f>VALUE(84000)</f>
        <v>84000</v>
      </c>
      <c r="E33">
        <f>VALUE(269000)</f>
        <v>269000</v>
      </c>
      <c r="F33">
        <f>VALUE(756000)</f>
        <v>756000</v>
      </c>
    </row>
    <row r="34" spans="1:9">
      <c r="A34" t="s">
        <v>36</v>
      </c>
      <c r="B34">
        <f>VALUE(319000)</f>
        <v>319000</v>
      </c>
      <c r="C34">
        <f>VALUE(84000)</f>
        <v>84000</v>
      </c>
      <c r="D34">
        <f>VALUE(131000)</f>
        <v>131000</v>
      </c>
      <c r="E34">
        <f>VALUE(244000)</f>
        <v>244000</v>
      </c>
      <c r="F34">
        <f>VALUE(394000)</f>
        <v>394000</v>
      </c>
    </row>
    <row r="35" spans="1:9">
      <c r="A35" t="s">
        <v>37</v>
      </c>
      <c r="B35">
        <f>VALUE(159000)</f>
        <v>159000</v>
      </c>
      <c r="C35">
        <f>VALUE(141000)</f>
        <v>141000</v>
      </c>
      <c r="D35">
        <f>VALUE(87000)</f>
        <v>87000</v>
      </c>
      <c r="E35">
        <f>VALUE(504000)</f>
        <v>504000</v>
      </c>
      <c r="F35">
        <f>VALUE(311000)</f>
        <v>311000</v>
      </c>
    </row>
    <row r="36" spans="1:9">
      <c r="A36" t="s">
        <v>12</v>
      </c>
      <c r="B36">
        <f>VALUE(14014000)</f>
        <v>14014000</v>
      </c>
      <c r="C36">
        <f>VALUE(14656000)</f>
        <v>14656000</v>
      </c>
      <c r="D36">
        <f>VALUE(14922000)</f>
        <v>14922000</v>
      </c>
      <c r="E36">
        <f>VALUE(12832000)</f>
        <v>12832000</v>
      </c>
      <c r="F36">
        <f>VALUE(12912000)</f>
        <v>12912000</v>
      </c>
    </row>
    <row r="37" spans="1:9">
      <c r="A37" t="s">
        <v>14</v>
      </c>
      <c r="B37">
        <f>VALUE(14752000)</f>
        <v>14752000</v>
      </c>
      <c r="C37">
        <f>VALUE(15426000)</f>
        <v>15426000</v>
      </c>
      <c r="D37">
        <f>VALUE(15831000)</f>
        <v>15831000</v>
      </c>
      <c r="E37">
        <f>VALUE(13666000)</f>
        <v>13666000</v>
      </c>
      <c r="F37">
        <f>VALUE(13876000)</f>
        <v>13876000</v>
      </c>
    </row>
    <row r="38" spans="1:9">
      <c r="A38" t="s">
        <v>15</v>
      </c>
      <c r="B38"/>
      <c r="C38"/>
      <c r="D38"/>
      <c r="E38"/>
      <c r="F38"/>
    </row>
    <row r="39" spans="1:9">
      <c r="A39" t="s">
        <v>16</v>
      </c>
      <c r="B39">
        <f>VALUE(738000)</f>
        <v>738000</v>
      </c>
      <c r="C39">
        <f>VALUE(770000)</f>
        <v>770000</v>
      </c>
      <c r="D39">
        <f>VALUE(909000)</f>
        <v>909000</v>
      </c>
      <c r="E39">
        <f>VALUE(834000)</f>
        <v>834000</v>
      </c>
      <c r="F39">
        <f>VALUE(964000)</f>
        <v>964000</v>
      </c>
    </row>
    <row r="40" spans="1:9">
      <c r="A40" t="s">
        <v>17</v>
      </c>
      <c r="B40">
        <f>VALUE(6608000)</f>
        <v>6608000</v>
      </c>
      <c r="C40">
        <f>VALUE(517000)</f>
        <v>517000</v>
      </c>
      <c r="D40">
        <f>VALUE(2323000)</f>
        <v>2323000</v>
      </c>
      <c r="E40">
        <f>VALUE(3273000)</f>
        <v>3273000</v>
      </c>
      <c r="F40">
        <f>VALUE(3546000)</f>
        <v>3546000</v>
      </c>
    </row>
    <row r="41" spans="1:9">
      <c r="A41" t="s">
        <v>18</v>
      </c>
      <c r="B41">
        <f>VALUE(10187000)</f>
        <v>10187000</v>
      </c>
      <c r="C41">
        <f>VALUE(9212000)</f>
        <v>9212000</v>
      </c>
      <c r="D41">
        <f>VALUE(2416000)</f>
        <v>2416000</v>
      </c>
      <c r="E41">
        <f>VALUE(14285000)</f>
        <v>14285000</v>
      </c>
      <c r="F41">
        <f>VALUE(42702000)</f>
        <v>42702000</v>
      </c>
    </row>
    <row r="42" spans="1:9">
      <c r="A42" t="s">
        <v>19</v>
      </c>
      <c r="B42">
        <f>VALUE(12330000)</f>
        <v>12330000</v>
      </c>
      <c r="C42">
        <f>VALUE(13606000)</f>
        <v>13606000</v>
      </c>
      <c r="D42">
        <f>VALUE(20316000)</f>
        <v>20316000</v>
      </c>
      <c r="E42">
        <f>VALUE(33475000)</f>
        <v>33475000</v>
      </c>
      <c r="F42">
        <f>VALUE(40970000)</f>
        <v>40970000</v>
      </c>
    </row>
    <row r="43" spans="1:9">
      <c r="A43" t="s">
        <v>20</v>
      </c>
      <c r="B43">
        <f>VALUE(56000)</f>
        <v>56000</v>
      </c>
      <c r="C43">
        <f>VALUE(10000)</f>
        <v>10000</v>
      </c>
      <c r="D43">
        <f>VALUE(12000)</f>
        <v>12000</v>
      </c>
      <c r="E43">
        <f>VALUE(13000)</f>
        <v>13000</v>
      </c>
      <c r="F43">
        <f>VALUE(39000)</f>
        <v>39000</v>
      </c>
    </row>
    <row r="44" spans="1:9">
      <c r="A44" t="s">
        <v>21</v>
      </c>
      <c r="B44">
        <f>VALUE(5134000)</f>
        <v>5134000</v>
      </c>
      <c r="C44">
        <f>VALUE(3500000)</f>
        <v>3500000</v>
      </c>
      <c r="D44">
        <f>VALUE(14837000)</f>
        <v>14837000</v>
      </c>
      <c r="E44">
        <f>VALUE(15324000)</f>
        <v>15324000</v>
      </c>
      <c r="F44">
        <f>VALUE(5993000)</f>
        <v>5993000</v>
      </c>
    </row>
    <row r="45" spans="1:9">
      <c r="A45" t="s">
        <v>38</v>
      </c>
      <c r="B45"/>
      <c r="C45"/>
      <c r="D45"/>
      <c r="E45"/>
      <c r="F45"/>
    </row>
    <row r="46" spans="1:9">
      <c r="A46" t="s">
        <v>39</v>
      </c>
      <c r="B46">
        <f>VALUE(4500000)</f>
        <v>4500000</v>
      </c>
      <c r="C46">
        <f>VALUE(6720000)</f>
        <v>6720000</v>
      </c>
      <c r="D46">
        <f>VALUE(6780000)</f>
        <v>6780000</v>
      </c>
      <c r="E46">
        <f>VALUE(12375000)</f>
        <v>12375000</v>
      </c>
      <c r="F46">
        <f>VALUE(4151000)</f>
        <v>4151000</v>
      </c>
    </row>
    <row r="47" spans="1:9">
      <c r="A47" t="s">
        <v>40</v>
      </c>
      <c r="B47">
        <f>VALUE(627000)</f>
        <v>627000</v>
      </c>
      <c r="C47">
        <f>VALUE(655000)</f>
        <v>655000</v>
      </c>
      <c r="D47">
        <f>VALUE(640000)</f>
        <v>640000</v>
      </c>
      <c r="E47">
        <f>VALUE(623000)</f>
        <v>623000</v>
      </c>
      <c r="F47">
        <f>VALUE(708000)</f>
        <v>708000</v>
      </c>
    </row>
    <row r="48" spans="1:9">
      <c r="A48" t="s">
        <v>41</v>
      </c>
      <c r="B48">
        <f>VALUE(2723000)</f>
        <v>2723000</v>
      </c>
      <c r="C48">
        <f>VALUE(3386000)</f>
        <v>3386000</v>
      </c>
      <c r="D48">
        <f>VALUE(21579000)</f>
        <v>21579000</v>
      </c>
      <c r="E48">
        <f>VALUE(18250000)</f>
        <v>18250000</v>
      </c>
      <c r="F48">
        <f>VALUE(4304000)</f>
        <v>4304000</v>
      </c>
    </row>
    <row r="49" spans="1:9">
      <c r="A49" t="s">
        <v>42</v>
      </c>
      <c r="B49">
        <f>VALUE(6126000)</f>
        <v>6126000</v>
      </c>
      <c r="C49">
        <f>VALUE(6016000)</f>
        <v>6016000</v>
      </c>
      <c r="D49">
        <f>VALUE(5979000)</f>
        <v>5979000</v>
      </c>
      <c r="E49">
        <f>VALUE(5968000)</f>
        <v>5968000</v>
      </c>
      <c r="F49">
        <f>VALUE(5511000)</f>
        <v>5511000</v>
      </c>
    </row>
    <row r="50" spans="1:9">
      <c r="A50" t="s">
        <v>43</v>
      </c>
      <c r="B50">
        <f>VALUE(93000)</f>
        <v>93000</v>
      </c>
      <c r="C50">
        <f>VALUE(51000)</f>
        <v>51000</v>
      </c>
      <c r="D50">
        <f>VALUE(113000)</f>
        <v>113000</v>
      </c>
      <c r="E50">
        <f>VALUE(169000)</f>
        <v>169000</v>
      </c>
      <c r="F50">
        <f>VALUE(25000)</f>
        <v>25000</v>
      </c>
    </row>
    <row r="51" spans="1:9">
      <c r="A51" t="s">
        <v>44</v>
      </c>
      <c r="B51">
        <f>VALUE(12629000)</f>
        <v>12629000</v>
      </c>
      <c r="C51">
        <f>VALUE(18886000)</f>
        <v>18886000</v>
      </c>
      <c r="D51">
        <f>VALUE(27889000)</f>
        <v>27889000</v>
      </c>
      <c r="E51">
        <f>VALUE(31764000)</f>
        <v>31764000</v>
      </c>
      <c r="F51">
        <f>VALUE(3806000)</f>
        <v>3806000</v>
      </c>
    </row>
    <row r="52" spans="1:9">
      <c r="A52" t="s">
        <v>22</v>
      </c>
      <c r="B52">
        <f>VALUE(3011000)</f>
        <v>3011000</v>
      </c>
      <c r="C52">
        <f>VALUE(40000)</f>
        <v>40000</v>
      </c>
      <c r="D52">
        <f>VALUE(2779000)</f>
        <v>2779000</v>
      </c>
      <c r="E52">
        <f>VALUE(2774000)</f>
        <v>2774000</v>
      </c>
      <c r="F52">
        <f>VALUE(4077000)</f>
        <v>4077000</v>
      </c>
    </row>
    <row r="53" spans="1:9">
      <c r="A53" t="s">
        <v>23</v>
      </c>
      <c r="B53">
        <f>VALUE(10370000)</f>
        <v>10370000</v>
      </c>
      <c r="C53">
        <f>VALUE(11772000)</f>
        <v>11772000</v>
      </c>
      <c r="D53">
        <f>VALUE(8993000)</f>
        <v>8993000</v>
      </c>
      <c r="E53">
        <f>VALUE(11708000)</f>
        <v>11708000</v>
      </c>
      <c r="F53">
        <f>VALUE(7631000)</f>
        <v>7631000</v>
      </c>
    </row>
    <row r="54" spans="1:9">
      <c r="A54" t="s">
        <v>24</v>
      </c>
      <c r="B54">
        <f>VALUE(7359000)</f>
        <v>7359000</v>
      </c>
      <c r="C54">
        <f>VALUE(11812000)</f>
        <v>11812000</v>
      </c>
      <c r="D54">
        <f>VALUE(11772000)</f>
        <v>11772000</v>
      </c>
      <c r="E54">
        <f>VALUE(8934000)</f>
        <v>8934000</v>
      </c>
      <c r="F54">
        <f>VALUE(11708000)</f>
        <v>11708000</v>
      </c>
    </row>
    <row r="55" spans="1:9">
      <c r="A55" t="s">
        <v>25</v>
      </c>
      <c r="B55"/>
      <c r="C55"/>
      <c r="D55"/>
      <c r="E55"/>
      <c r="F55"/>
    </row>
    <row r="56" spans="1:9">
      <c r="A56" t="s">
        <v>26</v>
      </c>
      <c r="B56">
        <f>VALUE(14752000)</f>
        <v>14752000</v>
      </c>
      <c r="C56">
        <f>VALUE(15426000)</f>
        <v>15426000</v>
      </c>
      <c r="D56">
        <f>VALUE(15831000)</f>
        <v>15831000</v>
      </c>
      <c r="E56">
        <f>VALUE(13666000)</f>
        <v>13666000</v>
      </c>
      <c r="F56">
        <f>VALUE(13876000)</f>
        <v>13876000</v>
      </c>
    </row>
    <row r="57" spans="1:9">
      <c r="A57" t="s">
        <v>27</v>
      </c>
      <c r="B57">
        <f>VALUE(738000)</f>
        <v>738000</v>
      </c>
      <c r="C57">
        <f>VALUE(770000)</f>
        <v>770000</v>
      </c>
      <c r="D57">
        <f>VALUE(909000)</f>
        <v>909000</v>
      </c>
      <c r="E57">
        <f>VALUE(834000)</f>
        <v>834000</v>
      </c>
      <c r="F57">
        <f>VALUE(964000)</f>
        <v>964000</v>
      </c>
    </row>
    <row r="58" spans="1:9">
      <c r="A58" t="s">
        <v>25</v>
      </c>
      <c r="B58">
        <f>VALUE(14014000)</f>
        <v>14014000</v>
      </c>
      <c r="C58">
        <f>VALUE(14656000)</f>
        <v>14656000</v>
      </c>
      <c r="D58">
        <f>VALUE(14922000)</f>
        <v>14922000</v>
      </c>
      <c r="E58">
        <f>VALUE(12832000)</f>
        <v>12832000</v>
      </c>
      <c r="F58">
        <f>VALUE(12912000)</f>
        <v>12912000</v>
      </c>
    </row>
    <row r="60" spans="1:9">
      <c r="A60" t="s">
        <v>45</v>
      </c>
    </row>
    <row r="61" spans="1:9">
      <c r="A61" t="s">
        <v>1</v>
      </c>
      <c r="B61" t="s">
        <v>2</v>
      </c>
      <c r="C61" t="s">
        <v>3</v>
      </c>
      <c r="D61" t="s">
        <v>4</v>
      </c>
      <c r="E61" t="s">
        <v>5</v>
      </c>
      <c r="F61" t="s">
        <v>6</v>
      </c>
    </row>
    <row r="62" spans="1:9">
      <c r="A62" t="s">
        <v>7</v>
      </c>
      <c r="B62"/>
      <c r="C62"/>
      <c r="D62"/>
      <c r="E62"/>
      <c r="F62"/>
    </row>
    <row r="63" spans="1:9">
      <c r="A63" t="s">
        <v>8</v>
      </c>
      <c r="B63">
        <f>VALUE(2898852)</f>
        <v>2898852</v>
      </c>
      <c r="C63">
        <f>VALUE(892056)</f>
        <v>892056</v>
      </c>
      <c r="D63">
        <f>VALUE(1058793)</f>
        <v>1058793</v>
      </c>
      <c r="E63">
        <f>VALUE(4507232)</f>
        <v>4507232</v>
      </c>
      <c r="F63">
        <f>VALUE(163892)</f>
        <v>163892</v>
      </c>
      <c r="I63" t="s">
        <v>9</v>
      </c>
    </row>
    <row r="64" spans="1:9">
      <c r="A64" t="s">
        <v>10</v>
      </c>
      <c r="B64">
        <f>VALUE(1008088)</f>
        <v>1008088</v>
      </c>
      <c r="C64">
        <f>VALUE(994654)</f>
        <v>994654</v>
      </c>
      <c r="D64">
        <f>VALUE(825280)</f>
        <v>825280</v>
      </c>
      <c r="E64">
        <f>VALUE(349383)</f>
        <v>349383</v>
      </c>
      <c r="F64">
        <f>VALUE(78474)</f>
        <v>78474</v>
      </c>
    </row>
    <row r="65" spans="1:9">
      <c r="A65" t="s">
        <v>11</v>
      </c>
      <c r="B65">
        <f>VALUE(211247)</f>
        <v>211247</v>
      </c>
      <c r="C65">
        <f>VALUE(20280)</f>
        <v>20280</v>
      </c>
      <c r="D65">
        <f>VALUE(724831)</f>
        <v>724831</v>
      </c>
      <c r="E65">
        <f>VALUE(98574)</f>
        <v>98574</v>
      </c>
      <c r="F65">
        <f>VALUE(489332)</f>
        <v>489332</v>
      </c>
    </row>
    <row r="66" spans="1:9">
      <c r="A66" t="s">
        <v>36</v>
      </c>
      <c r="B66">
        <f>VALUE(77720)</f>
        <v>77720</v>
      </c>
      <c r="C66">
        <f>VALUE(29173)</f>
        <v>29173</v>
      </c>
      <c r="D66">
        <f>VALUE(57048)</f>
        <v>57048</v>
      </c>
      <c r="E66"/>
      <c r="F66">
        <f>VALUE(85266)</f>
        <v>85266</v>
      </c>
    </row>
    <row r="67" spans="1:9">
      <c r="A67" t="s">
        <v>12</v>
      </c>
      <c r="B67">
        <f>VALUE(2036262)</f>
        <v>2036262</v>
      </c>
      <c r="C67">
        <f>VALUE(1341020)</f>
        <v>1341020</v>
      </c>
      <c r="D67">
        <f>VALUE(2212992)</f>
        <v>2212992</v>
      </c>
      <c r="E67">
        <f>VALUE(347360)</f>
        <v>347360</v>
      </c>
      <c r="F67">
        <f>VALUE(101237)</f>
        <v>101237</v>
      </c>
    </row>
    <row r="68" spans="1:9">
      <c r="A68" t="s">
        <v>13</v>
      </c>
      <c r="B68">
        <f>VALUE(897228)</f>
        <v>897228</v>
      </c>
      <c r="C68">
        <f>VALUE(725443)</f>
        <v>725443</v>
      </c>
      <c r="D68">
        <f>VALUE(230700)</f>
        <v>230700</v>
      </c>
      <c r="E68">
        <f>VALUE(5052123)</f>
        <v>5052123</v>
      </c>
      <c r="F68">
        <f>VALUE(160433)</f>
        <v>160433</v>
      </c>
    </row>
    <row r="69" spans="1:9">
      <c r="A69" t="s">
        <v>14</v>
      </c>
      <c r="B69">
        <f>VALUE(2729259)</f>
        <v>2729259</v>
      </c>
      <c r="C69">
        <f>VALUE(2070906)</f>
        <v>2070906</v>
      </c>
      <c r="D69">
        <f>VALUE(1611030)</f>
        <v>1611030</v>
      </c>
      <c r="E69">
        <f>VALUE(185419)</f>
        <v>185419</v>
      </c>
      <c r="F69">
        <f>VALUE(330680)</f>
        <v>330680</v>
      </c>
    </row>
    <row r="70" spans="1:9">
      <c r="A70" t="s">
        <v>15</v>
      </c>
      <c r="B70"/>
      <c r="C70"/>
      <c r="D70"/>
      <c r="E70"/>
      <c r="F70"/>
    </row>
    <row r="71" spans="1:9">
      <c r="A71" t="s">
        <v>16</v>
      </c>
      <c r="B71">
        <f>VALUE(692997)</f>
        <v>692997</v>
      </c>
      <c r="C71">
        <f>VALUE(729886)</f>
        <v>729886</v>
      </c>
      <c r="D71">
        <f>VALUE(601962)</f>
        <v>601962</v>
      </c>
      <c r="E71">
        <f>VALUE(532779)</f>
        <v>532779</v>
      </c>
      <c r="F71">
        <f>VALUE(431917)</f>
        <v>431917</v>
      </c>
    </row>
    <row r="72" spans="1:9">
      <c r="A72" t="s">
        <v>17</v>
      </c>
      <c r="B72"/>
      <c r="C72">
        <f>VALUE(0)</f>
        <v>0</v>
      </c>
      <c r="D72">
        <f>VALUE(176712)</f>
        <v>176712</v>
      </c>
      <c r="E72">
        <f>VALUE(2022651)</f>
        <v>2022651</v>
      </c>
      <c r="F72"/>
    </row>
    <row r="73" spans="1:9">
      <c r="A73" t="s">
        <v>18</v>
      </c>
      <c r="B73"/>
      <c r="C73">
        <f>VALUE(332077)</f>
        <v>332077</v>
      </c>
      <c r="D73"/>
      <c r="E73"/>
      <c r="F73">
        <f>VALUE(21599)</f>
        <v>21599</v>
      </c>
    </row>
    <row r="74" spans="1:9">
      <c r="A74" t="s">
        <v>19</v>
      </c>
      <c r="B74">
        <f>VALUE(2030090)</f>
        <v>2030090</v>
      </c>
      <c r="C74">
        <f>VALUE(1949945)</f>
        <v>1949945</v>
      </c>
      <c r="D74">
        <f>VALUE(34071)</f>
        <v>34071</v>
      </c>
      <c r="E74"/>
      <c r="F74">
        <f>VALUE(197512)</f>
        <v>197512</v>
      </c>
    </row>
    <row r="75" spans="1:9">
      <c r="A75" t="s">
        <v>20</v>
      </c>
      <c r="B75"/>
      <c r="C75"/>
      <c r="D75"/>
      <c r="E75">
        <f>VALUE(3838392)</f>
        <v>3838392</v>
      </c>
      <c r="F75"/>
    </row>
    <row r="76" spans="1:9">
      <c r="A76" t="s">
        <v>21</v>
      </c>
      <c r="B76">
        <f>VALUE(1979184)</f>
        <v>1979184</v>
      </c>
      <c r="C76">
        <f>VALUE(1009000)</f>
        <v>1009000</v>
      </c>
      <c r="D76">
        <f>VALUE(664763)</f>
        <v>664763</v>
      </c>
      <c r="E76">
        <f>VALUE(1283346)</f>
        <v>1283346</v>
      </c>
      <c r="F76">
        <f>VALUE(166735)</f>
        <v>166735</v>
      </c>
    </row>
    <row r="77" spans="1:9">
      <c r="A77" t="s">
        <v>22</v>
      </c>
      <c r="B77">
        <f>VALUE(21059)</f>
        <v>21059</v>
      </c>
      <c r="C77">
        <f>VALUE(82331)</f>
        <v>82331</v>
      </c>
      <c r="D77">
        <f>VALUE(2884215)</f>
        <v>2884215</v>
      </c>
      <c r="E77">
        <f>VALUE(1122627)</f>
        <v>1122627</v>
      </c>
      <c r="F77">
        <f>VALUE(3373)</f>
        <v>3373</v>
      </c>
    </row>
    <row r="78" spans="1:9">
      <c r="A78" t="s">
        <v>23</v>
      </c>
      <c r="B78">
        <f>VALUE(1334688)</f>
        <v>1334688</v>
      </c>
      <c r="C78">
        <f>VALUE(1189642)</f>
        <v>1189642</v>
      </c>
      <c r="D78">
        <f>VALUE(3158295)</f>
        <v>3158295</v>
      </c>
      <c r="E78">
        <f>VALUE(34111)</f>
        <v>34111</v>
      </c>
      <c r="F78">
        <f>VALUE(44169)</f>
        <v>44169</v>
      </c>
    </row>
    <row r="79" spans="1:9">
      <c r="A79" t="s">
        <v>24</v>
      </c>
      <c r="B79">
        <f>VALUE(1355747)</f>
        <v>1355747</v>
      </c>
      <c r="C79">
        <f>VALUE(1103425)</f>
        <v>1103425</v>
      </c>
      <c r="D79">
        <f>VALUE(901089)</f>
        <v>901089</v>
      </c>
      <c r="E79">
        <f>VALUE(2053075)</f>
        <v>2053075</v>
      </c>
      <c r="F79">
        <f>VALUE(23218)</f>
        <v>23218</v>
      </c>
    </row>
    <row r="80" spans="1:9">
      <c r="A80" t="s">
        <v>25</v>
      </c>
      <c r="B80"/>
      <c r="C80"/>
      <c r="D80"/>
      <c r="E80"/>
      <c r="F80"/>
    </row>
    <row r="81" spans="1:9">
      <c r="A81" t="s">
        <v>26</v>
      </c>
      <c r="B81">
        <f>VALUE(2729259)</f>
        <v>2729259</v>
      </c>
      <c r="C81">
        <f>VALUE(2070906)</f>
        <v>2070906</v>
      </c>
      <c r="D81">
        <f>VALUE(1611030)</f>
        <v>1611030</v>
      </c>
      <c r="E81">
        <f>VALUE(185419)</f>
        <v>185419</v>
      </c>
      <c r="F81">
        <f>VALUE(330680)</f>
        <v>330680</v>
      </c>
    </row>
    <row r="82" spans="1:9">
      <c r="A82" t="s">
        <v>27</v>
      </c>
      <c r="B82">
        <f>VALUE(692997)</f>
        <v>692997</v>
      </c>
      <c r="C82">
        <f>VALUE(729886)</f>
        <v>729886</v>
      </c>
      <c r="D82">
        <f>VALUE(601962)</f>
        <v>601962</v>
      </c>
      <c r="E82">
        <f>VALUE(532779)</f>
        <v>532779</v>
      </c>
      <c r="F82">
        <f>VALUE(431917)</f>
        <v>431917</v>
      </c>
    </row>
    <row r="83" spans="1:9">
      <c r="A83" t="s">
        <v>25</v>
      </c>
      <c r="B83">
        <f>VALUE(2036262)</f>
        <v>2036262</v>
      </c>
      <c r="C83">
        <f>VALUE(1341020)</f>
        <v>1341020</v>
      </c>
      <c r="D83">
        <f>VALUE(2212992)</f>
        <v>2212992</v>
      </c>
      <c r="E83">
        <f>VALUE(347360)</f>
        <v>347360</v>
      </c>
      <c r="F83">
        <f>VALUE(101237)</f>
        <v>101237</v>
      </c>
    </row>
    <row r="85" spans="1:9">
      <c r="A85" t="s">
        <v>46</v>
      </c>
    </row>
    <row r="86" spans="1:9">
      <c r="A86" t="s">
        <v>1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</row>
    <row r="87" spans="1:9">
      <c r="A87" t="s">
        <v>7</v>
      </c>
      <c r="B87"/>
      <c r="C87"/>
      <c r="D87"/>
      <c r="E87"/>
      <c r="F87"/>
    </row>
    <row r="88" spans="1:9">
      <c r="A88" t="s">
        <v>8</v>
      </c>
      <c r="B88">
        <f>VALUE(2512)</f>
        <v>2512</v>
      </c>
      <c r="C88">
        <f>VALUE(916512)</f>
        <v>916512</v>
      </c>
      <c r="D88">
        <f>VALUE(1781531)</f>
        <v>1781531</v>
      </c>
      <c r="E88">
        <f>VALUE(2051412)</f>
        <v>2051412</v>
      </c>
      <c r="F88">
        <f>VALUE(1593439)</f>
        <v>1593439</v>
      </c>
      <c r="I88" t="s">
        <v>9</v>
      </c>
    </row>
    <row r="89" spans="1:9">
      <c r="A89" t="s">
        <v>10</v>
      </c>
      <c r="B89">
        <f>VALUE(813004)</f>
        <v>813004</v>
      </c>
      <c r="C89">
        <f>VALUE(841691)</f>
        <v>841691</v>
      </c>
      <c r="D89">
        <f>VALUE(305869)</f>
        <v>305869</v>
      </c>
      <c r="E89">
        <f>VALUE(444200)</f>
        <v>444200</v>
      </c>
      <c r="F89"/>
    </row>
    <row r="90" spans="1:9">
      <c r="A90" t="s">
        <v>11</v>
      </c>
      <c r="B90">
        <f>VALUE(6461733)</f>
        <v>6461733</v>
      </c>
      <c r="C90">
        <f>VALUE(15794443)</f>
        <v>15794443</v>
      </c>
      <c r="D90">
        <f>VALUE(24411388)</f>
        <v>24411388</v>
      </c>
      <c r="E90">
        <f>VALUE(15296358)</f>
        <v>15296358</v>
      </c>
      <c r="F90"/>
    </row>
    <row r="91" spans="1:9">
      <c r="A91" t="s">
        <v>12</v>
      </c>
      <c r="B91">
        <f>VALUE(978417)</f>
        <v>978417</v>
      </c>
      <c r="C91">
        <f>VALUE(10070688)</f>
        <v>10070688</v>
      </c>
      <c r="D91">
        <f>VALUE(16617250)</f>
        <v>16617250</v>
      </c>
      <c r="E91">
        <f>VALUE(8358666)</f>
        <v>8358666</v>
      </c>
      <c r="F91">
        <f>VALUE(16296063)</f>
        <v>16296063</v>
      </c>
    </row>
    <row r="92" spans="1:9">
      <c r="A92" t="s">
        <v>13</v>
      </c>
      <c r="B92">
        <f>VALUE(4022971)</f>
        <v>4022971</v>
      </c>
      <c r="C92">
        <f>VALUE(1821578)</f>
        <v>1821578</v>
      </c>
      <c r="D92">
        <f>VALUE(1654550)</f>
        <v>1654550</v>
      </c>
      <c r="E92">
        <f>VALUE(2166464)</f>
        <v>2166464</v>
      </c>
      <c r="F92"/>
    </row>
    <row r="93" spans="1:9">
      <c r="A93" t="s">
        <v>14</v>
      </c>
      <c r="B93">
        <f>VALUE(1273596)</f>
        <v>1273596</v>
      </c>
      <c r="C93">
        <f>VALUE(10264952)</f>
        <v>10264952</v>
      </c>
      <c r="D93">
        <f>VALUE(16856410)</f>
        <v>16856410</v>
      </c>
      <c r="E93">
        <f>VALUE(10387212)</f>
        <v>10387212</v>
      </c>
      <c r="F93">
        <f>VALUE(16296063)</f>
        <v>16296063</v>
      </c>
    </row>
    <row r="94" spans="1:9">
      <c r="A94" t="s">
        <v>15</v>
      </c>
      <c r="B94"/>
      <c r="C94"/>
      <c r="D94"/>
      <c r="E94"/>
      <c r="F94"/>
    </row>
    <row r="95" spans="1:9">
      <c r="A95" t="s">
        <v>16</v>
      </c>
      <c r="B95">
        <f>VALUE(295179)</f>
        <v>295179</v>
      </c>
      <c r="C95">
        <f>VALUE(194264)</f>
        <v>194264</v>
      </c>
      <c r="D95">
        <f>VALUE(239160)</f>
        <v>239160</v>
      </c>
      <c r="E95">
        <f>VALUE(2028546)</f>
        <v>2028546</v>
      </c>
      <c r="F95"/>
    </row>
    <row r="96" spans="1:9">
      <c r="A96" t="s">
        <v>20</v>
      </c>
      <c r="B96"/>
      <c r="C96"/>
      <c r="D96"/>
      <c r="E96"/>
      <c r="F96">
        <f>VALUE(1168079)</f>
        <v>1168079</v>
      </c>
    </row>
    <row r="97" spans="1:9">
      <c r="A97" t="s">
        <v>21</v>
      </c>
      <c r="B97">
        <f>VALUE(198961)</f>
        <v>198961</v>
      </c>
      <c r="C97">
        <f>VALUE(62914)</f>
        <v>62914</v>
      </c>
      <c r="D97">
        <f>VALUE(194383)</f>
        <v>194383</v>
      </c>
      <c r="E97">
        <f>VALUE(2027955)</f>
        <v>2027955</v>
      </c>
      <c r="F97">
        <f>VALUE(1168079)</f>
        <v>1168079</v>
      </c>
    </row>
    <row r="98" spans="1:9">
      <c r="A98" t="s">
        <v>22</v>
      </c>
      <c r="B98">
        <f>VALUE(22625790)</f>
        <v>22625790</v>
      </c>
      <c r="C98">
        <f>VALUE(11737450)</f>
        <v>11737450</v>
      </c>
      <c r="D98">
        <f>VALUE(9641869)</f>
        <v>9641869</v>
      </c>
      <c r="E98">
        <f>VALUE(4881237)</f>
        <v>4881237</v>
      </c>
      <c r="F98">
        <f>VALUE(3541743)</f>
        <v>3541743</v>
      </c>
    </row>
    <row r="99" spans="1:9">
      <c r="A99" t="s">
        <v>23</v>
      </c>
      <c r="B99">
        <f>VALUE(33107932)</f>
        <v>33107932</v>
      </c>
      <c r="C99">
        <f>VALUE(25160240)</f>
        <v>25160240</v>
      </c>
      <c r="D99">
        <f>VALUE(8832786)</f>
        <v>8832786</v>
      </c>
      <c r="E99">
        <f>VALUE(3951549)</f>
        <v>3951549</v>
      </c>
      <c r="F99">
        <f>VALUE(7188279)</f>
        <v>7188279</v>
      </c>
    </row>
    <row r="100" spans="1:9">
      <c r="A100" t="s">
        <v>24</v>
      </c>
      <c r="B100">
        <f>VALUE(381377)</f>
        <v>381377</v>
      </c>
      <c r="C100">
        <f>VALUE(13422790)</f>
        <v>13422790</v>
      </c>
      <c r="D100">
        <f>VALUE(18474655)</f>
        <v>18474655</v>
      </c>
      <c r="E100">
        <f>VALUE(8832786)</f>
        <v>8832786</v>
      </c>
      <c r="F100">
        <f>VALUE(3646536)</f>
        <v>3646536</v>
      </c>
    </row>
    <row r="101" spans="1:9">
      <c r="A101" t="s">
        <v>25</v>
      </c>
      <c r="B101"/>
      <c r="C101"/>
      <c r="D101"/>
      <c r="E101"/>
      <c r="F101"/>
    </row>
    <row r="102" spans="1:9">
      <c r="A102" t="s">
        <v>26</v>
      </c>
      <c r="B102">
        <f>VALUE(1273596)</f>
        <v>1273596</v>
      </c>
      <c r="C102">
        <f>VALUE(10264952)</f>
        <v>10264952</v>
      </c>
      <c r="D102">
        <f>VALUE(16856410)</f>
        <v>16856410</v>
      </c>
      <c r="E102">
        <f>VALUE(10387212)</f>
        <v>10387212</v>
      </c>
      <c r="F102">
        <f>VALUE(16296063)</f>
        <v>16296063</v>
      </c>
    </row>
    <row r="103" spans="1:9">
      <c r="A103" t="s">
        <v>27</v>
      </c>
      <c r="B103">
        <f>VALUE(295179)</f>
        <v>295179</v>
      </c>
      <c r="C103">
        <f>VALUE(194264)</f>
        <v>194264</v>
      </c>
      <c r="D103">
        <f>VALUE(239160)</f>
        <v>239160</v>
      </c>
      <c r="E103">
        <f>VALUE(2028546)</f>
        <v>2028546</v>
      </c>
      <c r="F103"/>
    </row>
    <row r="104" spans="1:9">
      <c r="A104" t="s">
        <v>25</v>
      </c>
      <c r="B104">
        <f>VALUE(978417)</f>
        <v>978417</v>
      </c>
      <c r="C104">
        <f>VALUE(10070688)</f>
        <v>10070688</v>
      </c>
      <c r="D104">
        <f>VALUE(16617250)</f>
        <v>16617250</v>
      </c>
      <c r="E104">
        <f>VALUE(8358666)</f>
        <v>8358666</v>
      </c>
      <c r="F104">
        <f>VALUE(16296063)</f>
        <v>16296063</v>
      </c>
    </row>
    <row r="106" spans="1:9">
      <c r="A106" t="s">
        <v>47</v>
      </c>
    </row>
    <row r="107" spans="1:9">
      <c r="A107" t="s">
        <v>1</v>
      </c>
      <c r="B107" t="s">
        <v>2</v>
      </c>
      <c r="C107" t="s">
        <v>48</v>
      </c>
      <c r="D107" t="s">
        <v>49</v>
      </c>
      <c r="E107" t="s">
        <v>50</v>
      </c>
      <c r="F107" t="s">
        <v>51</v>
      </c>
    </row>
    <row r="108" spans="1:9">
      <c r="A108" t="s">
        <v>7</v>
      </c>
      <c r="B108"/>
      <c r="C108"/>
      <c r="D108"/>
      <c r="E108"/>
      <c r="F108"/>
    </row>
    <row r="109" spans="1:9">
      <c r="A109" t="s">
        <v>8</v>
      </c>
      <c r="B109">
        <f>VALUE(270313)</f>
        <v>270313</v>
      </c>
      <c r="C109">
        <f>VALUE(85156)</f>
        <v>85156</v>
      </c>
      <c r="D109">
        <f>VALUE(295801)</f>
        <v>295801</v>
      </c>
      <c r="E109">
        <f>VALUE(86302)</f>
        <v>86302</v>
      </c>
      <c r="F109">
        <f>VALUE(71089)</f>
        <v>71089</v>
      </c>
      <c r="I109" t="s">
        <v>9</v>
      </c>
    </row>
    <row r="110" spans="1:9">
      <c r="A110" t="s">
        <v>10</v>
      </c>
      <c r="B110">
        <f>VALUE(436815)</f>
        <v>436815</v>
      </c>
      <c r="C110">
        <f>VALUE(437899)</f>
        <v>437899</v>
      </c>
      <c r="D110">
        <f>VALUE(318841)</f>
        <v>318841</v>
      </c>
      <c r="E110">
        <f>VALUE(75058)</f>
        <v>75058</v>
      </c>
      <c r="F110">
        <f>VALUE(52688)</f>
        <v>52688</v>
      </c>
    </row>
    <row r="111" spans="1:9">
      <c r="A111" t="s">
        <v>11</v>
      </c>
      <c r="B111">
        <f>VALUE(818824)</f>
        <v>818824</v>
      </c>
      <c r="C111">
        <f>VALUE(839220)</f>
        <v>839220</v>
      </c>
      <c r="D111">
        <f>VALUE(192723)</f>
        <v>192723</v>
      </c>
      <c r="E111">
        <f>VALUE(283697)</f>
        <v>283697</v>
      </c>
      <c r="F111">
        <f>VALUE(75509)</f>
        <v>75509</v>
      </c>
    </row>
    <row r="112" spans="1:9">
      <c r="A112" t="s">
        <v>36</v>
      </c>
      <c r="B112">
        <f>VALUE(624206)</f>
        <v>624206</v>
      </c>
      <c r="C112">
        <f>VALUE(647995)</f>
        <v>647995</v>
      </c>
      <c r="D112">
        <f>VALUE(300417)</f>
        <v>300417</v>
      </c>
      <c r="E112">
        <f>VALUE(345250)</f>
        <v>345250</v>
      </c>
      <c r="F112">
        <f>VALUE(188604)</f>
        <v>188604</v>
      </c>
    </row>
    <row r="113" spans="1:9">
      <c r="A113" t="s">
        <v>12</v>
      </c>
      <c r="B113">
        <f>VALUE(2015898)</f>
        <v>2015898</v>
      </c>
      <c r="C113">
        <f>VALUE(1812101)</f>
        <v>1812101</v>
      </c>
      <c r="D113">
        <f>VALUE(340626)</f>
        <v>340626</v>
      </c>
      <c r="E113">
        <f>VALUE(359161)</f>
        <v>359161</v>
      </c>
      <c r="F113">
        <f>VALUE(255642)</f>
        <v>255642</v>
      </c>
    </row>
    <row r="114" spans="1:9">
      <c r="A114" t="s">
        <v>14</v>
      </c>
      <c r="B114">
        <f>VALUE(2118519)</f>
        <v>2118519</v>
      </c>
      <c r="C114">
        <f>VALUE(1878970)</f>
        <v>1878970</v>
      </c>
      <c r="D114">
        <f>VALUE(391681)</f>
        <v>391681</v>
      </c>
      <c r="E114">
        <f>VALUE(261744)</f>
        <v>261744</v>
      </c>
      <c r="F114">
        <f>VALUE(1598)</f>
        <v>1598</v>
      </c>
    </row>
    <row r="115" spans="1:9">
      <c r="A115" t="s">
        <v>15</v>
      </c>
      <c r="B115"/>
      <c r="C115"/>
      <c r="D115"/>
      <c r="E115"/>
      <c r="F115"/>
    </row>
    <row r="116" spans="1:9">
      <c r="A116" t="s">
        <v>16</v>
      </c>
      <c r="B116">
        <f>VALUE(102622)</f>
        <v>102622</v>
      </c>
      <c r="C116">
        <f>VALUE(66869)</f>
        <v>66869</v>
      </c>
      <c r="D116">
        <f>VALUE(51055)</f>
        <v>51055</v>
      </c>
      <c r="E116">
        <f>VALUE(97417)</f>
        <v>97417</v>
      </c>
      <c r="F116">
        <f>VALUE(257241)</f>
        <v>257241</v>
      </c>
    </row>
    <row r="117" spans="1:9">
      <c r="A117" t="s">
        <v>18</v>
      </c>
      <c r="B117"/>
      <c r="C117">
        <f>VALUE(30255)</f>
        <v>30255</v>
      </c>
      <c r="D117"/>
      <c r="E117"/>
      <c r="F117"/>
    </row>
    <row r="118" spans="1:9">
      <c r="A118" t="s">
        <v>19</v>
      </c>
      <c r="B118"/>
      <c r="C118"/>
      <c r="D118">
        <f>VALUE(8142)</f>
        <v>8142</v>
      </c>
      <c r="E118">
        <f>VALUE(110963)</f>
        <v>110963</v>
      </c>
      <c r="F118"/>
    </row>
    <row r="119" spans="1:9">
      <c r="A119" t="s">
        <v>20</v>
      </c>
      <c r="B119"/>
      <c r="C119"/>
      <c r="D119"/>
      <c r="E119"/>
      <c r="F119">
        <f>VALUE(29406)</f>
        <v>29406</v>
      </c>
    </row>
    <row r="120" spans="1:9">
      <c r="A120" t="s">
        <v>21</v>
      </c>
      <c r="B120">
        <f>VALUE(136530)</f>
        <v>136530</v>
      </c>
      <c r="C120">
        <f>VALUE(97124)</f>
        <v>97124</v>
      </c>
      <c r="D120">
        <f>VALUE(42913)</f>
        <v>42913</v>
      </c>
      <c r="E120">
        <f>VALUE(13546)</f>
        <v>13546</v>
      </c>
      <c r="F120">
        <f>VALUE(227835)</f>
        <v>227835</v>
      </c>
    </row>
    <row r="121" spans="1:9">
      <c r="A121" t="s">
        <v>22</v>
      </c>
      <c r="B121">
        <f>VALUE(2482311)</f>
        <v>2482311</v>
      </c>
      <c r="C121">
        <f>VALUE(2221508)</f>
        <v>2221508</v>
      </c>
      <c r="D121">
        <f>VALUE(1071987)</f>
        <v>1071987</v>
      </c>
      <c r="E121">
        <f>VALUE(203560)</f>
        <v>203560</v>
      </c>
      <c r="F121"/>
    </row>
    <row r="122" spans="1:9">
      <c r="A122" t="s">
        <v>23</v>
      </c>
      <c r="B122">
        <f>VALUE(74741)</f>
        <v>74741</v>
      </c>
      <c r="C122">
        <f>VALUE(63725)</f>
        <v>63725</v>
      </c>
      <c r="D122">
        <f>VALUE(9311)</f>
        <v>9311</v>
      </c>
      <c r="E122">
        <f>VALUE(138772)</f>
        <v>138772</v>
      </c>
      <c r="F122">
        <f>VALUE(111859)</f>
        <v>111859</v>
      </c>
    </row>
    <row r="123" spans="1:9">
      <c r="A123" t="s">
        <v>24</v>
      </c>
      <c r="B123">
        <f>VALUE(2557052)</f>
        <v>2557052</v>
      </c>
      <c r="C123">
        <f>VALUE(87363)</f>
        <v>87363</v>
      </c>
      <c r="D123">
        <f>VALUE(46926)</f>
        <v>46926</v>
      </c>
      <c r="E123">
        <f>VALUE(6125)</f>
        <v>6125</v>
      </c>
      <c r="F123">
        <f>VALUE(138772)</f>
        <v>138772</v>
      </c>
    </row>
    <row r="124" spans="1:9">
      <c r="A124" t="s">
        <v>25</v>
      </c>
      <c r="B124"/>
      <c r="C124"/>
      <c r="D124"/>
      <c r="E124"/>
      <c r="F124"/>
    </row>
    <row r="125" spans="1:9">
      <c r="A125" t="s">
        <v>26</v>
      </c>
      <c r="B125">
        <f>VALUE(2118519)</f>
        <v>2118519</v>
      </c>
      <c r="C125">
        <f>VALUE(1878970)</f>
        <v>1878970</v>
      </c>
      <c r="D125">
        <f>VALUE(391681)</f>
        <v>391681</v>
      </c>
      <c r="E125">
        <f>VALUE(261744)</f>
        <v>261744</v>
      </c>
      <c r="F125">
        <f>VALUE(1598)</f>
        <v>1598</v>
      </c>
    </row>
    <row r="126" spans="1:9">
      <c r="A126" t="s">
        <v>27</v>
      </c>
      <c r="B126">
        <f>VALUE(102622)</f>
        <v>102622</v>
      </c>
      <c r="C126">
        <f>VALUE(66869)</f>
        <v>66869</v>
      </c>
      <c r="D126">
        <f>VALUE(51055)</f>
        <v>51055</v>
      </c>
      <c r="E126">
        <f>VALUE(97417)</f>
        <v>97417</v>
      </c>
      <c r="F126">
        <f>VALUE(257241)</f>
        <v>257241</v>
      </c>
    </row>
    <row r="127" spans="1:9">
      <c r="A127" t="s">
        <v>25</v>
      </c>
      <c r="B127">
        <f>VALUE(2015898)</f>
        <v>2015898</v>
      </c>
      <c r="C127">
        <f>VALUE(1812101)</f>
        <v>1812101</v>
      </c>
      <c r="D127">
        <f>VALUE(340626)</f>
        <v>340626</v>
      </c>
      <c r="E127">
        <f>VALUE(359161)</f>
        <v>359161</v>
      </c>
      <c r="F127">
        <f>VALUE(255642)</f>
        <v>255642</v>
      </c>
    </row>
    <row r="129" spans="1:9">
      <c r="A129" t="s">
        <v>52</v>
      </c>
    </row>
    <row r="130" spans="1:9">
      <c r="A130" t="s">
        <v>1</v>
      </c>
      <c r="B130" t="s">
        <v>2</v>
      </c>
      <c r="C130" t="s">
        <v>53</v>
      </c>
      <c r="D130" t="s">
        <v>54</v>
      </c>
      <c r="E130" t="s">
        <v>55</v>
      </c>
    </row>
    <row r="131" spans="1:9">
      <c r="A131" t="s">
        <v>7</v>
      </c>
      <c r="B131"/>
      <c r="C131"/>
      <c r="D131"/>
      <c r="E131"/>
    </row>
    <row r="132" spans="1:9">
      <c r="A132" t="s">
        <v>8</v>
      </c>
      <c r="B132">
        <f>VALUE(5332569)</f>
        <v>5332569</v>
      </c>
      <c r="C132">
        <f>VALUE(735891)</f>
        <v>735891</v>
      </c>
      <c r="D132">
        <f>VALUE(1518461)</f>
        <v>1518461</v>
      </c>
      <c r="E132">
        <f>VALUE(277131)</f>
        <v>277131</v>
      </c>
      <c r="H132" t="s">
        <v>9</v>
      </c>
    </row>
    <row r="133" spans="1:9">
      <c r="A133" t="s">
        <v>10</v>
      </c>
      <c r="B133">
        <f>VALUE(1121701)</f>
        <v>1121701</v>
      </c>
      <c r="C133">
        <f>VALUE(1203787)</f>
        <v>1203787</v>
      </c>
      <c r="D133">
        <f>VALUE(764527)</f>
        <v>764527</v>
      </c>
      <c r="E133">
        <f>VALUE(177626)</f>
        <v>177626</v>
      </c>
    </row>
    <row r="134" spans="1:9">
      <c r="A134" t="s">
        <v>11</v>
      </c>
      <c r="B134">
        <f>VALUE(1950275)</f>
        <v>1950275</v>
      </c>
      <c r="C134">
        <f>VALUE(2118606)</f>
        <v>2118606</v>
      </c>
      <c r="D134">
        <f>VALUE(419541)</f>
        <v>419541</v>
      </c>
      <c r="E134">
        <f>VALUE(22796)</f>
        <v>22796</v>
      </c>
    </row>
    <row r="135" spans="1:9">
      <c r="A135" t="s">
        <v>36</v>
      </c>
      <c r="B135">
        <f>VALUE(415455)</f>
        <v>415455</v>
      </c>
      <c r="C135">
        <f>VALUE(499544)</f>
        <v>499544</v>
      </c>
      <c r="D135">
        <f>VALUE(267486)</f>
        <v>267486</v>
      </c>
      <c r="E135">
        <f>VALUE(26285)</f>
        <v>26285</v>
      </c>
    </row>
    <row r="136" spans="1:9">
      <c r="A136" t="s">
        <v>12</v>
      </c>
      <c r="B136">
        <f>VALUE(18555)</f>
        <v>18555</v>
      </c>
      <c r="C136">
        <f>VALUE(909614)</f>
        <v>909614</v>
      </c>
      <c r="D136">
        <f>VALUE(1816295)</f>
        <v>1816295</v>
      </c>
      <c r="E136">
        <f>VALUE(1361989)</f>
        <v>1361989</v>
      </c>
    </row>
    <row r="137" spans="1:9">
      <c r="A137" t="s">
        <v>13</v>
      </c>
      <c r="B137">
        <f>VALUE(4599078)</f>
        <v>4599078</v>
      </c>
      <c r="C137">
        <f>VALUE(1952013)</f>
        <v>1952013</v>
      </c>
      <c r="D137">
        <f>VALUE(3458436)</f>
        <v>3458436</v>
      </c>
      <c r="E137">
        <f>VALUE(819091)</f>
        <v>819091</v>
      </c>
    </row>
    <row r="138" spans="1:9">
      <c r="A138" t="s">
        <v>14</v>
      </c>
      <c r="B138">
        <f>VALUE(1640782)</f>
        <v>1640782</v>
      </c>
      <c r="C138">
        <f>VALUE(2376353)</f>
        <v>2376353</v>
      </c>
      <c r="D138">
        <f>VALUE(2573609)</f>
        <v>2573609</v>
      </c>
      <c r="E138">
        <f>VALUE(881143)</f>
        <v>881143</v>
      </c>
    </row>
    <row r="139" spans="1:9">
      <c r="A139" t="s">
        <v>15</v>
      </c>
      <c r="B139"/>
      <c r="C139"/>
      <c r="D139"/>
      <c r="E139"/>
    </row>
    <row r="140" spans="1:9">
      <c r="A140" t="s">
        <v>16</v>
      </c>
      <c r="B140">
        <f>VALUE(1659337)</f>
        <v>1659337</v>
      </c>
      <c r="C140">
        <f>VALUE(1466739)</f>
        <v>1466739</v>
      </c>
      <c r="D140">
        <f>VALUE(757314)</f>
        <v>757314</v>
      </c>
      <c r="E140">
        <f>VALUE(480846)</f>
        <v>480846</v>
      </c>
    </row>
    <row r="141" spans="1:9">
      <c r="A141" t="s">
        <v>17</v>
      </c>
      <c r="B141"/>
      <c r="C141"/>
      <c r="D141">
        <f>VALUE(22611)</f>
        <v>22611</v>
      </c>
      <c r="E141">
        <f>VALUE(58604)</f>
        <v>58604</v>
      </c>
    </row>
    <row r="142" spans="1:9">
      <c r="A142" t="s">
        <v>21</v>
      </c>
      <c r="B142">
        <f>VALUE(656475)</f>
        <v>656475</v>
      </c>
      <c r="C142">
        <f>VALUE(1323488)</f>
        <v>1323488</v>
      </c>
      <c r="D142">
        <f>VALUE(779925)</f>
        <v>779925</v>
      </c>
      <c r="E142">
        <f>VALUE(445355)</f>
        <v>445355</v>
      </c>
    </row>
    <row r="143" spans="1:9">
      <c r="A143" t="s">
        <v>22</v>
      </c>
      <c r="B143">
        <f>VALUE(734371)</f>
        <v>734371</v>
      </c>
      <c r="C143">
        <f>VALUE(260326)</f>
        <v>260326</v>
      </c>
      <c r="D143">
        <f>VALUE(2065845)</f>
        <v>2065845</v>
      </c>
      <c r="E143">
        <f>VALUE(1323498)</f>
        <v>1323498</v>
      </c>
    </row>
    <row r="144" spans="1:9">
      <c r="A144" t="s">
        <v>23</v>
      </c>
      <c r="B144">
        <f>VALUE(701010)</f>
        <v>701010</v>
      </c>
      <c r="C144">
        <f>VALUE(587388)</f>
        <v>587388</v>
      </c>
      <c r="D144">
        <f>VALUE(2494595)</f>
        <v>2494595</v>
      </c>
      <c r="E144">
        <f>VALUE(263331)</f>
        <v>263331</v>
      </c>
    </row>
    <row r="145" spans="1:9">
      <c r="A145" t="s">
        <v>24</v>
      </c>
      <c r="B145">
        <f>VALUE(199018)</f>
        <v>199018</v>
      </c>
      <c r="C145">
        <f>VALUE(327062)</f>
        <v>327062</v>
      </c>
      <c r="D145">
        <f>VALUE(428750)</f>
        <v>428750</v>
      </c>
      <c r="E145">
        <f>VALUE(1586829)</f>
        <v>1586829</v>
      </c>
    </row>
    <row r="146" spans="1:9">
      <c r="A146" t="s">
        <v>25</v>
      </c>
      <c r="B146"/>
      <c r="C146"/>
      <c r="D146"/>
      <c r="E146"/>
    </row>
    <row r="147" spans="1:9">
      <c r="A147" t="s">
        <v>26</v>
      </c>
      <c r="B147">
        <f>VALUE(1640782)</f>
        <v>1640782</v>
      </c>
      <c r="C147">
        <f>VALUE(2376353)</f>
        <v>2376353</v>
      </c>
      <c r="D147">
        <f>VALUE(2573609)</f>
        <v>2573609</v>
      </c>
      <c r="E147">
        <f>VALUE(881143)</f>
        <v>881143</v>
      </c>
    </row>
    <row r="148" spans="1:9">
      <c r="A148" t="s">
        <v>27</v>
      </c>
      <c r="B148">
        <f>VALUE(1659337)</f>
        <v>1659337</v>
      </c>
      <c r="C148">
        <f>VALUE(1466739)</f>
        <v>1466739</v>
      </c>
      <c r="D148">
        <f>VALUE(757314)</f>
        <v>757314</v>
      </c>
      <c r="E148">
        <f>VALUE(480846)</f>
        <v>480846</v>
      </c>
    </row>
    <row r="149" spans="1:9">
      <c r="A149" t="s">
        <v>25</v>
      </c>
      <c r="B149">
        <f>VALUE(18555)</f>
        <v>18555</v>
      </c>
      <c r="C149">
        <f>VALUE(909614)</f>
        <v>909614</v>
      </c>
      <c r="D149">
        <f>VALUE(1816295)</f>
        <v>1816295</v>
      </c>
      <c r="E149">
        <f>VALUE(1361989)</f>
        <v>1361989</v>
      </c>
    </row>
    <row r="151" spans="1:9">
      <c r="A151" t="s">
        <v>56</v>
      </c>
    </row>
    <row r="152" spans="1:9">
      <c r="A152" t="s">
        <v>1</v>
      </c>
      <c r="B152" t="s">
        <v>2</v>
      </c>
      <c r="C152" t="s">
        <v>3</v>
      </c>
      <c r="D152" t="s">
        <v>4</v>
      </c>
      <c r="E152" t="s">
        <v>5</v>
      </c>
      <c r="F152" t="s">
        <v>6</v>
      </c>
    </row>
    <row r="153" spans="1:9">
      <c r="A153" t="s">
        <v>7</v>
      </c>
      <c r="B153"/>
      <c r="C153"/>
      <c r="D153"/>
      <c r="E153"/>
      <c r="F153"/>
    </row>
    <row r="154" spans="1:9">
      <c r="A154" t="s">
        <v>8</v>
      </c>
      <c r="B154">
        <f>VALUE(1161591)</f>
        <v>1161591</v>
      </c>
      <c r="C154">
        <f>VALUE(274352)</f>
        <v>274352</v>
      </c>
      <c r="D154">
        <f>VALUE(1507321)</f>
        <v>1507321</v>
      </c>
      <c r="E154">
        <f>VALUE(1316783)</f>
        <v>1316783</v>
      </c>
      <c r="F154">
        <f>VALUE(1686092)</f>
        <v>1686092</v>
      </c>
      <c r="I154" t="s">
        <v>9</v>
      </c>
    </row>
    <row r="155" spans="1:9">
      <c r="A155" t="s">
        <v>10</v>
      </c>
      <c r="B155">
        <f>VALUE(1259822)</f>
        <v>1259822</v>
      </c>
      <c r="C155">
        <f>VALUE(1355462)</f>
        <v>1355462</v>
      </c>
      <c r="D155">
        <f>VALUE(1119936)</f>
        <v>1119936</v>
      </c>
      <c r="E155">
        <f>VALUE(1114899)</f>
        <v>1114899</v>
      </c>
      <c r="F155">
        <f>VALUE(244078)</f>
        <v>244078</v>
      </c>
    </row>
    <row r="156" spans="1:9">
      <c r="A156" t="s">
        <v>11</v>
      </c>
      <c r="B156">
        <f>VALUE(1253336)</f>
        <v>1253336</v>
      </c>
      <c r="C156">
        <f>VALUE(815054)</f>
        <v>815054</v>
      </c>
      <c r="D156">
        <f>VALUE(250496)</f>
        <v>250496</v>
      </c>
      <c r="E156">
        <f>VALUE(171302)</f>
        <v>171302</v>
      </c>
      <c r="F156">
        <f>VALUE(820128)</f>
        <v>820128</v>
      </c>
    </row>
    <row r="157" spans="1:9">
      <c r="A157" t="s">
        <v>36</v>
      </c>
      <c r="B157">
        <f>VALUE(166153)</f>
        <v>166153</v>
      </c>
      <c r="C157">
        <f>VALUE(465304)</f>
        <v>465304</v>
      </c>
      <c r="D157">
        <f>VALUE(246417)</f>
        <v>246417</v>
      </c>
      <c r="E157">
        <f>VALUE(155298)</f>
        <v>155298</v>
      </c>
      <c r="F157">
        <f>VALUE(211982)</f>
        <v>211982</v>
      </c>
    </row>
    <row r="158" spans="1:9">
      <c r="A158" t="s">
        <v>12</v>
      </c>
      <c r="B158">
        <f>VALUE(2384106)</f>
        <v>2384106</v>
      </c>
      <c r="C158">
        <f>VALUE(1456758)</f>
        <v>1456758</v>
      </c>
      <c r="D158">
        <f>VALUE(537026)</f>
        <v>537026</v>
      </c>
      <c r="E158">
        <f>VALUE(208692)</f>
        <v>208692</v>
      </c>
      <c r="F158">
        <f>VALUE(2915715)</f>
        <v>2915715</v>
      </c>
    </row>
    <row r="159" spans="1:9">
      <c r="A159" t="s">
        <v>13</v>
      </c>
      <c r="B159">
        <f>VALUE(387110)</f>
        <v>387110</v>
      </c>
      <c r="C159">
        <f>VALUE(345036)</f>
        <v>345036</v>
      </c>
      <c r="D159">
        <f>VALUE(659927)</f>
        <v>659927</v>
      </c>
      <c r="E159">
        <f>VALUE(198661)</f>
        <v>198661</v>
      </c>
      <c r="F159">
        <f>VALUE(121621)</f>
        <v>121621</v>
      </c>
    </row>
    <row r="160" spans="1:9">
      <c r="A160" t="s">
        <v>14</v>
      </c>
      <c r="B160">
        <f>VALUE(2885187)</f>
        <v>2885187</v>
      </c>
      <c r="C160">
        <f>VALUE(2075647)</f>
        <v>2075647</v>
      </c>
      <c r="D160">
        <f>VALUE(1410108)</f>
        <v>1410108</v>
      </c>
      <c r="E160">
        <f>VALUE(1139568)</f>
        <v>1139568</v>
      </c>
      <c r="F160">
        <f>VALUE(3388178)</f>
        <v>3388178</v>
      </c>
    </row>
    <row r="161" spans="1:9">
      <c r="A161" t="s">
        <v>15</v>
      </c>
      <c r="B161"/>
      <c r="C161"/>
      <c r="D161"/>
      <c r="E161"/>
      <c r="F161"/>
    </row>
    <row r="162" spans="1:9">
      <c r="A162" t="s">
        <v>16</v>
      </c>
      <c r="B162">
        <f>VALUE(501081)</f>
        <v>501081</v>
      </c>
      <c r="C162">
        <f>VALUE(618889)</f>
        <v>618889</v>
      </c>
      <c r="D162">
        <f>VALUE(873081)</f>
        <v>873081</v>
      </c>
      <c r="E162">
        <f>VALUE(1348260)</f>
        <v>1348260</v>
      </c>
      <c r="F162">
        <f>VALUE(472464)</f>
        <v>472464</v>
      </c>
    </row>
    <row r="163" spans="1:9">
      <c r="A163" t="s">
        <v>17</v>
      </c>
      <c r="B163"/>
      <c r="C163" t="s">
        <v>57</v>
      </c>
      <c r="D163" t="s">
        <v>58</v>
      </c>
      <c r="E163">
        <f>VALUE(103932)</f>
        <v>103932</v>
      </c>
      <c r="F163">
        <f>VALUE(19646)</f>
        <v>19646</v>
      </c>
    </row>
    <row r="164" spans="1:9">
      <c r="A164" t="s">
        <v>18</v>
      </c>
      <c r="B164">
        <f>VALUE(891385)</f>
        <v>891385</v>
      </c>
      <c r="C164">
        <f>VALUE(416710)</f>
        <v>416710</v>
      </c>
      <c r="D164"/>
      <c r="E164"/>
      <c r="F164"/>
    </row>
    <row r="165" spans="1:9">
      <c r="A165" t="s">
        <v>19</v>
      </c>
      <c r="B165">
        <f>VALUE(367713)</f>
        <v>367713</v>
      </c>
      <c r="C165">
        <f>VALUE(165913)</f>
        <v>165913</v>
      </c>
      <c r="D165">
        <f>VALUE(156479)</f>
        <v>156479</v>
      </c>
      <c r="E165">
        <f>VALUE(41062)</f>
        <v>41062</v>
      </c>
      <c r="F165">
        <f>VALUE(25573)</f>
        <v>25573</v>
      </c>
    </row>
    <row r="166" spans="1:9">
      <c r="A166" t="s">
        <v>20</v>
      </c>
      <c r="B166">
        <f>VALUE(11688)</f>
        <v>11688</v>
      </c>
      <c r="C166">
        <f>VALUE(1768)</f>
        <v>1768</v>
      </c>
      <c r="D166">
        <f>VALUE(6133)</f>
        <v>6133</v>
      </c>
      <c r="E166"/>
      <c r="F166">
        <f>VALUE(3185408)</f>
        <v>3185408</v>
      </c>
    </row>
    <row r="167" spans="1:9">
      <c r="A167" t="s">
        <v>21</v>
      </c>
      <c r="B167">
        <f>VALUE(880011)</f>
        <v>880011</v>
      </c>
      <c r="C167">
        <f>VALUE(704252)</f>
        <v>704252</v>
      </c>
      <c r="D167">
        <f>VALUE(610366)</f>
        <v>610366</v>
      </c>
      <c r="E167">
        <f>VALUE(590059)</f>
        <v>590059</v>
      </c>
      <c r="F167">
        <f>VALUE(3244065)</f>
        <v>3244065</v>
      </c>
    </row>
    <row r="168" spans="1:9">
      <c r="A168" t="s">
        <v>22</v>
      </c>
      <c r="B168">
        <f>VALUE(102630)</f>
        <v>102630</v>
      </c>
      <c r="C168">
        <f>VALUE(224598)</f>
        <v>224598</v>
      </c>
      <c r="D168">
        <f>VALUE(306749)</f>
        <v>306749</v>
      </c>
      <c r="E168">
        <f>VALUE(484170)</f>
        <v>484170</v>
      </c>
      <c r="F168">
        <f>VALUE(296041)</f>
        <v>296041</v>
      </c>
    </row>
    <row r="169" spans="1:9">
      <c r="A169" t="s">
        <v>23</v>
      </c>
      <c r="B169">
        <f>VALUE(3314573)</f>
        <v>3314573</v>
      </c>
      <c r="C169">
        <f>VALUE(3011841)</f>
        <v>3011841</v>
      </c>
      <c r="D169">
        <f>VALUE(1905553)</f>
        <v>1905553</v>
      </c>
      <c r="E169">
        <f>VALUE(2389724)</f>
        <v>2389724</v>
      </c>
      <c r="F169">
        <f>VALUE(3350687)</f>
        <v>3350687</v>
      </c>
    </row>
    <row r="170" spans="1:9">
      <c r="A170" t="s">
        <v>24</v>
      </c>
      <c r="B170">
        <f>VALUE(3417203)</f>
        <v>3417203</v>
      </c>
      <c r="C170">
        <f>VALUE(2787243)</f>
        <v>2787243</v>
      </c>
      <c r="D170">
        <f>VALUE(2212302)</f>
        <v>2212302</v>
      </c>
      <c r="E170">
        <f>VALUE(1905553)</f>
        <v>1905553</v>
      </c>
      <c r="F170">
        <f>VALUE(1052123)</f>
        <v>1052123</v>
      </c>
    </row>
    <row r="171" spans="1:9">
      <c r="A171" t="s">
        <v>25</v>
      </c>
      <c r="B171"/>
      <c r="C171"/>
      <c r="D171"/>
      <c r="E171"/>
      <c r="F171"/>
    </row>
    <row r="172" spans="1:9">
      <c r="A172" t="s">
        <v>26</v>
      </c>
      <c r="B172">
        <f>VALUE(2885187)</f>
        <v>2885187</v>
      </c>
      <c r="C172">
        <f>VALUE(2075647)</f>
        <v>2075647</v>
      </c>
      <c r="D172">
        <f>VALUE(1410108)</f>
        <v>1410108</v>
      </c>
      <c r="E172">
        <f>VALUE(1139568)</f>
        <v>1139568</v>
      </c>
      <c r="F172">
        <f>VALUE(3388178)</f>
        <v>3388178</v>
      </c>
    </row>
    <row r="173" spans="1:9">
      <c r="A173" t="s">
        <v>27</v>
      </c>
      <c r="B173">
        <f>VALUE(501081)</f>
        <v>501081</v>
      </c>
      <c r="C173">
        <f>VALUE(618889)</f>
        <v>618889</v>
      </c>
      <c r="D173">
        <f>VALUE(873081)</f>
        <v>873081</v>
      </c>
      <c r="E173">
        <f>VALUE(1348260)</f>
        <v>1348260</v>
      </c>
      <c r="F173">
        <f>VALUE(472464)</f>
        <v>472464</v>
      </c>
    </row>
    <row r="174" spans="1:9">
      <c r="A174" t="s">
        <v>25</v>
      </c>
      <c r="B174">
        <f>VALUE(2384106)</f>
        <v>2384106</v>
      </c>
      <c r="C174">
        <f>VALUE(1456758)</f>
        <v>1456758</v>
      </c>
      <c r="D174">
        <f>VALUE(537026)</f>
        <v>537026</v>
      </c>
      <c r="E174">
        <f>VALUE(208692)</f>
        <v>208692</v>
      </c>
      <c r="F174">
        <f>VALUE(2915715)</f>
        <v>2915715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2021-07-11T21:28:10+00:00</dcterms:created>
  <dcterms:modified xsi:type="dcterms:W3CDTF">2021-07-11T21:28:10+00:00</dcterms:modified>
  <dc:title>Untitled Spreadsheet</dc:title>
  <dc:description/>
  <dc:subject/>
  <cp:keywords/>
  <cp:category/>
</cp:coreProperties>
</file>