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<sst xmlns="http://schemas.openxmlformats.org/spreadsheetml/2006/main" uniqueCount="49">
  <si>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Compañía de Transporte de Energía Eléctrica en Alta Tensión Transener S.A. (TRAN.BA)</t>
  </si>
  <si>
    <t>Détails</t>
  </si>
  <si>
    <t>ttm</t>
  </si>
  <si>
    <t>31/12/2020</t>
  </si>
  <si>
    <t>31/12/2019</t>
  </si>
  <si>
    <t>31/12/2018</t>
  </si>
  <si>
    <t>31/12/2017</t>
  </si>
  <si>
    <t>Chiffred’affairestotal</t>
  </si>
  <si>
    <t>Coûtdesventes</t>
  </si>
  <si>
    <t>Bénéficebrut</t>
  </si>
  <si>
    <t>MARGE BRUTE</t>
  </si>
  <si>
    <t>Fraisd’exploitation</t>
  </si>
  <si>
    <t>Ventesgénéralesetadministratives</t>
  </si>
  <si>
    <t>FRAIS D'EXPLOIT</t>
  </si>
  <si>
    <t>Fraisd’exploitationtotaux</t>
  </si>
  <si>
    <t>Bénéficeouperted’exploitation</t>
  </si>
  <si>
    <t>Charged’intérêt</t>
  </si>
  <si>
    <t>CHARGE D'INTERET</t>
  </si>
  <si>
    <t>Revenuavanttaxes</t>
  </si>
  <si>
    <t>Charged’impôts</t>
  </si>
  <si>
    <t>Revenudesactivitéspoursuivies</t>
  </si>
  <si>
    <t>Bénéficenet</t>
  </si>
  <si>
    <t>MARGE NET</t>
  </si>
  <si>
    <t>Bénéficenetdisponiblepourlesactionnairesordinaires</t>
  </si>
  <si>
    <t>BPAdebase</t>
  </si>
  <si>
    <t>BPAdilué</t>
  </si>
  <si>
    <t>Actionsmoyennesdebase</t>
  </si>
  <si>
    <t>Actionsmoyennesdiluées</t>
  </si>
  <si>
    <t>EBITDA</t>
  </si>
  <si>
    <t>Cisco Systems, Inc. (CSCO.BA)</t>
  </si>
  <si>
    <t>31/07/2020</t>
  </si>
  <si>
    <t>31/07/2019</t>
  </si>
  <si>
    <t>31/07/2018</t>
  </si>
  <si>
    <t>31/07/2017</t>
  </si>
  <si>
    <t>Développementdelarecherche</t>
  </si>
  <si>
    <t>RESERCHE DEVELOPPEMENT</t>
  </si>
  <si>
    <t>Totaldesautresrevenus/fraisnets</t>
  </si>
  <si>
    <t>Sociedad Comercial del Plata S.A. (COME.BA)</t>
  </si>
  <si>
    <t>Banco Hipotecario S.A. (BHIP.BA)</t>
  </si>
  <si>
    <t>Rigolleau S.A. (RIGO.BA)</t>
  </si>
  <si>
    <t>30/11/2020</t>
  </si>
  <si>
    <t>30/11/2019</t>
  </si>
  <si>
    <t>30/11/2018</t>
  </si>
  <si>
    <t>30/11/2017</t>
  </si>
  <si>
    <t>Ledesma Sociedad Anónima Agrícola Industrial (LEDE.BA)</t>
  </si>
  <si>
    <t>31/05/2020</t>
  </si>
  <si>
    <t>31/05/2019</t>
  </si>
  <si>
    <t>31/05/2018</t>
  </si>
  <si>
    <t>Grupo Clarín S.A. (GCLA.BA)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</si>
</sst>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39a6a3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45"/>
  <sheetViews>
    <sheetView tabSelected="1" workbookViewId="0" showGridLines="true" showRowColHeaders="1">
      <selection activeCell="K135" sqref="K135"/>
    </sheetView>
  </sheetViews>
  <sheetFormatPr defaultRowHeight="14.4" outlineLevelRow="0" outlineLevelCol="0"/>
  <sheetData>
    <row r="1" spans="1:15">
      <c r="A1" t="s">
        <v>0</v>
      </c>
    </row>
    <row r="2" spans="1: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5">
      <c r="A3" t="s">
        <v>7</v>
      </c>
      <c r="B3">
        <f>VALUE(14982005)</f>
        <v>14982005</v>
      </c>
      <c r="C3">
        <f>VALUE(16289060)</f>
        <v>16289060</v>
      </c>
      <c r="D3">
        <f>VALUE(14479229)</f>
        <v>14479229</v>
      </c>
      <c r="E3">
        <f>VALUE(9838494)</f>
        <v>9838494</v>
      </c>
      <c r="F3">
        <f>VALUE(6024985)</f>
        <v>6024985</v>
      </c>
    </row>
    <row r="4" spans="1:15">
      <c r="A4" t="s">
        <v>8</v>
      </c>
      <c r="B4">
        <f>VALUE(8163154)</f>
        <v>8163154</v>
      </c>
      <c r="C4">
        <f>VALUE(8251169)</f>
        <v>8251169</v>
      </c>
      <c r="D4">
        <f>VALUE(5960050)</f>
        <v>5960050</v>
      </c>
      <c r="E4">
        <f>VALUE(4031311)</f>
        <v>4031311</v>
      </c>
      <c r="F4">
        <f>VALUE(2088915)</f>
        <v>2088915</v>
      </c>
    </row>
    <row r="5" spans="1:15">
      <c r="A5" t="s">
        <v>9</v>
      </c>
      <c r="B5">
        <f>VALUE(6818851)</f>
        <v>6818851</v>
      </c>
      <c r="C5">
        <f>VALUE(8037891)</f>
        <v>8037891</v>
      </c>
      <c r="D5">
        <f>VALUE(8519179)</f>
        <v>8519179</v>
      </c>
      <c r="E5">
        <f>VALUE(5807183)</f>
        <v>5807183</v>
      </c>
      <c r="F5">
        <f>VALUE(3936070)</f>
        <v>3936070</v>
      </c>
      <c r="I5" t="s">
        <v>10</v>
      </c>
      <c r="J5">
        <v>45.513607824854</v>
      </c>
      <c r="K5">
        <v>49.34533361655</v>
      </c>
      <c r="L5">
        <v>58.837241955355</v>
      </c>
      <c r="M5">
        <v>59.02512112118</v>
      </c>
      <c r="N5" s="1">
        <v>65.329125300727</v>
      </c>
      <c r="O5" s="1">
        <v>65.329125300727</v>
      </c>
    </row>
    <row r="6" spans="1:15">
      <c r="A6" t="s">
        <v>11</v>
      </c>
      <c r="B6"/>
      <c r="C6"/>
      <c r="D6"/>
      <c r="E6"/>
      <c r="F6"/>
    </row>
    <row r="7" spans="1:15">
      <c r="A7" t="s">
        <v>12</v>
      </c>
      <c r="B7">
        <f>VALUE(112749)</f>
        <v>112749</v>
      </c>
      <c r="C7">
        <f>VALUE(114924)</f>
        <v>114924</v>
      </c>
      <c r="D7">
        <f>VALUE(89888)</f>
        <v>89888</v>
      </c>
      <c r="E7">
        <f>VALUE(67233)</f>
        <v>67233</v>
      </c>
      <c r="F7">
        <f>VALUE(99384)</f>
        <v>99384</v>
      </c>
      <c r="I7" t="s">
        <v>13</v>
      </c>
      <c r="J7" s="1">
        <v>1.6534897154961</v>
      </c>
      <c r="K7" s="1">
        <v>1.4297780350592</v>
      </c>
      <c r="L7" s="1">
        <v>1.0551251476228</v>
      </c>
      <c r="M7" s="1">
        <v>1.1577558344554</v>
      </c>
      <c r="N7" s="1">
        <v>2.5249550948027</v>
      </c>
      <c r="O7" s="1">
        <v>2.5249550948027</v>
      </c>
    </row>
    <row r="8" spans="1:15">
      <c r="A8" t="s">
        <v>14</v>
      </c>
      <c r="B8">
        <f>VALUE(1164328)</f>
        <v>1164328</v>
      </c>
      <c r="C8">
        <f>VALUE(1209354)</f>
        <v>1209354</v>
      </c>
      <c r="D8">
        <f>VALUE(627426)</f>
        <v>627426</v>
      </c>
      <c r="E8">
        <f>VALUE(406115)</f>
        <v>406115</v>
      </c>
      <c r="F8">
        <f>VALUE(570155)</f>
        <v>570155</v>
      </c>
    </row>
    <row r="9" spans="1:15">
      <c r="A9" t="s">
        <v>15</v>
      </c>
      <c r="B9">
        <f>VALUE(5654523)</f>
        <v>5654523</v>
      </c>
      <c r="C9">
        <f>VALUE(6828537)</f>
        <v>6828537</v>
      </c>
      <c r="D9">
        <f>VALUE(7891753)</f>
        <v>7891753</v>
      </c>
      <c r="E9">
        <f>VALUE(5401068)</f>
        <v>5401068</v>
      </c>
      <c r="F9">
        <f>VALUE(3365915)</f>
        <v>3365915</v>
      </c>
    </row>
    <row r="10" spans="1:15">
      <c r="A10" t="s">
        <v>16</v>
      </c>
      <c r="B10">
        <f>VALUE(814382)</f>
        <v>814382</v>
      </c>
      <c r="C10">
        <f>VALUE(814983)</f>
        <v>814983</v>
      </c>
      <c r="D10">
        <f>VALUE(1114188)</f>
        <v>1114188</v>
      </c>
      <c r="E10">
        <f>VALUE(442258)</f>
        <v>442258</v>
      </c>
      <c r="F10">
        <f>VALUE(187292)</f>
        <v>187292</v>
      </c>
      <c r="I10" t="s">
        <v>17</v>
      </c>
      <c r="J10" s="1">
        <v>14.40231121175</v>
      </c>
      <c r="K10" s="1">
        <v>11.934957663699</v>
      </c>
      <c r="L10" s="1">
        <v>14.118384090328</v>
      </c>
      <c r="M10" s="1">
        <v>8.1883434905837</v>
      </c>
      <c r="N10" s="1">
        <v>5.5643710551217</v>
      </c>
      <c r="O10" s="1">
        <v>5.5643710551217</v>
      </c>
    </row>
    <row r="11" spans="1:15">
      <c r="A11" t="s">
        <v>18</v>
      </c>
      <c r="B11">
        <f>VALUE(4653986)</f>
        <v>4653986</v>
      </c>
      <c r="C11">
        <f>VALUE(5944714)</f>
        <v>5944714</v>
      </c>
      <c r="D11">
        <f>VALUE(7580199)</f>
        <v>7580199</v>
      </c>
      <c r="E11">
        <f>VALUE(4976188)</f>
        <v>4976188</v>
      </c>
      <c r="F11">
        <f>VALUE(3360204)</f>
        <v>3360204</v>
      </c>
    </row>
    <row r="12" spans="1:15">
      <c r="A12" t="s">
        <v>19</v>
      </c>
      <c r="B12">
        <f>VALUE(1543953)</f>
        <v>1543953</v>
      </c>
      <c r="C12">
        <f>VALUE(1781203)</f>
        <v>1781203</v>
      </c>
      <c r="D12">
        <f>VALUE(3522677)</f>
        <v>3522677</v>
      </c>
      <c r="E12">
        <f>VALUE(1799549)</f>
        <v>1799549</v>
      </c>
      <c r="F12">
        <f>VALUE(985158)</f>
        <v>985158</v>
      </c>
    </row>
    <row r="13" spans="1:15">
      <c r="A13" t="s">
        <v>20</v>
      </c>
      <c r="B13">
        <f>VALUE(3110033)</f>
        <v>3110033</v>
      </c>
      <c r="C13">
        <f>VALUE(4163511)</f>
        <v>4163511</v>
      </c>
      <c r="D13">
        <f>VALUE(4057522)</f>
        <v>4057522</v>
      </c>
      <c r="E13">
        <f>VALUE(3176639)</f>
        <v>3176639</v>
      </c>
      <c r="F13">
        <f>VALUE(2375046)</f>
        <v>2375046</v>
      </c>
    </row>
    <row r="14" spans="1:15">
      <c r="A14" t="s">
        <v>21</v>
      </c>
      <c r="B14">
        <f>VALUE(3110033)</f>
        <v>3110033</v>
      </c>
      <c r="C14">
        <f>VALUE(4163511)</f>
        <v>4163511</v>
      </c>
      <c r="D14">
        <f>VALUE(3984877)</f>
        <v>3984877</v>
      </c>
      <c r="E14">
        <f>VALUE(3054935)</f>
        <v>3054935</v>
      </c>
      <c r="F14">
        <f>VALUE(2282093)</f>
        <v>2282093</v>
      </c>
      <c r="I14" t="s">
        <v>22</v>
      </c>
      <c r="J14">
        <v>20.758456561722</v>
      </c>
      <c r="K14">
        <v>25.560167376141</v>
      </c>
      <c r="L14">
        <v>27.521334181537</v>
      </c>
      <c r="M14">
        <v>31.050839691522</v>
      </c>
      <c r="N14" s="1">
        <v>37.877156540639</v>
      </c>
      <c r="O14" s="1">
        <v>37.877156540639</v>
      </c>
    </row>
    <row r="15" spans="1:15">
      <c r="A15" t="s">
        <v>23</v>
      </c>
      <c r="B15">
        <f>VALUE(3110033)</f>
        <v>3110033</v>
      </c>
      <c r="C15">
        <f>VALUE(4163511)</f>
        <v>4163511</v>
      </c>
      <c r="D15">
        <f>VALUE(3984877)</f>
        <v>3984877</v>
      </c>
      <c r="E15">
        <f>VALUE(3054935)</f>
        <v>3054935</v>
      </c>
      <c r="F15">
        <f>VALUE(2282093)</f>
        <v>2282093</v>
      </c>
    </row>
    <row r="16" spans="1:15">
      <c r="A16" t="s">
        <v>24</v>
      </c>
      <c r="B16"/>
      <c r="C16">
        <f>VALUE(9)</f>
        <v>9</v>
      </c>
      <c r="D16">
        <f>VALUE(8)</f>
        <v>8</v>
      </c>
      <c r="E16">
        <f>VALUE(6)</f>
        <v>6</v>
      </c>
      <c r="F16">
        <f>VALUE(5)</f>
        <v>5</v>
      </c>
    </row>
    <row r="17" spans="1:15">
      <c r="A17" t="s">
        <v>25</v>
      </c>
      <c r="B17"/>
      <c r="C17">
        <f>VALUE(9)</f>
        <v>9</v>
      </c>
      <c r="D17">
        <f>VALUE(8)</f>
        <v>8</v>
      </c>
      <c r="E17">
        <f>VALUE(6)</f>
        <v>6</v>
      </c>
      <c r="F17">
        <f>VALUE(5)</f>
        <v>5</v>
      </c>
    </row>
    <row r="18" spans="1:15">
      <c r="A18" t="s">
        <v>26</v>
      </c>
      <c r="B18"/>
      <c r="C18">
        <f>VALUE(444674)</f>
        <v>444674</v>
      </c>
      <c r="D18">
        <f>VALUE(444674)</f>
        <v>444674</v>
      </c>
      <c r="E18">
        <f>VALUE(444674)</f>
        <v>444674</v>
      </c>
      <c r="F18">
        <f>VALUE(444674)</f>
        <v>444674</v>
      </c>
    </row>
    <row r="19" spans="1:15">
      <c r="A19" t="s">
        <v>27</v>
      </c>
      <c r="B19"/>
      <c r="C19">
        <f>VALUE(444674)</f>
        <v>444674</v>
      </c>
      <c r="D19">
        <f>VALUE(444674)</f>
        <v>444674</v>
      </c>
      <c r="E19">
        <f>VALUE(444674)</f>
        <v>444674</v>
      </c>
      <c r="F19">
        <f>VALUE(444674)</f>
        <v>444674</v>
      </c>
    </row>
    <row r="20" spans="1:15">
      <c r="A20" t="s">
        <v>28</v>
      </c>
      <c r="B20"/>
      <c r="C20">
        <f>VALUE(8508793)</f>
        <v>8508793</v>
      </c>
      <c r="D20">
        <f>VALUE(9822149)</f>
        <v>9822149</v>
      </c>
      <c r="E20">
        <f>VALUE(6096587)</f>
        <v>6096587</v>
      </c>
      <c r="F20">
        <f>VALUE(3660587)</f>
        <v>3660587</v>
      </c>
    </row>
    <row r="22" spans="1:15">
      <c r="A22" t="s">
        <v>29</v>
      </c>
    </row>
    <row r="23" spans="1:15">
      <c r="A23" t="s">
        <v>1</v>
      </c>
      <c r="B23" t="s">
        <v>2</v>
      </c>
      <c r="C23" t="s">
        <v>30</v>
      </c>
      <c r="D23" t="s">
        <v>31</v>
      </c>
      <c r="E23" t="s">
        <v>32</v>
      </c>
      <c r="F23" t="s">
        <v>33</v>
      </c>
    </row>
    <row r="24" spans="1:15">
      <c r="A24" t="s">
        <v>7</v>
      </c>
      <c r="B24">
        <f>VALUE(48846000)</f>
        <v>48846000</v>
      </c>
      <c r="C24">
        <f>VALUE(49301000)</f>
        <v>49301000</v>
      </c>
      <c r="D24">
        <f>VALUE(51904000)</f>
        <v>51904000</v>
      </c>
      <c r="E24">
        <f>VALUE(49330000)</f>
        <v>49330000</v>
      </c>
      <c r="F24">
        <f>VALUE(48005000)</f>
        <v>48005000</v>
      </c>
    </row>
    <row r="25" spans="1:15">
      <c r="A25" t="s">
        <v>8</v>
      </c>
      <c r="B25">
        <f>VALUE(17612000)</f>
        <v>17612000</v>
      </c>
      <c r="C25">
        <f>VALUE(17618000)</f>
        <v>17618000</v>
      </c>
      <c r="D25">
        <f>VALUE(19238000)</f>
        <v>19238000</v>
      </c>
      <c r="E25">
        <f>VALUE(18724000)</f>
        <v>18724000</v>
      </c>
      <c r="F25">
        <f>VALUE(17781000)</f>
        <v>17781000</v>
      </c>
    </row>
    <row r="26" spans="1:15">
      <c r="A26" t="s">
        <v>9</v>
      </c>
      <c r="B26">
        <f>VALUE(31234000)</f>
        <v>31234000</v>
      </c>
      <c r="C26">
        <f>VALUE(31683000)</f>
        <v>31683000</v>
      </c>
      <c r="D26">
        <f>VALUE(32666000)</f>
        <v>32666000</v>
      </c>
      <c r="E26">
        <f>VALUE(30606000)</f>
        <v>30606000</v>
      </c>
      <c r="F26">
        <f>VALUE(30224000)</f>
        <v>30224000</v>
      </c>
      <c r="I26" t="s">
        <v>10</v>
      </c>
      <c r="J26">
        <v>63.943823445113</v>
      </c>
      <c r="K26">
        <v>64.264416543275</v>
      </c>
      <c r="L26">
        <v>62.935419235512</v>
      </c>
      <c r="M26">
        <v>62.043381309548</v>
      </c>
      <c r="N26">
        <v>62.96010832205</v>
      </c>
      <c r="O26">
        <v>62.96010832205</v>
      </c>
    </row>
    <row r="27" spans="1:15">
      <c r="A27" t="s">
        <v>11</v>
      </c>
      <c r="B27"/>
      <c r="C27"/>
      <c r="D27"/>
      <c r="E27"/>
      <c r="F27"/>
    </row>
    <row r="28" spans="1:15">
      <c r="A28" t="s">
        <v>34</v>
      </c>
      <c r="B28">
        <f>VALUE(6401000)</f>
        <v>6401000</v>
      </c>
      <c r="C28">
        <f>VALUE(6347000)</f>
        <v>6347000</v>
      </c>
      <c r="D28">
        <f>VALUE(6577000)</f>
        <v>6577000</v>
      </c>
      <c r="E28">
        <f>VALUE(6332000)</f>
        <v>6332000</v>
      </c>
      <c r="F28">
        <f>VALUE(6059000)</f>
        <v>6059000</v>
      </c>
      <c r="I28" t="s">
        <v>35</v>
      </c>
      <c r="J28">
        <v>20.493692770699</v>
      </c>
      <c r="K28">
        <v>20.032825174384</v>
      </c>
      <c r="L28">
        <v>20.134084369069</v>
      </c>
      <c r="M28">
        <v>20.688753839117</v>
      </c>
      <c r="N28">
        <v>20.046982530439</v>
      </c>
      <c r="O28">
        <v>20.046982530439</v>
      </c>
    </row>
    <row r="29" spans="1:15">
      <c r="A29" t="s">
        <v>12</v>
      </c>
      <c r="B29">
        <f>VALUE(11154000)</f>
        <v>11154000</v>
      </c>
      <c r="C29">
        <f>VALUE(11094000)</f>
        <v>11094000</v>
      </c>
      <c r="D29">
        <f>VALUE(11398000)</f>
        <v>11398000</v>
      </c>
      <c r="E29">
        <f>VALUE(11386000)</f>
        <v>11386000</v>
      </c>
      <c r="F29">
        <f>VALUE(11177000)</f>
        <v>11177000</v>
      </c>
      <c r="I29" t="s">
        <v>13</v>
      </c>
      <c r="J29">
        <v>35.711084075046</v>
      </c>
      <c r="K29">
        <v>35.0156235205</v>
      </c>
      <c r="L29">
        <v>34.892548827527</v>
      </c>
      <c r="M29">
        <v>37.201855845259</v>
      </c>
      <c r="N29">
        <v>36.980545262043</v>
      </c>
      <c r="O29">
        <v>36.980545262043</v>
      </c>
    </row>
    <row r="30" spans="1:15">
      <c r="A30" t="s">
        <v>14</v>
      </c>
      <c r="B30">
        <f>VALUE(17724000)</f>
        <v>17724000</v>
      </c>
      <c r="C30">
        <f>VALUE(17582000)</f>
        <v>17582000</v>
      </c>
      <c r="D30">
        <f>VALUE(18125000)</f>
        <v>18125000</v>
      </c>
      <c r="E30">
        <f>VALUE(17939000)</f>
        <v>17939000</v>
      </c>
      <c r="F30">
        <f>VALUE(17495000)</f>
        <v>17495000</v>
      </c>
    </row>
    <row r="31" spans="1:15">
      <c r="A31" t="s">
        <v>15</v>
      </c>
      <c r="B31">
        <f>VALUE(13510000)</f>
        <v>13510000</v>
      </c>
      <c r="C31">
        <f>VALUE(14101000)</f>
        <v>14101000</v>
      </c>
      <c r="D31">
        <f>VALUE(14541000)</f>
        <v>14541000</v>
      </c>
      <c r="E31">
        <f>VALUE(12667000)</f>
        <v>12667000</v>
      </c>
      <c r="F31">
        <f>VALUE(12729000)</f>
        <v>12729000</v>
      </c>
    </row>
    <row r="32" spans="1:15">
      <c r="A32" t="s">
        <v>16</v>
      </c>
      <c r="B32">
        <f>VALUE(455000)</f>
        <v>455000</v>
      </c>
      <c r="C32">
        <f>VALUE(585000)</f>
        <v>585000</v>
      </c>
      <c r="D32">
        <f>VALUE(859000)</f>
        <v>859000</v>
      </c>
      <c r="E32">
        <f>VALUE(943000)</f>
        <v>943000</v>
      </c>
      <c r="F32">
        <f>VALUE(861000)</f>
        <v>861000</v>
      </c>
      <c r="I32" t="s">
        <v>17</v>
      </c>
      <c r="J32" s="1">
        <v>3.3678756476684</v>
      </c>
      <c r="K32" s="1">
        <v>4.1486419402879</v>
      </c>
      <c r="L32" s="1">
        <v>5.907434151709</v>
      </c>
      <c r="M32" s="1">
        <v>7.4445409331333</v>
      </c>
      <c r="N32" s="1">
        <v>6.7640820174405</v>
      </c>
      <c r="O32" s="1">
        <v>6.7640820174405</v>
      </c>
    </row>
    <row r="33" spans="1:15">
      <c r="A33" t="s">
        <v>36</v>
      </c>
      <c r="B33">
        <f>VALUE(897000)</f>
        <v>897000</v>
      </c>
      <c r="C33">
        <f>VALUE(466000)</f>
        <v>466000</v>
      </c>
      <c r="D33">
        <f>VALUE(419000)</f>
        <v>419000</v>
      </c>
      <c r="E33">
        <f>VALUE(193000)</f>
        <v>193000</v>
      </c>
      <c r="F33">
        <f>VALUE(919000)</f>
        <v>919000</v>
      </c>
    </row>
    <row r="34" spans="1:15">
      <c r="A34" t="s">
        <v>18</v>
      </c>
      <c r="B34">
        <f>VALUE(12833000)</f>
        <v>12833000</v>
      </c>
      <c r="C34">
        <f>VALUE(13970000)</f>
        <v>13970000</v>
      </c>
      <c r="D34">
        <f>VALUE(14571000)</f>
        <v>14571000</v>
      </c>
      <c r="E34">
        <f>VALUE(13039000)</f>
        <v>13039000</v>
      </c>
      <c r="F34">
        <f>VALUE(12287000)</f>
        <v>12287000</v>
      </c>
    </row>
    <row r="35" spans="1:15">
      <c r="A35" t="s">
        <v>19</v>
      </c>
      <c r="B35">
        <f>VALUE(2615000)</f>
        <v>2615000</v>
      </c>
      <c r="C35">
        <f>VALUE(2756000)</f>
        <v>2756000</v>
      </c>
      <c r="D35">
        <f>VALUE(2950000)</f>
        <v>2950000</v>
      </c>
      <c r="E35">
        <f>VALUE(12929000)</f>
        <v>12929000</v>
      </c>
      <c r="F35">
        <f>VALUE(2678000)</f>
        <v>2678000</v>
      </c>
    </row>
    <row r="36" spans="1:15">
      <c r="A36" t="s">
        <v>20</v>
      </c>
      <c r="B36">
        <f>VALUE(10218000)</f>
        <v>10218000</v>
      </c>
      <c r="C36">
        <f>VALUE(11214000)</f>
        <v>11214000</v>
      </c>
      <c r="D36">
        <f>VALUE(11621000)</f>
        <v>11621000</v>
      </c>
      <c r="E36">
        <f>VALUE(110000)</f>
        <v>110000</v>
      </c>
      <c r="F36">
        <f>VALUE(9609000)</f>
        <v>9609000</v>
      </c>
    </row>
    <row r="37" spans="1:15">
      <c r="A37" t="s">
        <v>21</v>
      </c>
      <c r="B37">
        <f>VALUE(10218000)</f>
        <v>10218000</v>
      </c>
      <c r="C37">
        <f>VALUE(11214000)</f>
        <v>11214000</v>
      </c>
      <c r="D37">
        <f>VALUE(11621000)</f>
        <v>11621000</v>
      </c>
      <c r="E37">
        <f>VALUE(110000)</f>
        <v>110000</v>
      </c>
      <c r="F37">
        <f>VALUE(9609000)</f>
        <v>9609000</v>
      </c>
      <c r="I37" t="s">
        <v>22</v>
      </c>
      <c r="J37">
        <v>20.918806043484</v>
      </c>
      <c r="K37">
        <v>22.745988925174</v>
      </c>
      <c r="L37">
        <v>22.389411220715</v>
      </c>
      <c r="M37">
        <v>0.22298803973241</v>
      </c>
      <c r="N37">
        <v>20.016664930736</v>
      </c>
      <c r="O37">
        <v>20.016664930736</v>
      </c>
    </row>
    <row r="38" spans="1:15">
      <c r="A38" t="s">
        <v>23</v>
      </c>
      <c r="B38">
        <f>VALUE(10218000)</f>
        <v>10218000</v>
      </c>
      <c r="C38">
        <f>VALUE(11214000)</f>
        <v>11214000</v>
      </c>
      <c r="D38">
        <f>VALUE(11621000)</f>
        <v>11621000</v>
      </c>
      <c r="E38">
        <f>VALUE(110000)</f>
        <v>110000</v>
      </c>
      <c r="F38">
        <f>VALUE(9609000)</f>
        <v>9609000</v>
      </c>
    </row>
    <row r="39" spans="1:15">
      <c r="A39" t="s">
        <v>24</v>
      </c>
      <c r="B39"/>
      <c r="C39">
        <f>VALUE(13)</f>
        <v>13</v>
      </c>
      <c r="D39">
        <f>VALUE(13)</f>
        <v>13</v>
      </c>
      <c r="E39">
        <f>VALUE(0)</f>
        <v>0</v>
      </c>
      <c r="F39">
        <f>VALUE(9)</f>
        <v>9</v>
      </c>
    </row>
    <row r="40" spans="1:15">
      <c r="A40" t="s">
        <v>25</v>
      </c>
      <c r="B40"/>
      <c r="C40">
        <f>VALUE(13)</f>
        <v>13</v>
      </c>
      <c r="D40">
        <f>VALUE(13)</f>
        <v>13</v>
      </c>
      <c r="E40">
        <f>VALUE(0)</f>
        <v>0</v>
      </c>
      <c r="F40">
        <f>VALUE(9)</f>
        <v>9</v>
      </c>
    </row>
    <row r="41" spans="1:15">
      <c r="A41" t="s">
        <v>26</v>
      </c>
      <c r="B41"/>
      <c r="C41">
        <f>VALUE(847200)</f>
        <v>847200</v>
      </c>
      <c r="D41">
        <f>VALUE(883800)</f>
        <v>883800</v>
      </c>
      <c r="E41">
        <f>VALUE(967400)</f>
        <v>967400</v>
      </c>
      <c r="F41">
        <f>VALUE(1002000)</f>
        <v>1002000</v>
      </c>
    </row>
    <row r="42" spans="1:15">
      <c r="A42" t="s">
        <v>27</v>
      </c>
      <c r="B42"/>
      <c r="C42">
        <f>VALUE(850800)</f>
        <v>850800</v>
      </c>
      <c r="D42">
        <f>VALUE(890600)</f>
        <v>890600</v>
      </c>
      <c r="E42">
        <f>VALUE(976200)</f>
        <v>976200</v>
      </c>
      <c r="F42">
        <f>VALUE(1009800)</f>
        <v>1009800</v>
      </c>
    </row>
    <row r="43" spans="1:15">
      <c r="A43" t="s">
        <v>28</v>
      </c>
      <c r="B43"/>
      <c r="C43">
        <f>VALUE(16363000)</f>
        <v>16363000</v>
      </c>
      <c r="D43">
        <f>VALUE(17327000)</f>
        <v>17327000</v>
      </c>
      <c r="E43">
        <f>VALUE(16174000)</f>
        <v>16174000</v>
      </c>
      <c r="F43">
        <f>VALUE(15434000)</f>
        <v>15434000</v>
      </c>
    </row>
    <row r="45" spans="1:15">
      <c r="A45" t="s">
        <v>37</v>
      </c>
    </row>
    <row r="46" spans="1:1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</row>
    <row r="47" spans="1:15">
      <c r="A47" t="s">
        <v>7</v>
      </c>
      <c r="B47">
        <f>VALUE(29033832)</f>
        <v>29033832</v>
      </c>
      <c r="C47">
        <f>VALUE(28089681)</f>
        <v>28089681</v>
      </c>
      <c r="D47">
        <f>VALUE(24550038)</f>
        <v>24550038</v>
      </c>
      <c r="E47">
        <f>VALUE(4570700)</f>
        <v>4570700</v>
      </c>
      <c r="F47">
        <f>VALUE(2339363)</f>
        <v>2339363</v>
      </c>
    </row>
    <row r="48" spans="1:15">
      <c r="A48" t="s">
        <v>8</v>
      </c>
      <c r="B48">
        <f>VALUE(24297739)</f>
        <v>24297739</v>
      </c>
      <c r="C48">
        <f>VALUE(24287516)</f>
        <v>24287516</v>
      </c>
      <c r="D48">
        <f>VALUE(22770315)</f>
        <v>22770315</v>
      </c>
      <c r="E48">
        <f>VALUE(4404040)</f>
        <v>4404040</v>
      </c>
      <c r="F48">
        <f>VALUE(2015486)</f>
        <v>2015486</v>
      </c>
    </row>
    <row r="49" spans="1:15">
      <c r="A49" t="s">
        <v>9</v>
      </c>
      <c r="B49">
        <f>VALUE(4736093)</f>
        <v>4736093</v>
      </c>
      <c r="C49">
        <f>VALUE(3802165)</f>
        <v>3802165</v>
      </c>
      <c r="D49">
        <f>VALUE(1779723)</f>
        <v>1779723</v>
      </c>
      <c r="E49">
        <f>VALUE(166660)</f>
        <v>166660</v>
      </c>
      <c r="F49">
        <f>VALUE(323877)</f>
        <v>323877</v>
      </c>
      <c r="I49" t="s">
        <v>10</v>
      </c>
      <c r="J49">
        <v>16.312324876716</v>
      </c>
      <c r="K49">
        <v>13.53580697481</v>
      </c>
      <c r="L49">
        <v>7.2493696343769</v>
      </c>
      <c r="M49">
        <v>3.646268624062</v>
      </c>
      <c r="N49">
        <v>13.844666261713</v>
      </c>
      <c r="O49">
        <v>13.844666261713</v>
      </c>
    </row>
    <row r="50" spans="1:15">
      <c r="A50" t="s">
        <v>11</v>
      </c>
      <c r="B50"/>
      <c r="C50"/>
      <c r="D50"/>
      <c r="E50"/>
      <c r="F50"/>
    </row>
    <row r="51" spans="1:15">
      <c r="A51" t="s">
        <v>12</v>
      </c>
      <c r="B51">
        <f>VALUE(716962)</f>
        <v>716962</v>
      </c>
      <c r="C51">
        <f>VALUE(719693)</f>
        <v>719693</v>
      </c>
      <c r="D51">
        <f>VALUE(562661)</f>
        <v>562661</v>
      </c>
      <c r="E51">
        <f>VALUE(340201)</f>
        <v>340201</v>
      </c>
      <c r="F51">
        <f>VALUE(45088)</f>
        <v>45088</v>
      </c>
      <c r="I51" t="s">
        <v>13</v>
      </c>
      <c r="J51" s="1">
        <v>15.138258475921</v>
      </c>
      <c r="K51" s="1">
        <v>18.928505206902</v>
      </c>
      <c r="L51">
        <v>31.615088415444</v>
      </c>
      <c r="M51">
        <v>204.12876515061</v>
      </c>
      <c r="N51" s="1">
        <v>13.921334333713</v>
      </c>
      <c r="O51" s="1">
        <v>13.921334333713</v>
      </c>
    </row>
    <row r="52" spans="1:15">
      <c r="A52" t="s">
        <v>14</v>
      </c>
      <c r="B52">
        <f>VALUE(2407707)</f>
        <v>2407707</v>
      </c>
      <c r="C52">
        <f>VALUE(2384401)</f>
        <v>2384401</v>
      </c>
      <c r="D52">
        <f>VALUE(1863931)</f>
        <v>1863931</v>
      </c>
      <c r="E52">
        <f>VALUE(861186)</f>
        <v>861186</v>
      </c>
      <c r="F52">
        <f>VALUE(566603)</f>
        <v>566603</v>
      </c>
    </row>
    <row r="53" spans="1:15">
      <c r="A53" t="s">
        <v>15</v>
      </c>
      <c r="B53">
        <f>VALUE(2328386)</f>
        <v>2328386</v>
      </c>
      <c r="C53">
        <f>VALUE(1417764)</f>
        <v>1417764</v>
      </c>
      <c r="D53">
        <f>VALUE(84208)</f>
        <v>84208</v>
      </c>
      <c r="E53">
        <f>VALUE(694526)</f>
        <v>694526</v>
      </c>
      <c r="F53">
        <f>VALUE(242726)</f>
        <v>242726</v>
      </c>
    </row>
    <row r="54" spans="1:15">
      <c r="A54" t="s">
        <v>16</v>
      </c>
      <c r="B54">
        <f>VALUE(475566)</f>
        <v>475566</v>
      </c>
      <c r="C54">
        <f>VALUE(612069)</f>
        <v>612069</v>
      </c>
      <c r="D54">
        <f>VALUE(221944)</f>
        <v>221944</v>
      </c>
      <c r="E54">
        <f>VALUE(54998)</f>
        <v>54998</v>
      </c>
      <c r="F54">
        <f>VALUE(67150)</f>
        <v>67150</v>
      </c>
      <c r="I54" t="s">
        <v>17</v>
      </c>
      <c r="J54">
        <v>20.424706212801</v>
      </c>
      <c r="K54">
        <v>43.171430506064</v>
      </c>
      <c r="L54">
        <v>263.56640699221</v>
      </c>
      <c r="M54" s="1">
        <v>7.9187820182398</v>
      </c>
      <c r="N54">
        <v>27.664939067096</v>
      </c>
      <c r="O54">
        <v>27.664939067096</v>
      </c>
    </row>
    <row r="55" spans="1:15">
      <c r="A55" t="s">
        <v>18</v>
      </c>
      <c r="B55">
        <f>VALUE(4194922)</f>
        <v>4194922</v>
      </c>
      <c r="C55">
        <f>VALUE(2032294)</f>
        <v>2032294</v>
      </c>
      <c r="D55">
        <f>VALUE(1499652)</f>
        <v>1499652</v>
      </c>
      <c r="E55">
        <f>VALUE(2067852)</f>
        <v>2067852</v>
      </c>
      <c r="F55">
        <f>VALUE(537205)</f>
        <v>537205</v>
      </c>
    </row>
    <row r="56" spans="1:15">
      <c r="A56" t="s">
        <v>19</v>
      </c>
      <c r="B56">
        <f>VALUE(1020954)</f>
        <v>1020954</v>
      </c>
      <c r="C56">
        <f>VALUE(768442)</f>
        <v>768442</v>
      </c>
      <c r="D56">
        <f>VALUE(469229)</f>
        <v>469229</v>
      </c>
      <c r="E56">
        <f>VALUE(544068)</f>
        <v>544068</v>
      </c>
      <c r="F56">
        <f>VALUE(150737)</f>
        <v>150737</v>
      </c>
    </row>
    <row r="57" spans="1:15">
      <c r="A57" t="s">
        <v>20</v>
      </c>
      <c r="B57">
        <f>VALUE(3173968)</f>
        <v>3173968</v>
      </c>
      <c r="C57">
        <f>VALUE(1263852)</f>
        <v>1263852</v>
      </c>
      <c r="D57">
        <f>VALUE(1030423)</f>
        <v>1030423</v>
      </c>
      <c r="E57">
        <f>VALUE(1523784)</f>
        <v>1523784</v>
      </c>
      <c r="F57">
        <f>VALUE(386468)</f>
        <v>386468</v>
      </c>
    </row>
    <row r="58" spans="1:15">
      <c r="A58" t="s">
        <v>21</v>
      </c>
      <c r="B58">
        <f>VALUE(2898852)</f>
        <v>2898852</v>
      </c>
      <c r="C58">
        <f>VALUE(892056)</f>
        <v>892056</v>
      </c>
      <c r="D58">
        <f>VALUE(1058793)</f>
        <v>1058793</v>
      </c>
      <c r="E58">
        <f>VALUE(4507232)</f>
        <v>4507232</v>
      </c>
      <c r="F58">
        <f>VALUE(163892)</f>
        <v>163892</v>
      </c>
      <c r="I58" t="s">
        <v>22</v>
      </c>
      <c r="J58">
        <v>9.9843933794203</v>
      </c>
      <c r="K58">
        <v>3.1757427220338</v>
      </c>
      <c r="L58">
        <v>4.3127957683813</v>
      </c>
      <c r="M58" s="1">
        <v>98.611416194456</v>
      </c>
      <c r="N58">
        <v>7.0058387689298</v>
      </c>
      <c r="O58">
        <v>7.0058387689298</v>
      </c>
    </row>
    <row r="59" spans="1:15">
      <c r="A59" t="s">
        <v>23</v>
      </c>
      <c r="B59">
        <f>VALUE(2898852)</f>
        <v>2898852</v>
      </c>
      <c r="C59">
        <f>VALUE(892056)</f>
        <v>892056</v>
      </c>
      <c r="D59">
        <f>VALUE(1058793)</f>
        <v>1058793</v>
      </c>
      <c r="E59">
        <f>VALUE(4507232)</f>
        <v>4507232</v>
      </c>
      <c r="F59">
        <f>VALUE(163892)</f>
        <v>163892</v>
      </c>
    </row>
    <row r="60" spans="1:15">
      <c r="A60" t="s">
        <v>24</v>
      </c>
      <c r="B60"/>
      <c r="C60">
        <f>VALUE(0)</f>
        <v>0</v>
      </c>
      <c r="D60">
        <f>VALUE(0)</f>
        <v>0</v>
      </c>
      <c r="E60">
        <f>VALUE(0)</f>
        <v>0</v>
      </c>
      <c r="F60">
        <f>VALUE(0)</f>
        <v>0</v>
      </c>
    </row>
    <row r="61" spans="1:15">
      <c r="A61" t="s">
        <v>25</v>
      </c>
      <c r="B61"/>
      <c r="C61">
        <f>VALUE(0)</f>
        <v>0</v>
      </c>
      <c r="D61">
        <f>VALUE(0)</f>
        <v>0</v>
      </c>
      <c r="E61">
        <f>VALUE(0)</f>
        <v>0</v>
      </c>
      <c r="F61">
        <f>VALUE(0)</f>
        <v>0</v>
      </c>
    </row>
    <row r="62" spans="1:15">
      <c r="A62" t="s">
        <v>26</v>
      </c>
      <c r="B62"/>
      <c r="C62">
        <f>VALUE(3148)</f>
        <v>3148</v>
      </c>
      <c r="D62">
        <f>VALUE(3119)</f>
        <v>3119</v>
      </c>
      <c r="E62">
        <f>VALUE(2894)</f>
        <v>2894</v>
      </c>
      <c r="F62">
        <f>VALUE(3333)</f>
        <v>3333</v>
      </c>
    </row>
    <row r="63" spans="1:15">
      <c r="A63" t="s">
        <v>27</v>
      </c>
      <c r="B63"/>
      <c r="C63">
        <f>VALUE(3148)</f>
        <v>3148</v>
      </c>
      <c r="D63">
        <f>VALUE(3119)</f>
        <v>3119</v>
      </c>
      <c r="E63">
        <f>VALUE(2894)</f>
        <v>2894</v>
      </c>
      <c r="F63">
        <f>VALUE(3333)</f>
        <v>3333</v>
      </c>
    </row>
    <row r="64" spans="1:15">
      <c r="A64" t="s">
        <v>28</v>
      </c>
      <c r="B64"/>
      <c r="C64">
        <f>VALUE(3639017)</f>
        <v>3639017</v>
      </c>
      <c r="D64">
        <f>VALUE(2546876)</f>
        <v>2546876</v>
      </c>
      <c r="E64">
        <f>VALUE(2472233)</f>
        <v>2472233</v>
      </c>
      <c r="F64">
        <f>VALUE(391581)</f>
        <v>391581</v>
      </c>
    </row>
    <row r="66" spans="1:15">
      <c r="A66" t="s">
        <v>38</v>
      </c>
    </row>
    <row r="67" spans="1:15">
      <c r="A67" t="s">
        <v>1</v>
      </c>
      <c r="B67" t="s">
        <v>2</v>
      </c>
      <c r="C67" t="s">
        <v>3</v>
      </c>
      <c r="D67" t="s">
        <v>4</v>
      </c>
      <c r="E67" t="s">
        <v>5</v>
      </c>
      <c r="F67" t="s">
        <v>6</v>
      </c>
    </row>
    <row r="68" spans="1:15">
      <c r="A68" t="s">
        <v>7</v>
      </c>
      <c r="B68">
        <f>VALUE(16085514)</f>
        <v>16085514</v>
      </c>
      <c r="C68">
        <f>VALUE(16868115)</f>
        <v>16868115</v>
      </c>
      <c r="D68">
        <f>VALUE(15398359)</f>
        <v>15398359</v>
      </c>
      <c r="E68">
        <f>VALUE(12783678)</f>
        <v>12783678</v>
      </c>
      <c r="F68">
        <f>VALUE(9061591)</f>
        <v>9061591</v>
      </c>
    </row>
    <row r="69" spans="1:15">
      <c r="A69" t="s">
        <v>11</v>
      </c>
      <c r="B69">
        <f>VALUE(1)</f>
        <v>1</v>
      </c>
      <c r="C69"/>
      <c r="D69"/>
      <c r="E69"/>
      <c r="F69"/>
    </row>
    <row r="70" spans="1:15">
      <c r="A70" t="s">
        <v>12</v>
      </c>
      <c r="B70">
        <f>VALUE(1431545)</f>
        <v>1431545</v>
      </c>
      <c r="C70">
        <f>VALUE(1490965)</f>
        <v>1490965</v>
      </c>
      <c r="D70">
        <f>VALUE(1187723)</f>
        <v>1187723</v>
      </c>
      <c r="E70">
        <f>VALUE(1035342)</f>
        <v>1035342</v>
      </c>
      <c r="F70">
        <f>VALUE(123809)</f>
        <v>123809</v>
      </c>
      <c r="I70" t="s">
        <v>13</v>
      </c>
    </row>
    <row r="71" spans="1:15">
      <c r="A71" t="s">
        <v>14</v>
      </c>
      <c r="B71">
        <f>VALUE(12726322)</f>
        <v>12726322</v>
      </c>
      <c r="C71">
        <f>VALUE(12472566)</f>
        <v>12472566</v>
      </c>
      <c r="D71">
        <f>VALUE(10174346)</f>
        <v>10174346</v>
      </c>
      <c r="E71">
        <f>VALUE(8142429)</f>
        <v>8142429</v>
      </c>
      <c r="F71">
        <f>VALUE(5795009)</f>
        <v>5795009</v>
      </c>
    </row>
    <row r="72" spans="1:15">
      <c r="A72" t="s">
        <v>16</v>
      </c>
      <c r="B72">
        <f>VALUE(21433023)</f>
        <v>21433023</v>
      </c>
      <c r="C72">
        <f>VALUE(20029230)</f>
        <v>20029230</v>
      </c>
      <c r="D72">
        <f>VALUE(15517536)</f>
        <v>15517536</v>
      </c>
      <c r="E72">
        <f>VALUE(12732984)</f>
        <v>12732984</v>
      </c>
      <c r="F72">
        <f>VALUE(7124933)</f>
        <v>7124933</v>
      </c>
      <c r="I72" t="s">
        <v>17</v>
      </c>
    </row>
    <row r="73" spans="1:15">
      <c r="A73" t="s">
        <v>18</v>
      </c>
      <c r="B73">
        <f>VALUE(681402)</f>
        <v>681402</v>
      </c>
      <c r="C73">
        <f>VALUE(1782445)</f>
        <v>1782445</v>
      </c>
      <c r="D73">
        <f>VALUE(1560068)</f>
        <v>1560068</v>
      </c>
      <c r="E73">
        <f>VALUE(2812376)</f>
        <v>2812376</v>
      </c>
      <c r="F73">
        <f>VALUE(2126097)</f>
        <v>2126097</v>
      </c>
    </row>
    <row r="74" spans="1:15">
      <c r="A74" t="s">
        <v>19</v>
      </c>
      <c r="B74">
        <f>VALUE(658685)</f>
        <v>658685</v>
      </c>
      <c r="C74">
        <f>VALUE(811835)</f>
        <v>811835</v>
      </c>
      <c r="D74">
        <f>VALUE(285632)</f>
        <v>285632</v>
      </c>
      <c r="E74">
        <f>VALUE(754281)</f>
        <v>754281</v>
      </c>
      <c r="F74">
        <f>VALUE(532658)</f>
        <v>532658</v>
      </c>
    </row>
    <row r="75" spans="1:15">
      <c r="A75" t="s">
        <v>20</v>
      </c>
      <c r="B75">
        <f>VALUE(22717)</f>
        <v>22717</v>
      </c>
      <c r="C75">
        <f>VALUE(970610)</f>
        <v>970610</v>
      </c>
      <c r="D75">
        <f>VALUE(1845700)</f>
        <v>1845700</v>
      </c>
      <c r="E75">
        <f>VALUE(2058095)</f>
        <v>2058095</v>
      </c>
      <c r="F75">
        <f>VALUE(1593439)</f>
        <v>1593439</v>
      </c>
    </row>
    <row r="76" spans="1:15">
      <c r="A76" t="s">
        <v>21</v>
      </c>
      <c r="B76">
        <f>VALUE(2512)</f>
        <v>2512</v>
      </c>
      <c r="C76">
        <f>VALUE(916512)</f>
        <v>916512</v>
      </c>
      <c r="D76">
        <f>VALUE(1781531)</f>
        <v>1781531</v>
      </c>
      <c r="E76">
        <f>VALUE(2051412)</f>
        <v>2051412</v>
      </c>
      <c r="F76">
        <f>VALUE(1593439)</f>
        <v>1593439</v>
      </c>
      <c r="I76" t="s">
        <v>22</v>
      </c>
      <c r="J76">
        <v>0.015616535474092</v>
      </c>
      <c r="K76">
        <v>5.4333990490342</v>
      </c>
      <c r="L76">
        <v>11.569615957129</v>
      </c>
      <c r="M76">
        <v>16.047118833876</v>
      </c>
      <c r="N76">
        <v>17.584538962308</v>
      </c>
      <c r="O76">
        <v>17.584538962308</v>
      </c>
    </row>
    <row r="77" spans="1:15">
      <c r="A77" t="s">
        <v>23</v>
      </c>
      <c r="B77">
        <f>VALUE(2512)</f>
        <v>2512</v>
      </c>
      <c r="C77">
        <f>VALUE(916512)</f>
        <v>916512</v>
      </c>
      <c r="D77">
        <f>VALUE(1781531)</f>
        <v>1781531</v>
      </c>
      <c r="E77">
        <f>VALUE(2051412)</f>
        <v>2051412</v>
      </c>
      <c r="F77">
        <f>VALUE(1593439)</f>
        <v>1593439</v>
      </c>
    </row>
    <row r="78" spans="1:15">
      <c r="A78" t="s">
        <v>24</v>
      </c>
      <c r="B78"/>
      <c r="C78">
        <f>VALUE(0)</f>
        <v>0</v>
      </c>
      <c r="D78">
        <f>VALUE(1)</f>
        <v>1</v>
      </c>
      <c r="E78">
        <f>VALUE(1)</f>
        <v>1</v>
      </c>
      <c r="F78">
        <f>VALUE(1)</f>
        <v>1</v>
      </c>
    </row>
    <row r="79" spans="1:15">
      <c r="A79" t="s">
        <v>25</v>
      </c>
      <c r="B79"/>
      <c r="C79">
        <f>VALUE(0)</f>
        <v>0</v>
      </c>
      <c r="D79">
        <f>VALUE(1)</f>
        <v>1</v>
      </c>
      <c r="E79">
        <f>VALUE(1)</f>
        <v>1</v>
      </c>
      <c r="F79">
        <f>VALUE(1)</f>
        <v>1</v>
      </c>
    </row>
    <row r="80" spans="1:15">
      <c r="A80" t="s">
        <v>26</v>
      </c>
      <c r="B80"/>
      <c r="C80">
        <f>VALUE(1470414)</f>
        <v>1470414</v>
      </c>
      <c r="D80">
        <f>VALUE(1468517)</f>
        <v>1468517</v>
      </c>
      <c r="E80">
        <f>VALUE(1464670)</f>
        <v>1464670</v>
      </c>
      <c r="F80">
        <f>VALUE(1463365)</f>
        <v>1463365</v>
      </c>
    </row>
    <row r="81" spans="1:15">
      <c r="A81" t="s">
        <v>27</v>
      </c>
      <c r="B81"/>
      <c r="C81">
        <f>VALUE(1470414)</f>
        <v>1470414</v>
      </c>
      <c r="D81">
        <f>VALUE(1468517)</f>
        <v>1468517</v>
      </c>
      <c r="E81">
        <f>VALUE(1464670)</f>
        <v>1464670</v>
      </c>
      <c r="F81">
        <f>VALUE(1463365)</f>
        <v>1463365</v>
      </c>
    </row>
    <row r="83" spans="1:15">
      <c r="A83" t="s">
        <v>39</v>
      </c>
    </row>
    <row r="84" spans="1:15">
      <c r="A84" t="s">
        <v>1</v>
      </c>
      <c r="B84" t="s">
        <v>2</v>
      </c>
      <c r="C84" t="s">
        <v>40</v>
      </c>
      <c r="D84" t="s">
        <v>41</v>
      </c>
      <c r="E84" t="s">
        <v>42</v>
      </c>
      <c r="F84" t="s">
        <v>43</v>
      </c>
    </row>
    <row r="85" spans="1:15">
      <c r="A85" t="s">
        <v>7</v>
      </c>
      <c r="B85">
        <f>VALUE(7071977)</f>
        <v>7071977</v>
      </c>
      <c r="C85">
        <f>VALUE(6857333)</f>
        <v>6857333</v>
      </c>
      <c r="D85">
        <f>VALUE(4513930)</f>
        <v>4513930</v>
      </c>
      <c r="E85">
        <f>VALUE(2147849)</f>
        <v>2147849</v>
      </c>
      <c r="F85">
        <f>VALUE(1)</f>
        <v>1</v>
      </c>
    </row>
    <row r="86" spans="1:15">
      <c r="A86" t="s">
        <v>8</v>
      </c>
      <c r="B86">
        <f>VALUE(5637548)</f>
        <v>5637548</v>
      </c>
      <c r="C86">
        <f>VALUE(5463837)</f>
        <v>5463837</v>
      </c>
      <c r="D86">
        <f>VALUE(4050169)</f>
        <v>4050169</v>
      </c>
      <c r="E86">
        <f>VALUE(1531438)</f>
        <v>1531438</v>
      </c>
      <c r="F86">
        <f>VALUE(1447179)</f>
        <v>1447179</v>
      </c>
    </row>
    <row r="87" spans="1:15">
      <c r="A87" t="s">
        <v>9</v>
      </c>
      <c r="B87">
        <f>VALUE(1434430)</f>
        <v>1434430</v>
      </c>
      <c r="C87">
        <f>VALUE(1393496)</f>
        <v>1393496</v>
      </c>
      <c r="D87">
        <f>VALUE(463761)</f>
        <v>463761</v>
      </c>
      <c r="E87">
        <f>VALUE(616411)</f>
        <v>616411</v>
      </c>
      <c r="F87">
        <f>VALUE(475934)</f>
        <v>475934</v>
      </c>
      <c r="I87" t="s">
        <v>10</v>
      </c>
      <c r="J87">
        <v>20.28329560461</v>
      </c>
      <c r="K87">
        <v>20.32125317525</v>
      </c>
      <c r="L87">
        <v>10.273996273757</v>
      </c>
      <c r="M87">
        <v>28.698991409545</v>
      </c>
      <c r="N87" s="1">
        <v>47593400</v>
      </c>
      <c r="O87" s="1">
        <v>47593400</v>
      </c>
    </row>
    <row r="88" spans="1:15">
      <c r="A88" t="s">
        <v>11</v>
      </c>
      <c r="B88"/>
      <c r="C88"/>
      <c r="D88"/>
      <c r="E88"/>
      <c r="F88"/>
    </row>
    <row r="89" spans="1:15">
      <c r="A89" t="s">
        <v>34</v>
      </c>
      <c r="B89">
        <f>VALUE(1)</f>
        <v>1</v>
      </c>
      <c r="C89">
        <f>VALUE(1)</f>
        <v>1</v>
      </c>
      <c r="D89">
        <f>VALUE(1)</f>
        <v>1</v>
      </c>
      <c r="E89">
        <f>VALUE(1)</f>
        <v>1</v>
      </c>
      <c r="F89">
        <f>VALUE(1)</f>
        <v>1</v>
      </c>
      <c r="I89" t="s">
        <v>35</v>
      </c>
      <c r="J89" s="1">
        <v>6.9714102465788E-5</v>
      </c>
      <c r="K89" s="1">
        <v>7.1761956977272E-5</v>
      </c>
      <c r="L89" s="1">
        <v>0.00021562830854686</v>
      </c>
      <c r="M89" s="1">
        <v>0.00016222942160344</v>
      </c>
      <c r="N89" s="1">
        <v>0.00021011316695172</v>
      </c>
      <c r="O89" s="1">
        <v>0.00021011316695172</v>
      </c>
    </row>
    <row r="90" spans="1:15">
      <c r="A90" t="s">
        <v>12</v>
      </c>
      <c r="B90">
        <f>VALUE(121270)</f>
        <v>121270</v>
      </c>
      <c r="C90">
        <f>VALUE(270620)</f>
        <v>270620</v>
      </c>
      <c r="D90">
        <f>VALUE(118330)</f>
        <v>118330</v>
      </c>
      <c r="E90">
        <f>VALUE(81015)</f>
        <v>81015</v>
      </c>
      <c r="F90">
        <f>VALUE(65611)</f>
        <v>65611</v>
      </c>
      <c r="I90" t="s">
        <v>13</v>
      </c>
      <c r="J90" s="1">
        <v>8.4542292060261</v>
      </c>
      <c r="K90" s="1">
        <v>19.420220797189</v>
      </c>
      <c r="L90" s="1">
        <v>25.51529775035</v>
      </c>
      <c r="M90" s="1">
        <v>13.143016591203</v>
      </c>
      <c r="N90" s="1">
        <v>13.785734996869</v>
      </c>
      <c r="O90" s="1">
        <v>13.785734996869</v>
      </c>
    </row>
    <row r="91" spans="1:15">
      <c r="A91" t="s">
        <v>14</v>
      </c>
      <c r="B91">
        <f>VALUE(587086)</f>
        <v>587086</v>
      </c>
      <c r="C91">
        <f>VALUE(650884)</f>
        <v>650884</v>
      </c>
      <c r="D91">
        <f>VALUE(408647)</f>
        <v>408647</v>
      </c>
      <c r="E91">
        <f>VALUE(218086)</f>
        <v>218086</v>
      </c>
      <c r="F91">
        <f>VALUE(77358)</f>
        <v>77358</v>
      </c>
    </row>
    <row r="92" spans="1:15">
      <c r="A92" t="s">
        <v>15</v>
      </c>
      <c r="B92">
        <f>VALUE(847344)</f>
        <v>847344</v>
      </c>
      <c r="C92">
        <f>VALUE(742612)</f>
        <v>742612</v>
      </c>
      <c r="D92">
        <f>VALUE(55114)</f>
        <v>55114</v>
      </c>
      <c r="E92">
        <f>VALUE(398326)</f>
        <v>398326</v>
      </c>
      <c r="F92">
        <f>VALUE(398576)</f>
        <v>398576</v>
      </c>
    </row>
    <row r="93" spans="1:15">
      <c r="A93" t="s">
        <v>16</v>
      </c>
      <c r="B93">
        <f>VALUE(704705)</f>
        <v>704705</v>
      </c>
      <c r="C93">
        <f>VALUE(891016)</f>
        <v>891016</v>
      </c>
      <c r="D93">
        <f>VALUE(917503)</f>
        <v>917503</v>
      </c>
      <c r="E93">
        <f>VALUE(351003)</f>
        <v>351003</v>
      </c>
      <c r="F93">
        <f>VALUE(1)</f>
        <v>1</v>
      </c>
      <c r="I93" t="s">
        <v>17</v>
      </c>
      <c r="J93">
        <v>83.166340942994</v>
      </c>
      <c r="K93">
        <v>119.98405627703</v>
      </c>
      <c r="L93">
        <v>1664.7367275103</v>
      </c>
      <c r="M93">
        <v>88.119530234029</v>
      </c>
      <c r="N93" s="1">
        <v>0.0002508931797198</v>
      </c>
      <c r="O93" s="1">
        <v>0.0002508931797198</v>
      </c>
    </row>
    <row r="94" spans="1:15">
      <c r="A94" t="s">
        <v>18</v>
      </c>
      <c r="B94">
        <f>VALUE(515283)</f>
        <v>515283</v>
      </c>
      <c r="C94">
        <f>VALUE(283682)</f>
        <v>283682</v>
      </c>
      <c r="D94">
        <f>VALUE(252775)</f>
        <v>252775</v>
      </c>
      <c r="E94">
        <f>VALUE(136990)</f>
        <v>136990</v>
      </c>
      <c r="F94">
        <f>VALUE(114827)</f>
        <v>114827</v>
      </c>
    </row>
    <row r="95" spans="1:15">
      <c r="A95" t="s">
        <v>19</v>
      </c>
      <c r="B95">
        <f>VALUE(244970)</f>
        <v>244970</v>
      </c>
      <c r="C95">
        <f>VALUE(198526)</f>
        <v>198526</v>
      </c>
      <c r="D95">
        <f>VALUE(43026)</f>
        <v>43026</v>
      </c>
      <c r="E95">
        <f>VALUE(50690)</f>
        <v>50690</v>
      </c>
      <c r="F95">
        <f>VALUE(43738)</f>
        <v>43738</v>
      </c>
    </row>
    <row r="96" spans="1:15">
      <c r="A96" t="s">
        <v>20</v>
      </c>
      <c r="B96">
        <f>VALUE(270313)</f>
        <v>270313</v>
      </c>
      <c r="C96">
        <f>VALUE(85156)</f>
        <v>85156</v>
      </c>
      <c r="D96">
        <f>VALUE(295801)</f>
        <v>295801</v>
      </c>
      <c r="E96">
        <f>VALUE(86300)</f>
        <v>86300</v>
      </c>
      <c r="F96">
        <f>VALUE(71089)</f>
        <v>71089</v>
      </c>
    </row>
    <row r="97" spans="1:15">
      <c r="A97" t="s">
        <v>21</v>
      </c>
      <c r="B97">
        <f>VALUE(270313)</f>
        <v>270313</v>
      </c>
      <c r="C97">
        <f>VALUE(85156)</f>
        <v>85156</v>
      </c>
      <c r="D97">
        <f>VALUE(295801)</f>
        <v>295801</v>
      </c>
      <c r="E97">
        <f>VALUE(86302)</f>
        <v>86302</v>
      </c>
      <c r="F97">
        <f>VALUE(71089)</f>
        <v>71089</v>
      </c>
      <c r="I97" t="s">
        <v>22</v>
      </c>
      <c r="J97">
        <v>3.8223116393054</v>
      </c>
      <c r="K97">
        <v>1.2418238985915</v>
      </c>
      <c r="L97">
        <v>6.5530701628071</v>
      </c>
      <c r="M97">
        <v>4.018066446943</v>
      </c>
      <c r="N97" s="1">
        <v>7108900</v>
      </c>
      <c r="O97" s="1">
        <v>7108900</v>
      </c>
    </row>
    <row r="98" spans="1:15">
      <c r="A98" t="s">
        <v>23</v>
      </c>
      <c r="B98">
        <f>VALUE(270313)</f>
        <v>270313</v>
      </c>
      <c r="C98">
        <f>VALUE(85156)</f>
        <v>85156</v>
      </c>
      <c r="D98">
        <f>VALUE(295801)</f>
        <v>295801</v>
      </c>
      <c r="E98">
        <f>VALUE(86302)</f>
        <v>86302</v>
      </c>
      <c r="F98">
        <f>VALUE(71089)</f>
        <v>71089</v>
      </c>
    </row>
    <row r="99" spans="1:15">
      <c r="A99" t="s">
        <v>24</v>
      </c>
      <c r="B99"/>
      <c r="C99">
        <f>VALUE(0)</f>
        <v>0</v>
      </c>
      <c r="D99">
        <f>VALUE(2)</f>
        <v>2</v>
      </c>
      <c r="E99">
        <f>VALUE(1)</f>
        <v>1</v>
      </c>
      <c r="F99">
        <f>VALUE(0)</f>
        <v>0</v>
      </c>
    </row>
    <row r="100" spans="1:15">
      <c r="A100" t="s">
        <v>25</v>
      </c>
      <c r="B100"/>
      <c r="C100">
        <f>VALUE(0)</f>
        <v>0</v>
      </c>
      <c r="D100">
        <f>VALUE(2)</f>
        <v>2</v>
      </c>
      <c r="E100">
        <f>VALUE(1)</f>
        <v>1</v>
      </c>
      <c r="F100">
        <f>VALUE(0)</f>
        <v>0</v>
      </c>
    </row>
    <row r="101" spans="1:15">
      <c r="A101" t="s">
        <v>26</v>
      </c>
      <c r="B101"/>
      <c r="C101">
        <f>VALUE(145064)</f>
        <v>145064</v>
      </c>
      <c r="D101">
        <f>VALUE(145064)</f>
        <v>145064</v>
      </c>
      <c r="E101">
        <f>VALUE(72532)</f>
        <v>72532</v>
      </c>
      <c r="F101">
        <f>VALUE(72532)</f>
        <v>72532</v>
      </c>
    </row>
    <row r="102" spans="1:15">
      <c r="A102" t="s">
        <v>27</v>
      </c>
      <c r="B102"/>
      <c r="C102">
        <f>VALUE(145064)</f>
        <v>145064</v>
      </c>
      <c r="D102">
        <f>VALUE(145064)</f>
        <v>145064</v>
      </c>
      <c r="E102">
        <f>VALUE(72532)</f>
        <v>72532</v>
      </c>
      <c r="F102">
        <f>VALUE(72532)</f>
        <v>72532</v>
      </c>
    </row>
    <row r="103" spans="1:15">
      <c r="A103" t="s">
        <v>28</v>
      </c>
      <c r="B103"/>
      <c r="C103">
        <f>VALUE(1612597)</f>
        <v>1612597</v>
      </c>
      <c r="D103">
        <f>VALUE(983569)</f>
        <v>983569</v>
      </c>
      <c r="E103">
        <f>VALUE(563051)</f>
        <v>563051</v>
      </c>
      <c r="F103">
        <f>VALUE(451264)</f>
        <v>451264</v>
      </c>
    </row>
    <row r="105" spans="1:15">
      <c r="A105" t="s">
        <v>44</v>
      </c>
    </row>
    <row r="106" spans="1:15">
      <c r="A106" t="s">
        <v>1</v>
      </c>
      <c r="B106" t="s">
        <v>2</v>
      </c>
      <c r="C106" t="s">
        <v>45</v>
      </c>
      <c r="D106" t="s">
        <v>46</v>
      </c>
      <c r="E106" t="s">
        <v>47</v>
      </c>
    </row>
    <row r="107" spans="1:15">
      <c r="A107" t="s">
        <v>7</v>
      </c>
      <c r="B107">
        <f>VALUE(30319440)</f>
        <v>30319440</v>
      </c>
      <c r="C107">
        <f>VALUE(30750671)</f>
        <v>30750671</v>
      </c>
      <c r="D107">
        <f>VALUE(21232364)</f>
        <v>21232364</v>
      </c>
      <c r="E107">
        <f>VALUE(10805895)</f>
        <v>10805895</v>
      </c>
    </row>
    <row r="108" spans="1:15">
      <c r="A108" t="s">
        <v>8</v>
      </c>
      <c r="B108">
        <f>VALUE(18698861)</f>
        <v>18698861</v>
      </c>
      <c r="C108">
        <f>VALUE(19290266)</f>
        <v>19290266</v>
      </c>
      <c r="D108">
        <f>VALUE(13688726)</f>
        <v>13688726</v>
      </c>
      <c r="E108">
        <f>VALUE(6841904)</f>
        <v>6841904</v>
      </c>
    </row>
    <row r="109" spans="1:15">
      <c r="A109" t="s">
        <v>9</v>
      </c>
      <c r="B109">
        <f>VALUE(11620579)</f>
        <v>11620579</v>
      </c>
      <c r="C109">
        <f>VALUE(11460405)</f>
        <v>11460405</v>
      </c>
      <c r="D109">
        <f>VALUE(7543638)</f>
        <v>7543638</v>
      </c>
      <c r="E109">
        <f>VALUE(3963991)</f>
        <v>3963991</v>
      </c>
      <c r="H109" t="s">
        <v>10</v>
      </c>
      <c r="I109">
        <v>38.327155778603</v>
      </c>
      <c r="J109">
        <v>37.268796508538</v>
      </c>
      <c r="K109">
        <v>35.52895946961</v>
      </c>
      <c r="L109">
        <v>36.68359724021</v>
      </c>
      <c r="M109">
        <v>36.68359724021</v>
      </c>
    </row>
    <row r="110" spans="1:15">
      <c r="A110" t="s">
        <v>11</v>
      </c>
      <c r="B110"/>
      <c r="C110"/>
      <c r="D110"/>
      <c r="E110"/>
    </row>
    <row r="111" spans="1:15">
      <c r="A111" t="s">
        <v>12</v>
      </c>
      <c r="B111">
        <f>VALUE(761873)</f>
        <v>761873</v>
      </c>
      <c r="C111">
        <f>VALUE(4477855)</f>
        <v>4477855</v>
      </c>
      <c r="D111">
        <f>VALUE(3281509)</f>
        <v>3281509</v>
      </c>
      <c r="E111">
        <f>VALUE(1742588)</f>
        <v>1742588</v>
      </c>
      <c r="H111" t="s">
        <v>13</v>
      </c>
      <c r="I111" s="1">
        <v>6.5562395815217</v>
      </c>
      <c r="J111">
        <v>39.072397528709</v>
      </c>
      <c r="K111">
        <v>43.500350891705</v>
      </c>
      <c r="L111">
        <v>43.96044289707</v>
      </c>
      <c r="M111">
        <v>43.96044289707</v>
      </c>
    </row>
    <row r="112" spans="1:15">
      <c r="A112" t="s">
        <v>14</v>
      </c>
      <c r="B112">
        <f>VALUE(8360737)</f>
        <v>8360737</v>
      </c>
      <c r="C112">
        <f>VALUE(8298610)</f>
        <v>8298610</v>
      </c>
      <c r="D112">
        <f>VALUE(5997839)</f>
        <v>5997839</v>
      </c>
      <c r="E112">
        <f>VALUE(3249439)</f>
        <v>3249439</v>
      </c>
    </row>
    <row r="113" spans="1:15">
      <c r="A113" t="s">
        <v>15</v>
      </c>
      <c r="B113">
        <f>VALUE(3259842)</f>
        <v>3259842</v>
      </c>
      <c r="C113">
        <f>VALUE(3161795)</f>
        <v>3161795</v>
      </c>
      <c r="D113">
        <f>VALUE(1545799)</f>
        <v>1545799</v>
      </c>
      <c r="E113">
        <f>VALUE(714552)</f>
        <v>714552</v>
      </c>
    </row>
    <row r="114" spans="1:15">
      <c r="A114" t="s">
        <v>16</v>
      </c>
      <c r="B114">
        <f>VALUE(328127)</f>
        <v>328127</v>
      </c>
      <c r="C114">
        <f>VALUE(1182982)</f>
        <v>1182982</v>
      </c>
      <c r="D114">
        <f>VALUE(741025)</f>
        <v>741025</v>
      </c>
      <c r="E114">
        <f>VALUE(604816)</f>
        <v>604816</v>
      </c>
      <c r="H114" t="s">
        <v>17</v>
      </c>
      <c r="I114" s="1">
        <v>10.065733247194</v>
      </c>
      <c r="J114">
        <v>37.414886164347</v>
      </c>
      <c r="K114">
        <v>47.93799193815</v>
      </c>
      <c r="L114">
        <v>84.642685206955</v>
      </c>
      <c r="M114">
        <v>84.642685206955</v>
      </c>
    </row>
    <row r="115" spans="1:15">
      <c r="A115" t="s">
        <v>18</v>
      </c>
      <c r="B115">
        <f>VALUE(5892955)</f>
        <v>5892955</v>
      </c>
      <c r="C115">
        <f>VALUE(1257285)</f>
        <v>1257285</v>
      </c>
      <c r="D115">
        <f>VALUE(1934867)</f>
        <v>1934867</v>
      </c>
      <c r="E115">
        <f>VALUE(1618633)</f>
        <v>1618633</v>
      </c>
    </row>
    <row r="116" spans="1:15">
      <c r="A116" t="s">
        <v>19</v>
      </c>
      <c r="B116">
        <f>VALUE(1306552)</f>
        <v>1306552</v>
      </c>
      <c r="C116">
        <f>VALUE(521394)</f>
        <v>521394</v>
      </c>
      <c r="D116">
        <f>VALUE(247926)</f>
        <v>247926</v>
      </c>
      <c r="E116">
        <f>VALUE(526711)</f>
        <v>526711</v>
      </c>
    </row>
    <row r="117" spans="1:15">
      <c r="A117" t="s">
        <v>20</v>
      </c>
      <c r="B117">
        <f>VALUE(4586403)</f>
        <v>4586403</v>
      </c>
      <c r="C117">
        <f>VALUE(735891)</f>
        <v>735891</v>
      </c>
      <c r="D117">
        <f>VALUE(1686941)</f>
        <v>1686941</v>
      </c>
      <c r="E117">
        <f>VALUE(1091922)</f>
        <v>1091922</v>
      </c>
    </row>
    <row r="118" spans="1:15">
      <c r="A118" t="s">
        <v>21</v>
      </c>
      <c r="B118">
        <f>VALUE(5332569)</f>
        <v>5332569</v>
      </c>
      <c r="C118">
        <f>VALUE(735891)</f>
        <v>735891</v>
      </c>
      <c r="D118">
        <f>VALUE(1518461)</f>
        <v>1518461</v>
      </c>
      <c r="E118">
        <f>VALUE(277131)</f>
        <v>277131</v>
      </c>
      <c r="H118" t="s">
        <v>22</v>
      </c>
      <c r="I118">
        <v>17.587953471436</v>
      </c>
      <c r="J118">
        <v>2.3930892434835</v>
      </c>
      <c r="K118">
        <v>7.1516341750735</v>
      </c>
      <c r="L118">
        <v>2.5646279183723</v>
      </c>
      <c r="M118">
        <v>2.5646279183723</v>
      </c>
    </row>
    <row r="119" spans="1:15">
      <c r="A119" t="s">
        <v>23</v>
      </c>
      <c r="B119">
        <f>VALUE(5332569)</f>
        <v>5332569</v>
      </c>
      <c r="C119">
        <f>VALUE(735891)</f>
        <v>735891</v>
      </c>
      <c r="D119">
        <f>VALUE(1518461)</f>
        <v>1518461</v>
      </c>
      <c r="E119">
        <f>VALUE(277131)</f>
        <v>277131</v>
      </c>
    </row>
    <row r="120" spans="1:15">
      <c r="A120" t="s">
        <v>24</v>
      </c>
      <c r="B120"/>
      <c r="C120">
        <f>VALUE(1)</f>
        <v>1</v>
      </c>
      <c r="D120">
        <f>VALUE(3)</f>
        <v>3</v>
      </c>
      <c r="E120">
        <f>VALUE(0)</f>
        <v>0</v>
      </c>
    </row>
    <row r="121" spans="1:15">
      <c r="A121" t="s">
        <v>25</v>
      </c>
      <c r="B121"/>
      <c r="C121">
        <f>VALUE(1)</f>
        <v>1</v>
      </c>
      <c r="D121">
        <f>VALUE(3)</f>
        <v>3</v>
      </c>
      <c r="E121">
        <f>VALUE(0)</f>
        <v>0</v>
      </c>
    </row>
    <row r="122" spans="1:15">
      <c r="A122" t="s">
        <v>26</v>
      </c>
      <c r="B122"/>
      <c r="C122">
        <f>VALUE(439714)</f>
        <v>439714</v>
      </c>
      <c r="D122">
        <f>VALUE(439714)</f>
        <v>439714</v>
      </c>
      <c r="E122">
        <f>VALUE(439927)</f>
        <v>439927</v>
      </c>
    </row>
    <row r="123" spans="1:15">
      <c r="A123" t="s">
        <v>27</v>
      </c>
      <c r="B123"/>
      <c r="C123">
        <f>VALUE(439714)</f>
        <v>439714</v>
      </c>
      <c r="D123">
        <f>VALUE(439714)</f>
        <v>439714</v>
      </c>
      <c r="E123">
        <f>VALUE(439927)</f>
        <v>439927</v>
      </c>
    </row>
    <row r="124" spans="1:15">
      <c r="A124" t="s">
        <v>28</v>
      </c>
      <c r="B124"/>
      <c r="C124">
        <f>VALUE(3644054)</f>
        <v>3644054</v>
      </c>
      <c r="D124">
        <f>VALUE(429315)</f>
        <v>429315</v>
      </c>
      <c r="E124">
        <f>VALUE(836191)</f>
        <v>836191</v>
      </c>
    </row>
    <row r="126" spans="1:15">
      <c r="A126" t="s">
        <v>48</v>
      </c>
    </row>
    <row r="127" spans="1:15">
      <c r="A127" t="s">
        <v>1</v>
      </c>
      <c r="B127" t="s">
        <v>2</v>
      </c>
      <c r="C127" t="s">
        <v>3</v>
      </c>
      <c r="D127" t="s">
        <v>4</v>
      </c>
      <c r="E127" t="s">
        <v>5</v>
      </c>
      <c r="F127" t="s">
        <v>6</v>
      </c>
    </row>
    <row r="128" spans="1:15">
      <c r="A128" t="s">
        <v>7</v>
      </c>
      <c r="B128">
        <f>VALUE(26227634)</f>
        <v>26227634</v>
      </c>
      <c r="C128">
        <f>VALUE(26639659)</f>
        <v>26639659</v>
      </c>
      <c r="D128">
        <f>VALUE(25429345)</f>
        <v>25429345</v>
      </c>
      <c r="E128">
        <f>VALUE(29618971)</f>
        <v>29618971</v>
      </c>
      <c r="F128">
        <f>VALUE(14157841)</f>
        <v>14157841</v>
      </c>
    </row>
    <row r="129" spans="1:15">
      <c r="A129" t="s">
        <v>8</v>
      </c>
      <c r="B129">
        <f>VALUE(15118317)</f>
        <v>15118317</v>
      </c>
      <c r="C129">
        <f>VALUE(16687410)</f>
        <v>16687410</v>
      </c>
      <c r="D129">
        <f>VALUE(16915475)</f>
        <v>16915475</v>
      </c>
      <c r="E129">
        <f>VALUE(19586311)</f>
        <v>19586311</v>
      </c>
      <c r="F129">
        <f>VALUE(8766746)</f>
        <v>8766746</v>
      </c>
    </row>
    <row r="130" spans="1:15">
      <c r="A130" t="s">
        <v>9</v>
      </c>
      <c r="B130">
        <f>VALUE(11109317)</f>
        <v>11109317</v>
      </c>
      <c r="C130">
        <f>VALUE(9952249)</f>
        <v>9952249</v>
      </c>
      <c r="D130">
        <f>VALUE(8513870)</f>
        <v>8513870</v>
      </c>
      <c r="E130">
        <f>VALUE(10032659)</f>
        <v>10032659</v>
      </c>
      <c r="F130">
        <f>VALUE(5391095)</f>
        <v>5391095</v>
      </c>
      <c r="I130" t="s">
        <v>10</v>
      </c>
      <c r="J130">
        <v>42.357297650257</v>
      </c>
      <c r="K130">
        <v>37.35877024552</v>
      </c>
      <c r="L130">
        <v>33.480492714224</v>
      </c>
      <c r="M130">
        <v>33.872409004351</v>
      </c>
      <c r="N130">
        <v>38.078510699477</v>
      </c>
      <c r="O130">
        <v>38.078510699477</v>
      </c>
    </row>
    <row r="131" spans="1:15">
      <c r="A131" t="s">
        <v>11</v>
      </c>
      <c r="B131"/>
      <c r="C131"/>
      <c r="D131"/>
      <c r="E131"/>
      <c r="F131"/>
    </row>
    <row r="132" spans="1:15">
      <c r="A132" t="s">
        <v>12</v>
      </c>
      <c r="B132">
        <f>VALUE(3307117)</f>
        <v>3307117</v>
      </c>
      <c r="C132">
        <f>VALUE(3735355)</f>
        <v>3735355</v>
      </c>
      <c r="D132">
        <f>VALUE(3954833)</f>
        <v>3954833</v>
      </c>
      <c r="E132">
        <f>VALUE(9164894)</f>
        <v>9164894</v>
      </c>
      <c r="F132">
        <f>VALUE(2028219)</f>
        <v>2028219</v>
      </c>
      <c r="I132" t="s">
        <v>13</v>
      </c>
      <c r="J132" s="1">
        <v>29.768859777788</v>
      </c>
      <c r="K132">
        <v>37.532772743126</v>
      </c>
      <c r="L132">
        <v>46.451648897622</v>
      </c>
      <c r="M132">
        <v>91.350598081725</v>
      </c>
      <c r="N132">
        <v>37.621652002052</v>
      </c>
      <c r="O132">
        <v>37.621652002052</v>
      </c>
    </row>
    <row r="133" spans="1:15">
      <c r="A133" t="s">
        <v>14</v>
      </c>
      <c r="B133">
        <f>VALUE(7629069)</f>
        <v>7629069</v>
      </c>
      <c r="C133">
        <f>VALUE(8057306)</f>
        <v>8057306</v>
      </c>
      <c r="D133">
        <f>VALUE(7913555)</f>
        <v>7913555</v>
      </c>
      <c r="E133">
        <f>VALUE(9600388)</f>
        <v>9600388</v>
      </c>
      <c r="F133">
        <f>VALUE(4277718)</f>
        <v>4277718</v>
      </c>
    </row>
    <row r="134" spans="1:15">
      <c r="A134" t="s">
        <v>15</v>
      </c>
      <c r="B134">
        <f>VALUE(3480248)</f>
        <v>3480248</v>
      </c>
      <c r="C134">
        <f>VALUE(1894942)</f>
        <v>1894942</v>
      </c>
      <c r="D134">
        <f>VALUE(600315)</f>
        <v>600315</v>
      </c>
      <c r="E134">
        <f>VALUE(432271)</f>
        <v>432271</v>
      </c>
      <c r="F134">
        <f>VALUE(1113377)</f>
        <v>1113377</v>
      </c>
    </row>
    <row r="135" spans="1:15">
      <c r="A135" t="s">
        <v>16</v>
      </c>
      <c r="B135">
        <f>VALUE(142392)</f>
        <v>142392</v>
      </c>
      <c r="C135">
        <f>VALUE(281968)</f>
        <v>281968</v>
      </c>
      <c r="D135">
        <f>VALUE(654828)</f>
        <v>654828</v>
      </c>
      <c r="E135">
        <f>VALUE(529458)</f>
        <v>529458</v>
      </c>
      <c r="F135">
        <f>VALUE(234169)</f>
        <v>234169</v>
      </c>
      <c r="I135" t="s">
        <v>17</v>
      </c>
      <c r="J135" s="1">
        <v>4.0914325645759</v>
      </c>
      <c r="K135" s="1">
        <v>14.880033267509</v>
      </c>
      <c r="L135">
        <v>109.08073261538</v>
      </c>
      <c r="M135">
        <v>122.48288689271</v>
      </c>
      <c r="N135">
        <v>21.032318792287</v>
      </c>
      <c r="O135">
        <v>21.032318792287</v>
      </c>
    </row>
    <row r="136" spans="1:15">
      <c r="A136" t="s">
        <v>18</v>
      </c>
      <c r="B136">
        <f>VALUE(1819701)</f>
        <v>1819701</v>
      </c>
      <c r="C136">
        <f>VALUE(236080)</f>
        <v>236080</v>
      </c>
      <c r="D136">
        <f>VALUE(791447)</f>
        <v>791447</v>
      </c>
      <c r="E136">
        <f>VALUE(323289)</f>
        <v>323289</v>
      </c>
      <c r="F136">
        <f>VALUE(752279)</f>
        <v>752279</v>
      </c>
    </row>
    <row r="137" spans="1:15">
      <c r="A137" t="s">
        <v>19</v>
      </c>
      <c r="B137">
        <f>VALUE(719722)</f>
        <v>719722</v>
      </c>
      <c r="C137">
        <f>VALUE(701131)</f>
        <v>701131</v>
      </c>
      <c r="D137">
        <f>VALUE(667655)</f>
        <v>667655</v>
      </c>
      <c r="E137">
        <f>VALUE(1034146)</f>
        <v>1034146</v>
      </c>
      <c r="F137">
        <f>VALUE(477773)</f>
        <v>477773</v>
      </c>
    </row>
    <row r="138" spans="1:15">
      <c r="A138" t="s">
        <v>20</v>
      </c>
      <c r="B138">
        <f>VALUE(1099979)</f>
        <v>1099979</v>
      </c>
      <c r="C138">
        <f>VALUE(465051)</f>
        <v>465051</v>
      </c>
      <c r="D138">
        <f>VALUE(1459103)</f>
        <v>1459103</v>
      </c>
      <c r="E138">
        <f>VALUE(1357435)</f>
        <v>1357435</v>
      </c>
      <c r="F138">
        <f>VALUE(274506)</f>
        <v>274506</v>
      </c>
    </row>
    <row r="139" spans="1:15">
      <c r="A139" t="s">
        <v>21</v>
      </c>
      <c r="B139">
        <f>VALUE(1161591)</f>
        <v>1161591</v>
      </c>
      <c r="C139">
        <f>VALUE(274352)</f>
        <v>274352</v>
      </c>
      <c r="D139">
        <f>VALUE(1507321)</f>
        <v>1507321</v>
      </c>
      <c r="E139">
        <f>VALUE(1316783)</f>
        <v>1316783</v>
      </c>
      <c r="F139">
        <f>VALUE(1686092)</f>
        <v>1686092</v>
      </c>
      <c r="I139" t="s">
        <v>22</v>
      </c>
      <c r="J139">
        <v>4.4288821477378</v>
      </c>
      <c r="K139">
        <v>1.0298630324059</v>
      </c>
      <c r="L139">
        <v>5.9274865318002</v>
      </c>
      <c r="M139">
        <v>4.4457418861715</v>
      </c>
      <c r="N139">
        <v>11.909245202005</v>
      </c>
      <c r="O139">
        <v>11.909245202005</v>
      </c>
    </row>
    <row r="140" spans="1:15">
      <c r="A140" t="s">
        <v>23</v>
      </c>
      <c r="B140">
        <f>VALUE(1161591)</f>
        <v>1161591</v>
      </c>
      <c r="C140">
        <f>VALUE(274352)</f>
        <v>274352</v>
      </c>
      <c r="D140">
        <f>VALUE(1507321)</f>
        <v>1507321</v>
      </c>
      <c r="E140">
        <f>VALUE(1316783)</f>
        <v>1316783</v>
      </c>
      <c r="F140">
        <f>VALUE(1686092)</f>
        <v>1686092</v>
      </c>
    </row>
    <row r="141" spans="1:15">
      <c r="A141" t="s">
        <v>24</v>
      </c>
      <c r="B141"/>
      <c r="C141">
        <f>VALUE(2)</f>
        <v>2</v>
      </c>
      <c r="D141">
        <f>VALUE(14)</f>
        <v>14</v>
      </c>
      <c r="E141">
        <f>VALUE(8)</f>
        <v>8</v>
      </c>
      <c r="F141">
        <f>VALUE(10)</f>
        <v>10</v>
      </c>
    </row>
    <row r="142" spans="1:15">
      <c r="A142" t="s">
        <v>25</v>
      </c>
      <c r="B142"/>
      <c r="C142">
        <f>VALUE(2)</f>
        <v>2</v>
      </c>
      <c r="D142">
        <f>VALUE(14)</f>
        <v>14</v>
      </c>
      <c r="E142">
        <f>VALUE(8)</f>
        <v>8</v>
      </c>
      <c r="F142">
        <f>VALUE(10)</f>
        <v>10</v>
      </c>
    </row>
    <row r="143" spans="1:15">
      <c r="A143" t="s">
        <v>26</v>
      </c>
      <c r="B143"/>
      <c r="C143">
        <f>VALUE(106752)</f>
        <v>106752</v>
      </c>
      <c r="D143">
        <f>VALUE(106751)</f>
        <v>106751</v>
      </c>
      <c r="E143">
        <f>VALUE(106731)</f>
        <v>106731</v>
      </c>
      <c r="F143">
        <f>VALUE(106775)</f>
        <v>106775</v>
      </c>
    </row>
    <row r="144" spans="1:15">
      <c r="A144" t="s">
        <v>27</v>
      </c>
      <c r="B144"/>
      <c r="C144">
        <f>VALUE(106752)</f>
        <v>106752</v>
      </c>
      <c r="D144">
        <f>VALUE(106751)</f>
        <v>106751</v>
      </c>
      <c r="E144">
        <f>VALUE(106731)</f>
        <v>106731</v>
      </c>
      <c r="F144">
        <f>VALUE(106775)</f>
        <v>106775</v>
      </c>
    </row>
    <row r="145" spans="1:15">
      <c r="A145" t="s">
        <v>28</v>
      </c>
      <c r="B145"/>
      <c r="C145">
        <f>VALUE(1873510)</f>
        <v>1873510</v>
      </c>
      <c r="D145">
        <f>VALUE(983317)</f>
        <v>983317</v>
      </c>
      <c r="E145">
        <f>VALUE(1321068)</f>
        <v>1321068</v>
      </c>
      <c r="F145">
        <f>VALUE(1230525)</f>
        <v>1230525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2021-07-11T21:28:07+00:00</dcterms:created>
  <dcterms:modified xsi:type="dcterms:W3CDTF">2021-07-11T21:28:07+00:00</dcterms:modified>
  <dc:title>Untitled Spreadsheet</dc:title>
  <dc:description/>
  <dc:subject/>
  <cp:keywords/>
  <cp:category/>
</cp:coreProperties>
</file>