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arjtai/Documents/GitHub/DSI_Capstone_KPMG/"/>
    </mc:Choice>
  </mc:AlternateContent>
  <xr:revisionPtr revIDLastSave="0" documentId="13_ncr:1_{71B7ABCD-A3CC-F741-B6FB-509D27555DE9}" xr6:coauthVersionLast="47" xr6:coauthVersionMax="47" xr10:uidLastSave="{00000000-0000-0000-0000-000000000000}"/>
  <bookViews>
    <workbookView xWindow="240" yWindow="4000" windowWidth="28800" windowHeight="16340" xr2:uid="{85EAB234-E618-4D4A-8A02-D228AB282D4E}"/>
  </bookViews>
  <sheets>
    <sheet name="Sheet1" sheetId="5" r:id="rId1"/>
    <sheet name="Growth Rate Calculation" sheetId="4" r:id="rId2"/>
    <sheet name="Vehicle Counts" sheetId="1" r:id="rId3"/>
    <sheet name="Market Share" sheetId="2" r:id="rId4"/>
    <sheet name="Per Capita" sheetId="3" r:id="rId5"/>
  </sheets>
  <definedNames>
    <definedName name="_xlnm._FilterDatabase" localSheetId="1" hidden="1">'Growth Rate Calculation'!$B$1:$D$7</definedName>
    <definedName name="_xlnm._FilterDatabase" localSheetId="2" hidden="1">'Vehicle Counts'!$P$1:$R$7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I25" i="4"/>
  <c r="I12" i="4"/>
  <c r="K12" i="4" s="1"/>
  <c r="I26" i="4"/>
  <c r="I27" i="4"/>
  <c r="I28" i="4"/>
  <c r="I29" i="4"/>
  <c r="I30" i="4"/>
  <c r="I31" i="4"/>
  <c r="I32" i="4"/>
  <c r="I33" i="4"/>
  <c r="I2" i="4"/>
  <c r="J20" i="4"/>
  <c r="J13" i="4"/>
  <c r="K13" i="4" s="1"/>
  <c r="J14" i="4"/>
  <c r="K14" i="4"/>
  <c r="J15" i="4"/>
  <c r="K15" i="4"/>
  <c r="J16" i="4"/>
  <c r="K16" i="4"/>
  <c r="J17" i="4"/>
  <c r="K17" i="4"/>
  <c r="J18" i="4"/>
  <c r="K18" i="4"/>
  <c r="J19" i="4"/>
  <c r="K19" i="4"/>
  <c r="K20" i="4"/>
  <c r="I13" i="4"/>
  <c r="I14" i="4"/>
  <c r="I15" i="4"/>
  <c r="I16" i="4"/>
  <c r="I17" i="4"/>
  <c r="I18" i="4"/>
  <c r="I19" i="4"/>
  <c r="I20" i="4"/>
  <c r="K3" i="4"/>
  <c r="K4" i="4"/>
  <c r="K5" i="4"/>
  <c r="K6" i="4"/>
  <c r="K7" i="4"/>
  <c r="K8" i="4"/>
  <c r="K9" i="4"/>
  <c r="K10" i="4"/>
  <c r="K2" i="4"/>
  <c r="J3" i="4"/>
  <c r="J4" i="4"/>
  <c r="J5" i="4"/>
  <c r="J6" i="4"/>
  <c r="J7" i="4"/>
  <c r="J8" i="4"/>
  <c r="J9" i="4"/>
  <c r="J10" i="4"/>
  <c r="J2" i="4"/>
  <c r="I3" i="4"/>
  <c r="I4" i="4"/>
  <c r="I5" i="4"/>
  <c r="I6" i="4"/>
  <c r="I7" i="4"/>
  <c r="I8" i="4"/>
  <c r="I9" i="4"/>
  <c r="I10" i="4"/>
  <c r="J12" i="4"/>
  <c r="Q2" i="1"/>
  <c r="R3" i="1"/>
  <c r="R4" i="1"/>
  <c r="R5" i="1"/>
  <c r="R6" i="1"/>
  <c r="E3" i="4"/>
  <c r="E4" i="4"/>
  <c r="E5" i="4"/>
  <c r="E6" i="4"/>
  <c r="E7" i="4"/>
  <c r="E2" i="4"/>
  <c r="Q3" i="1"/>
  <c r="Q4" i="1"/>
  <c r="Q5" i="1"/>
  <c r="Q6" i="1"/>
  <c r="Q7" i="1"/>
  <c r="Q9" i="1"/>
  <c r="H21" i="1"/>
  <c r="H20" i="1"/>
  <c r="G22" i="1"/>
  <c r="H22" i="1" s="1"/>
  <c r="G23" i="1"/>
  <c r="G26" i="1" s="1"/>
  <c r="B23" i="1"/>
  <c r="B26" i="1" s="1"/>
  <c r="C23" i="1"/>
  <c r="C25" i="1" s="1"/>
  <c r="C22" i="1"/>
  <c r="B22" i="1"/>
  <c r="E21" i="1"/>
  <c r="E20" i="1"/>
  <c r="E22" i="1" s="1"/>
  <c r="D21" i="1"/>
  <c r="F21" i="1" s="1"/>
  <c r="D20" i="1"/>
  <c r="F20" i="1" s="1"/>
  <c r="F22" i="1" s="1"/>
  <c r="M2" i="1"/>
  <c r="R2" i="1" s="1"/>
  <c r="E11" i="1"/>
  <c r="E12" i="1"/>
  <c r="E13" i="1"/>
  <c r="E14" i="1"/>
  <c r="E15" i="1"/>
  <c r="C12" i="1"/>
  <c r="C13" i="1"/>
  <c r="C14" i="1"/>
  <c r="C15" i="1"/>
  <c r="C11" i="1"/>
  <c r="B13" i="1"/>
  <c r="B11" i="1"/>
  <c r="D11" i="1" s="1"/>
  <c r="M7" i="1"/>
  <c r="R7" i="1" s="1"/>
  <c r="M6" i="1"/>
  <c r="M5" i="1"/>
  <c r="M4" i="1"/>
  <c r="M3" i="1"/>
  <c r="B12" i="1" s="1"/>
  <c r="D22" i="1" l="1"/>
  <c r="H23" i="1"/>
  <c r="H26" i="1" s="1"/>
  <c r="C26" i="1"/>
  <c r="F13" i="1"/>
  <c r="B25" i="1"/>
  <c r="D23" i="1"/>
  <c r="F23" i="1" s="1"/>
  <c r="F26" i="1" s="1"/>
  <c r="F12" i="1"/>
  <c r="E23" i="1"/>
  <c r="E26" i="1" s="1"/>
  <c r="D13" i="1"/>
  <c r="B14" i="1"/>
  <c r="F14" i="1" s="1"/>
  <c r="D12" i="1"/>
  <c r="B15" i="1"/>
  <c r="D15" i="1" s="1"/>
  <c r="F11" i="1"/>
  <c r="D14" i="1" l="1"/>
  <c r="F15" i="1"/>
</calcChain>
</file>

<file path=xl/sharedStrings.xml><?xml version="1.0" encoding="utf-8"?>
<sst xmlns="http://schemas.openxmlformats.org/spreadsheetml/2006/main" count="78" uniqueCount="59">
  <si>
    <t>EV</t>
  </si>
  <si>
    <t>Plug-in Hybrid EV</t>
  </si>
  <si>
    <t>Hybrid EV</t>
  </si>
  <si>
    <t>Gasoline V</t>
  </si>
  <si>
    <t>Vehicle Counts</t>
  </si>
  <si>
    <t>Per Capita</t>
  </si>
  <si>
    <t>Electric (EV)</t>
  </si>
  <si>
    <t>Plug-In Hybrid Electric (PHEV)</t>
  </si>
  <si>
    <t>Hybrid Electric (HEV)</t>
  </si>
  <si>
    <t>Biodiesel</t>
  </si>
  <si>
    <t>Ethanol/Flex (E85)</t>
  </si>
  <si>
    <t>Compressed Natural Gas (CNG)</t>
  </si>
  <si>
    <t>Propane</t>
  </si>
  <si>
    <t>Hydrogen</t>
  </si>
  <si>
    <t>Methanol</t>
  </si>
  <si>
    <t>Gasoline</t>
  </si>
  <si>
    <t>Diesel</t>
  </si>
  <si>
    <t>Total</t>
  </si>
  <si>
    <t>Conversion rate</t>
  </si>
  <si>
    <t>total increment</t>
  </si>
  <si>
    <t>Pct. Of Gas V</t>
  </si>
  <si>
    <t>EV incl. Plug-in Hybrid EV increment</t>
  </si>
  <si>
    <t>Gas V increment</t>
  </si>
  <si>
    <t>Gas</t>
  </si>
  <si>
    <t>New or Transfer Registration Counts</t>
  </si>
  <si>
    <t>https://data.wa.gov/Transportation/Count-of-Registrations-by-Month/jnpn-n7h3</t>
  </si>
  <si>
    <t>Growth rate</t>
  </si>
  <si>
    <t>2022 Projected, Addition</t>
  </si>
  <si>
    <t>2022 Projected, extrapolate</t>
  </si>
  <si>
    <t>Conversion Rate</t>
  </si>
  <si>
    <t>Total Vehicle Counts</t>
  </si>
  <si>
    <t>sum of above two</t>
  </si>
  <si>
    <t>2022 Projected by month</t>
  </si>
  <si>
    <t>2022, as of Sep.</t>
  </si>
  <si>
    <t>Pct. EV</t>
  </si>
  <si>
    <t>Marketshare(%)</t>
  </si>
  <si>
    <t>Pct. Gas</t>
  </si>
  <si>
    <r>
      <t>Electric</t>
    </r>
    <r>
      <rPr>
        <b/>
        <vertAlign val="superscript"/>
        <sz val="6"/>
        <rFont val="Arial"/>
        <family val="2"/>
      </rPr>
      <t>a</t>
    </r>
  </si>
  <si>
    <t>(stations / charging outlets</t>
  </si>
  <si>
    <t>Level 1 / Level 2 / DC Fast)</t>
  </si>
  <si>
    <t>1,775 | 4,328</t>
  </si>
  <si>
    <t>218 | 3,394 | 716</t>
  </si>
  <si>
    <t>1,224 / 3,771</t>
  </si>
  <si>
    <t>161 / 2,981 / 629</t>
  </si>
  <si>
    <t>1,095 / 3,206</t>
  </si>
  <si>
    <t>960 / 2,571</t>
  </si>
  <si>
    <t>798 / 2,145</t>
  </si>
  <si>
    <t>738 / 1,833</t>
  </si>
  <si>
    <t>EV Growth Rate</t>
  </si>
  <si>
    <t>Proj. 2022</t>
  </si>
  <si>
    <t>Linear Projected</t>
  </si>
  <si>
    <t>Quadratic Projected</t>
  </si>
  <si>
    <r>
      <t>y = -19,492.86x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+ 78,825,698.57x - 79,682,508,248.58</t>
    </r>
  </si>
  <si>
    <t>R² = 0.97</t>
  </si>
  <si>
    <r>
      <t>y = 1,083.93x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- 4,362,222.50x + 4,388,899,063.57</t>
    </r>
  </si>
  <si>
    <t>R² = 1.00</t>
  </si>
  <si>
    <t>year</t>
  </si>
  <si>
    <t>EV Pct.</t>
  </si>
  <si>
    <t>Quadratic Interpolated only on Pct.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</si>
</sst>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3"/>
      <color rgb="FF333333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b/>
      <vertAlign val="superscript"/>
      <sz val="6"/>
      <name val="Arial"/>
      <family val="2"/>
    </font>
    <font>
      <sz val="10"/>
      <color rgb="FF333333"/>
      <name val="Arial"/>
      <family val="2"/>
    </font>
    <font>
      <sz val="13"/>
      <color rgb="FFFF0000"/>
      <name val="Arial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F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1" fontId="2" fillId="0" borderId="0" xfId="0" applyNumberFormat="1" applyFont="1"/>
    <xf numFmtId="10" fontId="0" fillId="0" borderId="0" xfId="1" applyNumberFormat="1" applyFont="1"/>
    <xf numFmtId="0" fontId="2" fillId="0" borderId="0" xfId="0" applyFont="1"/>
    <xf numFmtId="0" fontId="7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10" fontId="0" fillId="5" borderId="0" xfId="1" applyNumberFormat="1" applyFont="1" applyFill="1"/>
    <xf numFmtId="10" fontId="2" fillId="0" borderId="0" xfId="1" applyNumberFormat="1" applyFont="1"/>
    <xf numFmtId="10" fontId="10" fillId="0" borderId="0" xfId="1" applyNumberFormat="1" applyFont="1"/>
    <xf numFmtId="0" fontId="7" fillId="2" borderId="2" xfId="0" applyFont="1" applyFill="1" applyBorder="1" applyAlignment="1">
      <alignment horizontal="left"/>
    </xf>
    <xf numFmtId="10" fontId="6" fillId="0" borderId="0" xfId="1" applyNumberFormat="1" applyFont="1"/>
    <xf numFmtId="0" fontId="11" fillId="0" borderId="0" xfId="0" applyFont="1" applyAlignment="1">
      <alignment horizontal="center" vertical="center" readingOrder="1"/>
    </xf>
    <xf numFmtId="10" fontId="3" fillId="0" borderId="0" xfId="1" applyNumberFormat="1" applyFont="1"/>
    <xf numFmtId="0" fontId="3" fillId="6" borderId="0" xfId="0" applyFont="1" applyFill="1" applyAlignment="1">
      <alignment horizontal="center" wrapText="1"/>
    </xf>
    <xf numFmtId="0" fontId="0" fillId="6" borderId="0" xfId="0" applyFill="1"/>
    <xf numFmtId="1" fontId="2" fillId="6" borderId="0" xfId="0" applyNumberFormat="1" applyFont="1" applyFill="1"/>
    <xf numFmtId="10" fontId="6" fillId="6" borderId="0" xfId="1" applyNumberFormat="1" applyFont="1" applyFill="1"/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EV Pct.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xVal>
          <c:yVal>
            <c:numRef>
              <c:f>Sheet1!$D$2:$D$17</c:f>
              <c:numCache>
                <c:formatCode>0.00%</c:formatCode>
                <c:ptCount val="16"/>
                <c:pt idx="0">
                  <c:v>3.4949544671425054E-3</c:v>
                </c:pt>
                <c:pt idx="1">
                  <c:v>4.7931775031902647E-3</c:v>
                </c:pt>
                <c:pt idx="2">
                  <c:v>6.7188050016070032E-3</c:v>
                </c:pt>
                <c:pt idx="3">
                  <c:v>8.5617735751844955E-3</c:v>
                </c:pt>
                <c:pt idx="4">
                  <c:v>1.0227407671297945E-2</c:v>
                </c:pt>
                <c:pt idx="5">
                  <c:v>1.3345834371017126E-2</c:v>
                </c:pt>
                <c:pt idx="6">
                  <c:v>1.5938300000000002E-2</c:v>
                </c:pt>
                <c:pt idx="7">
                  <c:v>1.9014900000000001E-2</c:v>
                </c:pt>
                <c:pt idx="8">
                  <c:v>2.2379300000000001E-2</c:v>
                </c:pt>
                <c:pt idx="9">
                  <c:v>2.6031500000000003E-2</c:v>
                </c:pt>
                <c:pt idx="10">
                  <c:v>2.9971500000000002E-2</c:v>
                </c:pt>
                <c:pt idx="11">
                  <c:v>3.4199299999999995E-2</c:v>
                </c:pt>
                <c:pt idx="12">
                  <c:v>3.8714899999999997E-2</c:v>
                </c:pt>
                <c:pt idx="13">
                  <c:v>4.3518300000000003E-2</c:v>
                </c:pt>
                <c:pt idx="14">
                  <c:v>4.86095E-2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3-DB4B-B2F0-A0425310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27376"/>
        <c:axId val="1461529024"/>
      </c:scatterChart>
      <c:valAx>
        <c:axId val="14615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61529024"/>
        <c:crosses val="autoZero"/>
        <c:crossBetween val="midCat"/>
      </c:valAx>
      <c:valAx>
        <c:axId val="14615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6152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'Growth Rate Calculation'!$C$1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'Growth Rate Calculation'!$B$2:$B$7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'Growth Rate Calculation'!$C$2:$C$7</c:f>
              <c:numCache>
                <c:formatCode>General</c:formatCode>
                <c:ptCount val="6"/>
                <c:pt idx="0">
                  <c:v>21300</c:v>
                </c:pt>
                <c:pt idx="1">
                  <c:v>30800</c:v>
                </c:pt>
                <c:pt idx="2">
                  <c:v>43900</c:v>
                </c:pt>
                <c:pt idx="3">
                  <c:v>56500</c:v>
                </c:pt>
                <c:pt idx="4">
                  <c:v>68900</c:v>
                </c:pt>
                <c:pt idx="5">
                  <c:v>91100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394B-BFD7-45FA2786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231"/>
        <c:axId val="2480879"/>
      </c:lineChart>
      <c:catAx>
        <c:axId val="24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80879"/>
        <c:crosses val="autoZero"/>
        <c:auto val="1"/>
        <c:lblAlgn val="ctr"/>
        <c:lblOffset val="100"/>
        <c:noMultiLvlLbl val="0"/>
      </c:catAx>
      <c:valAx>
        <c:axId val="2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Vehicle</a:t>
            </a:r>
            <a:r>
              <a:rPr lang="en-US" baseline="0"/>
              <a:t>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'Growth Rate Calculation'!$D$1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'Growth Rate Calculation'!$B$2:$B$7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'Growth Rate Calculation'!$D$2:$D$7</c:f>
              <c:numCache>
                <c:formatCode>General</c:formatCode>
                <c:ptCount val="6"/>
                <c:pt idx="0">
                  <c:v>6094500</c:v>
                </c:pt>
                <c:pt idx="1">
                  <c:v>6425800</c:v>
                </c:pt>
                <c:pt idx="2">
                  <c:v>6533900</c:v>
                </c:pt>
                <c:pt idx="3">
                  <c:v>6599100</c:v>
                </c:pt>
                <c:pt idx="4">
                  <c:v>6736800</c:v>
                </c:pt>
                <c:pt idx="5">
                  <c:v>6826100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2-3D43-B585-4239D738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231"/>
        <c:axId val="2480879"/>
      </c:lineChart>
      <c:catAx>
        <c:axId val="24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80879"/>
        <c:crosses val="autoZero"/>
        <c:auto val="1"/>
        <c:lblAlgn val="ctr"/>
        <c:lblOffset val="100"/>
        <c:noMultiLvlLbl val="0"/>
      </c:catAx>
      <c:valAx>
        <c:axId val="2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'Growth Rate Calculation'!$E$1</c:f>
              <c:strCache>
                <c:ptCount val="1"/>
                <c:pt idx="0">
                  <c:v>EV Pct.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tint val="58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cat>
            <c:numRef>
              <c:f>'Growth Rate Calculation'!$B$2:$B$7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'Growth Rate Calculation'!$E$2:$E$7</c:f>
              <c:numCache>
                <c:formatCode>0.00%</c:formatCode>
                <c:ptCount val="6"/>
                <c:pt idx="0">
                  <c:v>3.4949544671425054E-3</c:v>
                </c:pt>
                <c:pt idx="1">
                  <c:v>4.7931775031902647E-3</c:v>
                </c:pt>
                <c:pt idx="2">
                  <c:v>6.7188050016070032E-3</c:v>
                </c:pt>
                <c:pt idx="3">
                  <c:v>8.5617735751844955E-3</c:v>
                </c:pt>
                <c:pt idx="4">
                  <c:v>1.0227407671297945E-2</c:v>
                </c:pt>
                <c:pt idx="5">
                  <c:v>1.3345834371017126E-2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F-6E4A-98D8-CDA644C7FFE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479231"/>
        <c:axId val="2480879"/>
      </c:lineChart>
      <c:catAx>
        <c:axId val="24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80879"/>
        <c:crosses val="autoZero"/>
        <c:auto val="1"/>
        <c:lblAlgn val="ctr"/>
        <c:lblOffset val="100"/>
        <c:noMultiLvlLbl val="0"/>
      </c:catAx>
      <c:valAx>
        <c:axId val="2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4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% (Incl. Projection)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'Growth Rate Calculation'!$T$1</c:f>
              <c:strCache>
                <c:ptCount val="1"/>
                <c:pt idx="0">
                  <c:v>EV Pct.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'Growth Rate Calculation'!$S$2:$S$16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 formatCode="0">
                  <c:v>2022</c:v>
                </c:pt>
                <c:pt idx="7" formatCode="0">
                  <c:v>2023</c:v>
                </c:pt>
                <c:pt idx="8" formatCode="0">
                  <c:v>2024</c:v>
                </c:pt>
                <c:pt idx="9" formatCode="0">
                  <c:v>2025</c:v>
                </c:pt>
                <c:pt idx="10" formatCode="0">
                  <c:v>2026</c:v>
                </c:pt>
                <c:pt idx="11" formatCode="0">
                  <c:v>2027</c:v>
                </c:pt>
                <c:pt idx="12" formatCode="0">
                  <c:v>2028</c:v>
                </c:pt>
                <c:pt idx="13" formatCode="0">
                  <c:v>2029</c:v>
                </c:pt>
                <c:pt idx="14" formatCode="0">
                  <c:v>2030</c:v>
                </c:pt>
              </c:numCache>
            </c:numRef>
          </c:cat>
          <c:val>
            <c:numRef>
              <c:f>'Growth Rate Calculation'!$T$2:$T$16</c:f>
              <c:numCache>
                <c:formatCode>0.00%</c:formatCode>
                <c:ptCount val="15"/>
                <c:pt idx="0">
                  <c:v>3.4949544671425054E-3</c:v>
                </c:pt>
                <c:pt idx="1">
                  <c:v>4.7931775031902647E-3</c:v>
                </c:pt>
                <c:pt idx="2">
                  <c:v>6.7188050016070032E-3</c:v>
                </c:pt>
                <c:pt idx="3">
                  <c:v>8.5617735751844955E-3</c:v>
                </c:pt>
                <c:pt idx="4">
                  <c:v>1.0227407671297945E-2</c:v>
                </c:pt>
                <c:pt idx="5">
                  <c:v>1.3345834371017126E-2</c:v>
                </c:pt>
                <c:pt idx="6">
                  <c:v>1.5938300000000002E-2</c:v>
                </c:pt>
                <c:pt idx="7">
                  <c:v>1.9014900000000001E-2</c:v>
                </c:pt>
                <c:pt idx="8">
                  <c:v>2.2379300000000001E-2</c:v>
                </c:pt>
                <c:pt idx="9">
                  <c:v>2.6031500000000003E-2</c:v>
                </c:pt>
                <c:pt idx="10">
                  <c:v>2.9971500000000002E-2</c:v>
                </c:pt>
                <c:pt idx="11">
                  <c:v>3.4199299999999995E-2</c:v>
                </c:pt>
                <c:pt idx="12">
                  <c:v>3.8714899999999997E-2</c:v>
                </c:pt>
                <c:pt idx="13">
                  <c:v>4.3518300000000003E-2</c:v>
                </c:pt>
                <c:pt idx="14">
                  <c:v>4.86095E-2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AF40-BBC0-9048C2EF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4239"/>
        <c:axId val="113205887"/>
      </c:lineChart>
      <c:catAx>
        <c:axId val="1132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13205887"/>
        <c:crosses val="autoZero"/>
        <c:auto val="1"/>
        <c:lblAlgn val="ctr"/>
        <c:lblOffset val="100"/>
        <c:noMultiLvlLbl val="0"/>
      </c:catAx>
      <c:valAx>
        <c:axId val="113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132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'Vehicle Counts'!$R$1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387051618547681"/>
                  <c:y val="7.365740740740740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'Vehicle Counts'!$P$2:$P$8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</c:numCache>
            </c:numRef>
          </c:xVal>
          <c:yVal>
            <c:numRef>
              <c:f>'Vehicle Counts'!$R$2:$R$8</c:f>
              <c:numCache>
                <c:formatCode>General</c:formatCode>
                <c:ptCount val="7"/>
                <c:pt idx="0">
                  <c:v>6826100</c:v>
                </c:pt>
                <c:pt idx="1">
                  <c:v>6736800</c:v>
                </c:pt>
                <c:pt idx="2">
                  <c:v>6599100</c:v>
                </c:pt>
                <c:pt idx="3">
                  <c:v>6533900</c:v>
                </c:pt>
                <c:pt idx="4">
                  <c:v>6425800</c:v>
                </c:pt>
                <c:pt idx="5">
                  <c:v>6094500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B-D646-8260-F45A132D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99680"/>
        <c:axId val="688482848"/>
      </c:scatterChart>
      <c:valAx>
        <c:axId val="6887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88482848"/>
        <c:crosses val="autoZero"/>
        <c:crossBetween val="midCat"/>
      </c:valAx>
      <c:valAx>
        <c:axId val="6884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887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'Vehicle Counts'!$Q$1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'Vehicle Counts'!$P$2:$P$8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</c:numCache>
            </c:numRef>
          </c:xVal>
          <c:yVal>
            <c:numRef>
              <c:f>'Vehicle Counts'!$Q$2:$Q$8</c:f>
              <c:numCache>
                <c:formatCode>General</c:formatCode>
                <c:ptCount val="7"/>
                <c:pt idx="0">
                  <c:v>91100</c:v>
                </c:pt>
                <c:pt idx="1">
                  <c:v>68900</c:v>
                </c:pt>
                <c:pt idx="2">
                  <c:v>56500</c:v>
                </c:pt>
                <c:pt idx="3">
                  <c:v>43900</c:v>
                </c:pt>
                <c:pt idx="4">
                  <c:v>30800</c:v>
                </c:pt>
                <c:pt idx="5">
                  <c:v>21300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F-8D4B-995F-7027F817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99680"/>
        <c:axId val="688482848"/>
      </c:scatterChart>
      <c:valAx>
        <c:axId val="6887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88482848"/>
        <c:crosses val="autoZero"/>
        <c:crossBetween val="midCat"/>
      </c:valAx>
      <c:valAx>
        <c:axId val="6884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887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4</xdr:row>
      <xdr:rowOff>190500</xdr:rowOff>
    </xdr:from>
    <xdr:to>
      <xdr:col>11</xdr:col>
      <xdr:colOff>203200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24BFD-5414-6958-485C-909F48FB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50800</xdr:rowOff>
    </xdr:from>
    <xdr:to>
      <xdr:col>15</xdr:col>
      <xdr:colOff>533400</xdr:colOff>
      <xdr:row>11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CDCB7-1FC1-0149-91A4-2AC2A7F9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11</xdr:row>
      <xdr:rowOff>63500</xdr:rowOff>
    </xdr:from>
    <xdr:to>
      <xdr:col>15</xdr:col>
      <xdr:colOff>533400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9E988-8317-5749-9582-3A155D08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22</xdr:row>
      <xdr:rowOff>60960</xdr:rowOff>
    </xdr:from>
    <xdr:to>
      <xdr:col>18</xdr:col>
      <xdr:colOff>419100</xdr:colOff>
      <xdr:row>33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D6FC4-8858-244F-B0C5-C0B3C98C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</xdr:colOff>
      <xdr:row>17</xdr:row>
      <xdr:rowOff>139700</xdr:rowOff>
    </xdr:from>
    <xdr:to>
      <xdr:col>25</xdr:col>
      <xdr:colOff>609600</xdr:colOff>
      <xdr:row>28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0DB65-E5A8-F0E9-D63F-22B11D44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11</xdr:row>
      <xdr:rowOff>88900</xdr:rowOff>
    </xdr:from>
    <xdr:to>
      <xdr:col>17</xdr:col>
      <xdr:colOff>628650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D7FB2-3676-43D3-4D09-FBBBCEEA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177800</xdr:colOff>
      <xdr:row>11</xdr:row>
      <xdr:rowOff>50800</xdr:rowOff>
    </xdr:from>
    <xdr:to>
      <xdr:col>23</xdr:col>
      <xdr:colOff>622300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B15F-8B0E-B64F-85F5-0ECF84FD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CCE-DEED-174D-A175-2EEE6626AA55}">
  <dimension ref="A1:D16"/>
  <sheetViews>
    <sheetView tabSelected="1" workbookViewId="0">
      <selection activeCell="F25" sqref="F25"/>
    </sheetView>
  </sheetViews>
  <sheetFormatPr baseColWidth="10" defaultRowHeight="16" x14ac:dyDescent="0.2"/>
  <sheetData>
    <row r="1" spans="1:4" x14ac:dyDescent="0.2">
      <c r="A1" t="s">
        <v>56</v>
      </c>
      <c r="B1" t="s">
        <v>0</v>
      </c>
      <c r="C1" t="s">
        <v>17</v>
      </c>
      <c r="D1" s="4" t="s">
        <v>57</v>
      </c>
    </row>
    <row r="2" spans="1:4" x14ac:dyDescent="0.2">
      <c r="A2">
        <v>2016</v>
      </c>
      <c r="B2">
        <v>21300</v>
      </c>
      <c r="C2">
        <v>6094500</v>
      </c>
      <c r="D2" s="18">
        <f t="shared" ref="D2:D7" si="0">B2/C2</f>
        <v>3.4949544671425054E-3</v>
      </c>
    </row>
    <row r="3" spans="1:4" x14ac:dyDescent="0.2">
      <c r="A3">
        <v>2017</v>
      </c>
      <c r="B3">
        <v>30800</v>
      </c>
      <c r="C3">
        <v>6425800</v>
      </c>
      <c r="D3" s="18">
        <f t="shared" si="0"/>
        <v>4.7931775031902647E-3</v>
      </c>
    </row>
    <row r="4" spans="1:4" x14ac:dyDescent="0.2">
      <c r="A4">
        <v>2018</v>
      </c>
      <c r="B4">
        <v>43900</v>
      </c>
      <c r="C4">
        <v>6533900</v>
      </c>
      <c r="D4" s="18">
        <f t="shared" si="0"/>
        <v>6.7188050016070032E-3</v>
      </c>
    </row>
    <row r="5" spans="1:4" x14ac:dyDescent="0.2">
      <c r="A5">
        <v>2019</v>
      </c>
      <c r="B5">
        <v>56500</v>
      </c>
      <c r="C5">
        <v>6599100</v>
      </c>
      <c r="D5" s="18">
        <f t="shared" si="0"/>
        <v>8.5617735751844955E-3</v>
      </c>
    </row>
    <row r="6" spans="1:4" x14ac:dyDescent="0.2">
      <c r="A6">
        <v>2020</v>
      </c>
      <c r="B6">
        <v>68900</v>
      </c>
      <c r="C6">
        <v>6736800</v>
      </c>
      <c r="D6" s="18">
        <f t="shared" si="0"/>
        <v>1.0227407671297945E-2</v>
      </c>
    </row>
    <row r="7" spans="1:4" x14ac:dyDescent="0.2">
      <c r="A7">
        <v>2021</v>
      </c>
      <c r="B7">
        <v>91100</v>
      </c>
      <c r="C7">
        <v>6826100</v>
      </c>
      <c r="D7" s="18">
        <f t="shared" si="0"/>
        <v>1.3345834371017126E-2</v>
      </c>
    </row>
    <row r="8" spans="1:4" x14ac:dyDescent="0.2">
      <c r="A8">
        <v>2022</v>
      </c>
      <c r="D8" s="7">
        <v>1.5938300000000002E-2</v>
      </c>
    </row>
    <row r="9" spans="1:4" x14ac:dyDescent="0.2">
      <c r="A9">
        <v>2023</v>
      </c>
      <c r="D9" s="7">
        <v>1.9014900000000001E-2</v>
      </c>
    </row>
    <row r="10" spans="1:4" x14ac:dyDescent="0.2">
      <c r="A10">
        <v>2024</v>
      </c>
      <c r="D10" s="7">
        <v>2.2379300000000001E-2</v>
      </c>
    </row>
    <row r="11" spans="1:4" x14ac:dyDescent="0.2">
      <c r="A11">
        <v>2025</v>
      </c>
      <c r="D11" s="7">
        <v>2.6031500000000003E-2</v>
      </c>
    </row>
    <row r="12" spans="1:4" x14ac:dyDescent="0.2">
      <c r="A12">
        <v>2026</v>
      </c>
      <c r="D12" s="7">
        <v>2.9971500000000002E-2</v>
      </c>
    </row>
    <row r="13" spans="1:4" x14ac:dyDescent="0.2">
      <c r="A13">
        <v>2027</v>
      </c>
      <c r="D13" s="7">
        <v>3.4199299999999995E-2</v>
      </c>
    </row>
    <row r="14" spans="1:4" x14ac:dyDescent="0.2">
      <c r="A14">
        <v>2028</v>
      </c>
      <c r="D14" s="7">
        <v>3.8714899999999997E-2</v>
      </c>
    </row>
    <row r="15" spans="1:4" x14ac:dyDescent="0.2">
      <c r="A15">
        <v>2029</v>
      </c>
      <c r="D15" s="7">
        <v>4.3518300000000003E-2</v>
      </c>
    </row>
    <row r="16" spans="1:4" x14ac:dyDescent="0.2">
      <c r="A16">
        <v>2030</v>
      </c>
      <c r="D16" s="7">
        <v>4.86095E-2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649A-6EAC-F145-B608-381DF8CCB743}">
  <dimension ref="B1:T33"/>
  <sheetViews>
    <sheetView workbookViewId="0">
      <selection activeCell="I25" sqref="I25:I33"/>
    </sheetView>
  </sheetViews>
  <sheetFormatPr baseColWidth="10" defaultRowHeight="16" x14ac:dyDescent="0.2"/>
  <cols>
    <col min="7" max="7" width="17.5" customWidth="1"/>
  </cols>
  <sheetData>
    <row r="1" spans="2:20" x14ac:dyDescent="0.2">
      <c r="B1" t="s">
        <v>56</v>
      </c>
      <c r="C1" t="s">
        <v>0</v>
      </c>
      <c r="D1" t="s">
        <v>17</v>
      </c>
      <c r="E1" s="4" t="s">
        <v>57</v>
      </c>
      <c r="H1" t="s">
        <v>56</v>
      </c>
      <c r="I1" t="s">
        <v>0</v>
      </c>
      <c r="J1" t="s">
        <v>17</v>
      </c>
      <c r="K1" s="4" t="s">
        <v>57</v>
      </c>
      <c r="T1" s="4" t="s">
        <v>57</v>
      </c>
    </row>
    <row r="2" spans="2:20" x14ac:dyDescent="0.2">
      <c r="B2">
        <v>2016</v>
      </c>
      <c r="C2">
        <v>21300</v>
      </c>
      <c r="D2">
        <v>6094500</v>
      </c>
      <c r="E2" s="18">
        <f t="shared" ref="E2:E7" si="0">C2/D2</f>
        <v>3.4949544671425054E-3</v>
      </c>
      <c r="G2" s="5" t="s">
        <v>50</v>
      </c>
      <c r="H2" s="6">
        <v>2022</v>
      </c>
      <c r="I2" s="6">
        <f>FORECAST(H2, C$2:C$7, B$2:B$7)</f>
        <v>99673.333333332092</v>
      </c>
      <c r="J2" s="6">
        <f>FORECAST(H2, D$2:D$7, B$2:B$7)</f>
        <v>7001653.3333333433</v>
      </c>
      <c r="K2" s="16">
        <f>I2/J2</f>
        <v>1.423568528576088E-2</v>
      </c>
      <c r="S2">
        <v>2016</v>
      </c>
      <c r="T2" s="18">
        <v>3.4949544671425054E-3</v>
      </c>
    </row>
    <row r="3" spans="2:20" x14ac:dyDescent="0.2">
      <c r="B3">
        <v>2017</v>
      </c>
      <c r="C3">
        <v>30800</v>
      </c>
      <c r="D3">
        <v>6425800</v>
      </c>
      <c r="E3" s="18">
        <f t="shared" si="0"/>
        <v>4.7931775031902647E-3</v>
      </c>
      <c r="H3" s="6">
        <v>2023</v>
      </c>
      <c r="I3" s="6">
        <f t="shared" ref="I3:I10" si="1">FORECAST(H3, C$2:C$7, B$2:B$7)</f>
        <v>113270.47619047388</v>
      </c>
      <c r="J3" s="6">
        <f t="shared" ref="J3:J10" si="2">FORECAST(H3, D$2:D$7, B$2:B$7)</f>
        <v>7134687.619047612</v>
      </c>
      <c r="K3" s="16">
        <f t="shared" ref="K3:K10" si="3">I3/J3</f>
        <v>1.5876024605208157E-2</v>
      </c>
      <c r="S3">
        <v>2017</v>
      </c>
      <c r="T3" s="18">
        <v>4.7931775031902647E-3</v>
      </c>
    </row>
    <row r="4" spans="2:20" x14ac:dyDescent="0.2">
      <c r="B4">
        <v>2018</v>
      </c>
      <c r="C4">
        <v>43900</v>
      </c>
      <c r="D4">
        <v>6533900</v>
      </c>
      <c r="E4" s="18">
        <f t="shared" si="0"/>
        <v>6.7188050016070032E-3</v>
      </c>
      <c r="H4" s="6">
        <v>2024</v>
      </c>
      <c r="I4" s="6">
        <f t="shared" si="1"/>
        <v>126867.61904761568</v>
      </c>
      <c r="J4" s="6">
        <f t="shared" si="2"/>
        <v>7267721.9047618806</v>
      </c>
      <c r="K4" s="16">
        <f t="shared" si="3"/>
        <v>1.7456311717773735E-2</v>
      </c>
      <c r="S4">
        <v>2018</v>
      </c>
      <c r="T4" s="18">
        <v>6.7188050016070032E-3</v>
      </c>
    </row>
    <row r="5" spans="2:20" x14ac:dyDescent="0.2">
      <c r="B5">
        <v>2019</v>
      </c>
      <c r="C5">
        <v>56500</v>
      </c>
      <c r="D5">
        <v>6599100</v>
      </c>
      <c r="E5" s="18">
        <f t="shared" si="0"/>
        <v>8.5617735751844955E-3</v>
      </c>
      <c r="H5" s="6">
        <v>2025</v>
      </c>
      <c r="I5" s="6">
        <f t="shared" si="1"/>
        <v>140464.76190475747</v>
      </c>
      <c r="J5" s="6">
        <f t="shared" si="2"/>
        <v>7400756.1904761493</v>
      </c>
      <c r="K5" s="16">
        <f t="shared" si="3"/>
        <v>1.8979785077303062E-2</v>
      </c>
      <c r="S5">
        <v>2019</v>
      </c>
      <c r="T5" s="18">
        <v>8.5617735751844955E-3</v>
      </c>
    </row>
    <row r="6" spans="2:20" x14ac:dyDescent="0.2">
      <c r="B6">
        <v>2020</v>
      </c>
      <c r="C6">
        <v>68900</v>
      </c>
      <c r="D6">
        <v>6736800</v>
      </c>
      <c r="E6" s="18">
        <f t="shared" si="0"/>
        <v>1.0227407671297945E-2</v>
      </c>
      <c r="H6" s="6">
        <v>2026</v>
      </c>
      <c r="I6" s="6">
        <f t="shared" si="1"/>
        <v>154061.90476190299</v>
      </c>
      <c r="J6" s="6">
        <f t="shared" si="2"/>
        <v>7533790.4761904776</v>
      </c>
      <c r="K6" s="16">
        <f t="shared" si="3"/>
        <v>2.044945439467619E-2</v>
      </c>
      <c r="S6">
        <v>2020</v>
      </c>
      <c r="T6" s="18">
        <v>1.0227407671297945E-2</v>
      </c>
    </row>
    <row r="7" spans="2:20" x14ac:dyDescent="0.2">
      <c r="B7">
        <v>2021</v>
      </c>
      <c r="C7">
        <v>91100</v>
      </c>
      <c r="D7">
        <v>6826100</v>
      </c>
      <c r="E7" s="18">
        <f t="shared" si="0"/>
        <v>1.3345834371017126E-2</v>
      </c>
      <c r="H7" s="6">
        <v>2027</v>
      </c>
      <c r="I7" s="6">
        <f t="shared" si="1"/>
        <v>167659.04761904478</v>
      </c>
      <c r="J7" s="6">
        <f t="shared" si="2"/>
        <v>7666824.7619047463</v>
      </c>
      <c r="K7" s="16">
        <f t="shared" si="3"/>
        <v>2.1868120483477905E-2</v>
      </c>
      <c r="S7">
        <v>2021</v>
      </c>
      <c r="T7" s="18">
        <v>1.3345834371017126E-2</v>
      </c>
    </row>
    <row r="8" spans="2:20" x14ac:dyDescent="0.2">
      <c r="G8" s="7"/>
      <c r="H8" s="6">
        <v>2028</v>
      </c>
      <c r="I8" s="6">
        <f t="shared" si="1"/>
        <v>181256.19047618657</v>
      </c>
      <c r="J8" s="6">
        <f t="shared" si="2"/>
        <v>7799859.047619015</v>
      </c>
      <c r="K8" s="16">
        <f t="shared" si="3"/>
        <v>2.3238393074746247E-2</v>
      </c>
      <c r="S8" s="6">
        <v>2022</v>
      </c>
      <c r="T8" s="16">
        <v>1.5938300000000002E-2</v>
      </c>
    </row>
    <row r="9" spans="2:20" x14ac:dyDescent="0.2">
      <c r="H9" s="6">
        <v>2029</v>
      </c>
      <c r="I9" s="6">
        <f t="shared" si="1"/>
        <v>194853.33333333209</v>
      </c>
      <c r="J9" s="6">
        <f t="shared" si="2"/>
        <v>7932893.3333333433</v>
      </c>
      <c r="K9" s="16">
        <f t="shared" si="3"/>
        <v>2.4562706839202659E-2</v>
      </c>
      <c r="S9" s="6">
        <v>2023</v>
      </c>
      <c r="T9" s="16">
        <v>1.9014900000000001E-2</v>
      </c>
    </row>
    <row r="10" spans="2:20" x14ac:dyDescent="0.2">
      <c r="H10" s="6">
        <v>2030</v>
      </c>
      <c r="I10" s="6">
        <f t="shared" si="1"/>
        <v>208450.47619047388</v>
      </c>
      <c r="J10" s="6">
        <f t="shared" si="2"/>
        <v>8065927.619047612</v>
      </c>
      <c r="K10" s="16">
        <f t="shared" si="3"/>
        <v>2.5843335823919379E-2</v>
      </c>
      <c r="S10" s="6">
        <v>2024</v>
      </c>
      <c r="T10" s="16">
        <v>2.2379300000000001E-2</v>
      </c>
    </row>
    <row r="11" spans="2:20" x14ac:dyDescent="0.2">
      <c r="S11" s="6">
        <v>2025</v>
      </c>
      <c r="T11" s="16">
        <v>2.6031500000000003E-2</v>
      </c>
    </row>
    <row r="12" spans="2:20" x14ac:dyDescent="0.2">
      <c r="G12" s="5" t="s">
        <v>51</v>
      </c>
      <c r="H12" s="6">
        <v>2022</v>
      </c>
      <c r="I12" s="6">
        <f>1083.93*H2^2-4362222.5*H2+4388899063.57</f>
        <v>115630.68999958038</v>
      </c>
      <c r="J12" s="6">
        <f>-19492.86*H2^2+78825698.57*H2-79682508248.58</f>
        <v>6808035.7199707031</v>
      </c>
      <c r="K12" s="16">
        <f>I12/J12</f>
        <v>1.698444232018189E-2</v>
      </c>
      <c r="S12" s="6">
        <v>2026</v>
      </c>
      <c r="T12" s="16">
        <v>2.9971500000000002E-2</v>
      </c>
    </row>
    <row r="13" spans="2:20" x14ac:dyDescent="0.2">
      <c r="H13" s="6">
        <v>2023</v>
      </c>
      <c r="I13" s="6">
        <f t="shared" ref="I13:I20" si="4">1083.93*H3^2-4362222.5*H3+4388899063.57</f>
        <v>137905.03999996185</v>
      </c>
      <c r="J13" s="6">
        <f t="shared" ref="J13:J19" si="5">-19492.86*H3^2+78825698.57*H3-79682508248.58</f>
        <v>6785115.5899810791</v>
      </c>
      <c r="K13" s="16">
        <f t="shared" ref="K13:K20" si="6">I13/J13</f>
        <v>2.0324641219612062E-2</v>
      </c>
      <c r="S13" s="6">
        <v>2027</v>
      </c>
      <c r="T13" s="16">
        <v>3.4199299999999995E-2</v>
      </c>
    </row>
    <row r="14" spans="2:20" x14ac:dyDescent="0.2">
      <c r="H14" s="6">
        <v>2024</v>
      </c>
      <c r="I14" s="6">
        <f t="shared" si="4"/>
        <v>162347.25</v>
      </c>
      <c r="J14" s="6">
        <f t="shared" si="5"/>
        <v>6723209.7399902344</v>
      </c>
      <c r="K14" s="16">
        <f t="shared" si="6"/>
        <v>2.4147283258819738E-2</v>
      </c>
      <c r="S14" s="6">
        <v>2028</v>
      </c>
      <c r="T14" s="16">
        <v>3.8714899999999997E-2</v>
      </c>
    </row>
    <row r="15" spans="2:20" x14ac:dyDescent="0.2">
      <c r="H15" s="6">
        <v>2025</v>
      </c>
      <c r="I15" s="6">
        <f t="shared" si="4"/>
        <v>188957.31999969482</v>
      </c>
      <c r="J15" s="6">
        <f t="shared" si="5"/>
        <v>6622318.1699981689</v>
      </c>
      <c r="K15" s="16">
        <f t="shared" si="6"/>
        <v>2.8533410076210075E-2</v>
      </c>
      <c r="S15" s="6">
        <v>2029</v>
      </c>
      <c r="T15" s="16">
        <v>4.3518300000000003E-2</v>
      </c>
    </row>
    <row r="16" spans="2:20" x14ac:dyDescent="0.2">
      <c r="H16" s="6">
        <v>2026</v>
      </c>
      <c r="I16" s="6">
        <f t="shared" si="4"/>
        <v>217735.25</v>
      </c>
      <c r="J16" s="6">
        <f t="shared" si="5"/>
        <v>6482440.8799743652</v>
      </c>
      <c r="K16" s="16">
        <f t="shared" si="6"/>
        <v>3.358846675680921E-2</v>
      </c>
      <c r="S16" s="6">
        <v>2030</v>
      </c>
      <c r="T16" s="16">
        <v>4.86095E-2</v>
      </c>
    </row>
    <row r="17" spans="7:11" x14ac:dyDescent="0.2">
      <c r="H17" s="6">
        <v>2027</v>
      </c>
      <c r="I17" s="6">
        <f t="shared" si="4"/>
        <v>248681.03999996185</v>
      </c>
      <c r="J17" s="6">
        <f t="shared" si="5"/>
        <v>6303577.8699798584</v>
      </c>
      <c r="K17" s="16">
        <f t="shared" si="6"/>
        <v>3.9450776230476936E-2</v>
      </c>
    </row>
    <row r="18" spans="7:11" x14ac:dyDescent="0.2">
      <c r="H18" s="6">
        <v>2028</v>
      </c>
      <c r="I18" s="6">
        <f t="shared" si="4"/>
        <v>281794.68999958038</v>
      </c>
      <c r="J18" s="6">
        <f t="shared" si="5"/>
        <v>6085729.1399841309</v>
      </c>
      <c r="K18" s="16">
        <f t="shared" si="6"/>
        <v>4.6304178762762875E-2</v>
      </c>
    </row>
    <row r="19" spans="7:11" x14ac:dyDescent="0.2">
      <c r="H19" s="6">
        <v>2029</v>
      </c>
      <c r="I19" s="6">
        <f t="shared" si="4"/>
        <v>317076.19999980927</v>
      </c>
      <c r="J19" s="6">
        <f t="shared" si="5"/>
        <v>5828894.6899871826</v>
      </c>
      <c r="K19" s="16">
        <f t="shared" si="6"/>
        <v>5.4397311473902525E-2</v>
      </c>
    </row>
    <row r="20" spans="7:11" x14ac:dyDescent="0.2">
      <c r="H20" s="6">
        <v>2030</v>
      </c>
      <c r="I20" s="6">
        <f t="shared" si="4"/>
        <v>354525.56999969482</v>
      </c>
      <c r="J20" s="6">
        <f>-19492.86*H10^2+78825698.57*H10-79682508248.58</f>
        <v>5533074.5199737549</v>
      </c>
      <c r="K20" s="16">
        <f t="shared" si="6"/>
        <v>6.4073883104212456E-2</v>
      </c>
    </row>
    <row r="23" spans="7:11" ht="51" x14ac:dyDescent="0.2">
      <c r="G23" s="19" t="s">
        <v>58</v>
      </c>
      <c r="H23" s="20"/>
      <c r="I23" s="20"/>
    </row>
    <row r="24" spans="7:11" x14ac:dyDescent="0.2">
      <c r="G24" s="20"/>
      <c r="H24" s="20" t="s">
        <v>56</v>
      </c>
      <c r="I24" s="20"/>
    </row>
    <row r="25" spans="7:11" x14ac:dyDescent="0.2">
      <c r="G25" s="20"/>
      <c r="H25" s="21">
        <v>2022</v>
      </c>
      <c r="I25" s="22">
        <f xml:space="preserve"> 0.0001439*(H25-2015)^2 + 0.0009181*(H25-2015) + 0.0024605</f>
        <v>1.5938300000000002E-2</v>
      </c>
    </row>
    <row r="26" spans="7:11" x14ac:dyDescent="0.2">
      <c r="G26" s="20"/>
      <c r="H26" s="21">
        <v>2023</v>
      </c>
      <c r="I26" s="22">
        <f t="shared" ref="I26:I33" si="7" xml:space="preserve"> 0.0001439*(H26-2015)^2 + 0.0009181*(H26-2015) + 0.0024605</f>
        <v>1.9014900000000001E-2</v>
      </c>
    </row>
    <row r="27" spans="7:11" x14ac:dyDescent="0.2">
      <c r="G27" s="20"/>
      <c r="H27" s="21">
        <v>2024</v>
      </c>
      <c r="I27" s="22">
        <f t="shared" si="7"/>
        <v>2.2379300000000001E-2</v>
      </c>
    </row>
    <row r="28" spans="7:11" x14ac:dyDescent="0.2">
      <c r="G28" s="20"/>
      <c r="H28" s="21">
        <v>2025</v>
      </c>
      <c r="I28" s="22">
        <f t="shared" si="7"/>
        <v>2.6031500000000003E-2</v>
      </c>
    </row>
    <row r="29" spans="7:11" x14ac:dyDescent="0.2">
      <c r="G29" s="20"/>
      <c r="H29" s="21">
        <v>2026</v>
      </c>
      <c r="I29" s="22">
        <f t="shared" si="7"/>
        <v>2.9971500000000002E-2</v>
      </c>
    </row>
    <row r="30" spans="7:11" x14ac:dyDescent="0.2">
      <c r="G30" s="20"/>
      <c r="H30" s="21">
        <v>2027</v>
      </c>
      <c r="I30" s="22">
        <f t="shared" si="7"/>
        <v>3.4199299999999995E-2</v>
      </c>
    </row>
    <row r="31" spans="7:11" x14ac:dyDescent="0.2">
      <c r="G31" s="20"/>
      <c r="H31" s="21">
        <v>2028</v>
      </c>
      <c r="I31" s="22">
        <f t="shared" si="7"/>
        <v>3.8714899999999997E-2</v>
      </c>
    </row>
    <row r="32" spans="7:11" x14ac:dyDescent="0.2">
      <c r="G32" s="20"/>
      <c r="H32" s="21">
        <v>2029</v>
      </c>
      <c r="I32" s="22">
        <f t="shared" si="7"/>
        <v>4.3518300000000003E-2</v>
      </c>
    </row>
    <row r="33" spans="7:9" x14ac:dyDescent="0.2">
      <c r="G33" s="20"/>
      <c r="H33" s="21">
        <v>2030</v>
      </c>
      <c r="I33" s="22">
        <f t="shared" si="7"/>
        <v>4.86095E-2</v>
      </c>
    </row>
  </sheetData>
  <autoFilter ref="B1:D7" xr:uid="{2D4D649A-6EAC-F145-B608-381DF8CCB743}">
    <sortState xmlns:xlrd2="http://schemas.microsoft.com/office/spreadsheetml/2017/richdata2" ref="B2:D8">
      <sortCondition ref="B1:B8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9D09-36EC-4344-8975-3217A2142BA7}">
  <dimension ref="A1:S44"/>
  <sheetViews>
    <sheetView workbookViewId="0">
      <selection activeCell="S11" sqref="S11:S12"/>
    </sheetView>
  </sheetViews>
  <sheetFormatPr baseColWidth="10" defaultRowHeight="16" x14ac:dyDescent="0.2"/>
  <cols>
    <col min="1" max="1" width="19.33203125" customWidth="1"/>
    <col min="2" max="2" width="13.83203125" bestFit="1" customWidth="1"/>
    <col min="3" max="3" width="31" bestFit="1" customWidth="1"/>
    <col min="4" max="4" width="21.6640625" bestFit="1" customWidth="1"/>
    <col min="5" max="5" width="21.5" bestFit="1" customWidth="1"/>
    <col min="6" max="6" width="24.1640625" bestFit="1" customWidth="1"/>
    <col min="7" max="7" width="32.33203125" bestFit="1" customWidth="1"/>
    <col min="8" max="8" width="19.83203125" bestFit="1" customWidth="1"/>
    <col min="9" max="9" width="10.5" bestFit="1" customWidth="1"/>
    <col min="10" max="10" width="9.83203125" bestFit="1" customWidth="1"/>
    <col min="11" max="11" width="9.5" bestFit="1" customWidth="1"/>
    <col min="12" max="13" width="8.1640625" bestFit="1" customWidth="1"/>
  </cols>
  <sheetData>
    <row r="1" spans="1:19" x14ac:dyDescent="0.2">
      <c r="A1" s="4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/>
      <c r="O1" s="2"/>
      <c r="P1" s="2"/>
      <c r="Q1" s="2" t="s">
        <v>0</v>
      </c>
      <c r="R1" s="2" t="s">
        <v>17</v>
      </c>
    </row>
    <row r="2" spans="1:19" ht="17" x14ac:dyDescent="0.2">
      <c r="A2" s="4">
        <v>2021</v>
      </c>
      <c r="B2" s="3">
        <v>66800</v>
      </c>
      <c r="C2" s="3">
        <v>24300</v>
      </c>
      <c r="D2" s="3">
        <v>240000</v>
      </c>
      <c r="E2" s="3">
        <v>59000</v>
      </c>
      <c r="F2" s="3">
        <v>359700</v>
      </c>
      <c r="G2" s="3">
        <v>600</v>
      </c>
      <c r="H2" s="3">
        <v>100</v>
      </c>
      <c r="I2" s="3">
        <v>0</v>
      </c>
      <c r="J2" s="3">
        <v>0</v>
      </c>
      <c r="K2" s="3">
        <v>5792000</v>
      </c>
      <c r="L2" s="3">
        <v>283600</v>
      </c>
      <c r="M2">
        <f t="shared" ref="M2:M7" si="0">SUM(B2:L2)</f>
        <v>6826100</v>
      </c>
      <c r="N2" s="14"/>
      <c r="P2" s="4">
        <v>2021</v>
      </c>
      <c r="Q2" s="3">
        <f t="shared" ref="Q2:Q7" si="1">SUM(B2:C2)</f>
        <v>91100</v>
      </c>
      <c r="R2">
        <f>M2</f>
        <v>6826100</v>
      </c>
    </row>
    <row r="3" spans="1:19" ht="17" x14ac:dyDescent="0.2">
      <c r="A3" s="4">
        <v>2020</v>
      </c>
      <c r="B3" s="3">
        <v>50500</v>
      </c>
      <c r="C3" s="3">
        <v>18400</v>
      </c>
      <c r="D3" s="3">
        <v>211300</v>
      </c>
      <c r="E3" s="3">
        <v>0</v>
      </c>
      <c r="F3" s="3">
        <v>424000</v>
      </c>
      <c r="G3" s="3">
        <v>18700</v>
      </c>
      <c r="H3" s="3">
        <v>0</v>
      </c>
      <c r="I3" s="3">
        <v>0</v>
      </c>
      <c r="J3" s="3">
        <v>0</v>
      </c>
      <c r="K3" s="3">
        <v>5687600</v>
      </c>
      <c r="L3" s="3">
        <v>326300</v>
      </c>
      <c r="M3">
        <f t="shared" si="0"/>
        <v>6736800</v>
      </c>
      <c r="N3" s="14"/>
      <c r="P3" s="4">
        <v>2020</v>
      </c>
      <c r="Q3" s="3">
        <f t="shared" si="1"/>
        <v>68900</v>
      </c>
      <c r="R3">
        <f t="shared" ref="R3:R7" si="2">M3</f>
        <v>6736800</v>
      </c>
    </row>
    <row r="4" spans="1:19" ht="17" x14ac:dyDescent="0.2">
      <c r="A4" s="4">
        <v>2019</v>
      </c>
      <c r="B4" s="3">
        <v>40400</v>
      </c>
      <c r="C4" s="3">
        <v>16100</v>
      </c>
      <c r="D4" s="3">
        <v>193400</v>
      </c>
      <c r="E4" s="3">
        <v>0</v>
      </c>
      <c r="F4" s="3">
        <v>408800</v>
      </c>
      <c r="G4" s="3">
        <v>19600</v>
      </c>
      <c r="H4" s="3">
        <v>0</v>
      </c>
      <c r="I4" s="3">
        <v>0</v>
      </c>
      <c r="J4" s="3">
        <v>0</v>
      </c>
      <c r="K4" s="3">
        <v>5612100</v>
      </c>
      <c r="L4" s="3">
        <v>308700</v>
      </c>
      <c r="M4">
        <f t="shared" si="0"/>
        <v>6599100</v>
      </c>
      <c r="N4" s="14"/>
      <c r="P4" s="4">
        <v>2019</v>
      </c>
      <c r="Q4" s="3">
        <f t="shared" si="1"/>
        <v>56500</v>
      </c>
      <c r="R4">
        <f t="shared" si="2"/>
        <v>6599100</v>
      </c>
    </row>
    <row r="5" spans="1:19" ht="17" x14ac:dyDescent="0.2">
      <c r="A5" s="4">
        <v>2018</v>
      </c>
      <c r="B5" s="3">
        <v>30200</v>
      </c>
      <c r="C5" s="3">
        <v>13700</v>
      </c>
      <c r="D5" s="3">
        <v>177800</v>
      </c>
      <c r="E5" s="3">
        <v>0</v>
      </c>
      <c r="F5" s="3">
        <v>387400</v>
      </c>
      <c r="G5" s="3">
        <v>21400</v>
      </c>
      <c r="H5" s="3">
        <v>0</v>
      </c>
      <c r="I5" s="3">
        <v>0</v>
      </c>
      <c r="J5" s="3">
        <v>0</v>
      </c>
      <c r="K5" s="3">
        <v>5608000</v>
      </c>
      <c r="L5" s="3">
        <v>295400</v>
      </c>
      <c r="M5">
        <f t="shared" si="0"/>
        <v>6533900</v>
      </c>
      <c r="N5" s="14"/>
      <c r="P5" s="4">
        <v>2018</v>
      </c>
      <c r="Q5" s="3">
        <f t="shared" si="1"/>
        <v>43900</v>
      </c>
      <c r="R5">
        <f t="shared" si="2"/>
        <v>6533900</v>
      </c>
    </row>
    <row r="6" spans="1:19" ht="17" x14ac:dyDescent="0.2">
      <c r="A6" s="4">
        <v>2017</v>
      </c>
      <c r="B6" s="3">
        <v>21000</v>
      </c>
      <c r="C6" s="3">
        <v>9800</v>
      </c>
      <c r="D6" s="3">
        <v>165100</v>
      </c>
      <c r="E6" s="3">
        <v>0</v>
      </c>
      <c r="F6" s="3">
        <v>362100</v>
      </c>
      <c r="G6" s="3">
        <v>23000</v>
      </c>
      <c r="H6" s="3">
        <v>0</v>
      </c>
      <c r="I6" s="3">
        <v>0</v>
      </c>
      <c r="J6" s="3">
        <v>0</v>
      </c>
      <c r="K6" s="3">
        <v>5557300</v>
      </c>
      <c r="L6" s="3">
        <v>287500</v>
      </c>
      <c r="M6">
        <f t="shared" si="0"/>
        <v>6425800</v>
      </c>
      <c r="N6" s="14"/>
      <c r="P6" s="4">
        <v>2017</v>
      </c>
      <c r="Q6" s="3">
        <f t="shared" si="1"/>
        <v>30800</v>
      </c>
      <c r="R6">
        <f t="shared" si="2"/>
        <v>6425800</v>
      </c>
    </row>
    <row r="7" spans="1:19" ht="17" x14ac:dyDescent="0.2">
      <c r="A7" s="4">
        <v>2016</v>
      </c>
      <c r="B7" s="3">
        <v>14900</v>
      </c>
      <c r="C7" s="3">
        <v>6400</v>
      </c>
      <c r="D7" s="3">
        <v>143400</v>
      </c>
      <c r="E7" s="3">
        <v>0</v>
      </c>
      <c r="F7" s="3">
        <v>304100</v>
      </c>
      <c r="G7" s="3">
        <v>24400</v>
      </c>
      <c r="H7" s="3">
        <v>0</v>
      </c>
      <c r="I7" s="3">
        <v>0</v>
      </c>
      <c r="J7" s="3">
        <v>0</v>
      </c>
      <c r="K7" s="3">
        <v>5329200</v>
      </c>
      <c r="L7" s="3">
        <v>272100</v>
      </c>
      <c r="M7">
        <f t="shared" si="0"/>
        <v>6094500</v>
      </c>
      <c r="N7" s="14"/>
      <c r="P7" s="4">
        <v>2016</v>
      </c>
      <c r="Q7" s="3">
        <f t="shared" si="1"/>
        <v>21300</v>
      </c>
      <c r="R7">
        <f t="shared" si="2"/>
        <v>6094500</v>
      </c>
    </row>
    <row r="9" spans="1:19" ht="17" x14ac:dyDescent="0.2">
      <c r="A9" s="4"/>
      <c r="C9" s="4"/>
      <c r="D9" s="4"/>
      <c r="E9" s="4"/>
      <c r="F9" s="4"/>
      <c r="P9" s="4" t="s">
        <v>49</v>
      </c>
      <c r="Q9" s="3">
        <f>13597*2022</f>
        <v>27493134</v>
      </c>
    </row>
    <row r="10" spans="1:19" x14ac:dyDescent="0.2">
      <c r="A10" s="4" t="s">
        <v>18</v>
      </c>
      <c r="B10" s="4" t="s">
        <v>19</v>
      </c>
      <c r="C10" s="4" t="s">
        <v>21</v>
      </c>
      <c r="D10" s="4" t="s">
        <v>48</v>
      </c>
      <c r="E10" s="4" t="s">
        <v>22</v>
      </c>
      <c r="F10" s="4" t="s">
        <v>20</v>
      </c>
    </row>
    <row r="11" spans="1:19" x14ac:dyDescent="0.2">
      <c r="A11" s="4">
        <v>2021</v>
      </c>
      <c r="B11">
        <f>M2-M3</f>
        <v>89300</v>
      </c>
      <c r="C11">
        <f>SUM(B2:C2)-SUM(B3:C3)</f>
        <v>22200</v>
      </c>
      <c r="D11">
        <f>C11/B11</f>
        <v>0.24860022396416573</v>
      </c>
      <c r="E11">
        <f>K2-K3</f>
        <v>104400</v>
      </c>
      <c r="F11">
        <f>E11/B11</f>
        <v>1.1690929451287795</v>
      </c>
      <c r="N11" s="7"/>
      <c r="P11" s="17" t="s">
        <v>52</v>
      </c>
      <c r="S11" s="17" t="s">
        <v>54</v>
      </c>
    </row>
    <row r="12" spans="1:19" x14ac:dyDescent="0.2">
      <c r="A12" s="4">
        <v>2020</v>
      </c>
      <c r="B12">
        <f>M3-M4</f>
        <v>137700</v>
      </c>
      <c r="C12">
        <f>SUM(B3:C3)-SUM(B4:C4)</f>
        <v>12400</v>
      </c>
      <c r="D12">
        <f t="shared" ref="D12:D15" si="3">C12/B12</f>
        <v>9.0050835148874367E-2</v>
      </c>
      <c r="E12">
        <f>K3-K4</f>
        <v>75500</v>
      </c>
      <c r="F12">
        <f t="shared" ref="F12:F15" si="4">E12/B12</f>
        <v>0.54829339143064637</v>
      </c>
      <c r="P12" s="17" t="s">
        <v>53</v>
      </c>
      <c r="S12" s="17" t="s">
        <v>55</v>
      </c>
    </row>
    <row r="13" spans="1:19" x14ac:dyDescent="0.2">
      <c r="A13" s="4">
        <v>2019</v>
      </c>
      <c r="B13">
        <f>M4-M5</f>
        <v>65200</v>
      </c>
      <c r="C13">
        <f>SUM(B4:C4)-SUM(B5:C5)</f>
        <v>12600</v>
      </c>
      <c r="D13">
        <f t="shared" si="3"/>
        <v>0.19325153374233128</v>
      </c>
      <c r="E13">
        <f>K4-K5</f>
        <v>4100</v>
      </c>
      <c r="F13">
        <f t="shared" si="4"/>
        <v>6.2883435582822084E-2</v>
      </c>
    </row>
    <row r="14" spans="1:19" x14ac:dyDescent="0.2">
      <c r="A14" s="4">
        <v>2018</v>
      </c>
      <c r="B14">
        <f>M5-M6</f>
        <v>108100</v>
      </c>
      <c r="C14">
        <f>SUM(B5:C5)-SUM(B6:C6)</f>
        <v>13100</v>
      </c>
      <c r="D14">
        <f t="shared" si="3"/>
        <v>0.1211840888066605</v>
      </c>
      <c r="E14">
        <f>K5-K6</f>
        <v>50700</v>
      </c>
      <c r="F14">
        <f t="shared" si="4"/>
        <v>0.46901017576318221</v>
      </c>
    </row>
    <row r="15" spans="1:19" x14ac:dyDescent="0.2">
      <c r="A15" s="4">
        <v>2017</v>
      </c>
      <c r="B15">
        <f>M6-M7</f>
        <v>331300</v>
      </c>
      <c r="C15">
        <f>SUM(B6:C6)-SUM(B7:C7)</f>
        <v>9500</v>
      </c>
      <c r="D15">
        <f t="shared" si="3"/>
        <v>2.8674916993661335E-2</v>
      </c>
      <c r="E15">
        <f>K6-K7</f>
        <v>228100</v>
      </c>
      <c r="F15">
        <f t="shared" si="4"/>
        <v>0.68849984907938422</v>
      </c>
    </row>
    <row r="18" spans="1:8" x14ac:dyDescent="0.2">
      <c r="A18" t="s">
        <v>25</v>
      </c>
    </row>
    <row r="19" spans="1:8" x14ac:dyDescent="0.2">
      <c r="A19" s="4" t="s">
        <v>24</v>
      </c>
      <c r="B19" s="4">
        <v>2020</v>
      </c>
      <c r="C19" s="4">
        <v>2021</v>
      </c>
      <c r="D19" s="4" t="s">
        <v>26</v>
      </c>
      <c r="E19" s="5" t="s">
        <v>27</v>
      </c>
      <c r="F19" s="5" t="s">
        <v>28</v>
      </c>
      <c r="G19" s="4" t="s">
        <v>33</v>
      </c>
      <c r="H19" s="5" t="s">
        <v>32</v>
      </c>
    </row>
    <row r="20" spans="1:8" x14ac:dyDescent="0.2">
      <c r="A20" s="4" t="s">
        <v>23</v>
      </c>
      <c r="B20">
        <v>1116032</v>
      </c>
      <c r="C20">
        <v>1242691</v>
      </c>
      <c r="D20">
        <f>(C20-B20)/B20</f>
        <v>0.11349047339144397</v>
      </c>
      <c r="E20" s="8">
        <f>C20+C20-B20</f>
        <v>1369350</v>
      </c>
      <c r="F20" s="6">
        <f>C20*(1+D20)</f>
        <v>1383724.5898692869</v>
      </c>
      <c r="G20">
        <v>817598</v>
      </c>
      <c r="H20" s="6">
        <f>G20*12/9</f>
        <v>1090130.6666666667</v>
      </c>
    </row>
    <row r="21" spans="1:8" x14ac:dyDescent="0.2">
      <c r="A21" s="4" t="s">
        <v>0</v>
      </c>
      <c r="B21">
        <v>17957</v>
      </c>
      <c r="C21">
        <v>30487</v>
      </c>
      <c r="D21">
        <f>(C21-B21)/B21</f>
        <v>0.69777802528261956</v>
      </c>
      <c r="E21" s="8">
        <f>C21+C21-B21</f>
        <v>43017</v>
      </c>
      <c r="F21" s="6">
        <f>C21*(1+D21)</f>
        <v>51760.158656791224</v>
      </c>
      <c r="G21">
        <v>26234</v>
      </c>
      <c r="H21" s="6">
        <f>G21*12/9</f>
        <v>34978.666666666664</v>
      </c>
    </row>
    <row r="22" spans="1:8" x14ac:dyDescent="0.2">
      <c r="A22" s="4" t="s">
        <v>31</v>
      </c>
      <c r="B22">
        <f>SUM(B20:B21)</f>
        <v>1133989</v>
      </c>
      <c r="C22">
        <f>SUM(C20:C21)</f>
        <v>1273178</v>
      </c>
      <c r="D22">
        <f t="shared" ref="D22" si="5">(C22-B22)/B22</f>
        <v>0.12274281320189173</v>
      </c>
      <c r="E22" s="8">
        <f>SUM(E20:E21)</f>
        <v>1412367</v>
      </c>
      <c r="F22" s="6">
        <f>SUM(F20:F21)</f>
        <v>1435484.7485260782</v>
      </c>
      <c r="G22">
        <f>SUM(G20:G21)</f>
        <v>843832</v>
      </c>
      <c r="H22" s="6">
        <f>G22*12/9</f>
        <v>1125109.3333333333</v>
      </c>
    </row>
    <row r="23" spans="1:8" x14ac:dyDescent="0.2">
      <c r="A23" s="4" t="s">
        <v>30</v>
      </c>
      <c r="B23">
        <f>762950+461652</f>
        <v>1224602</v>
      </c>
      <c r="C23">
        <f>857769+511336</f>
        <v>1369105</v>
      </c>
      <c r="D23">
        <f>(C23-B23)/B23</f>
        <v>0.11799997060269378</v>
      </c>
      <c r="E23" s="8">
        <f>C23+C23-B23</f>
        <v>1513608</v>
      </c>
      <c r="F23" s="6">
        <f>C23*(1+D23)</f>
        <v>1530659.349752001</v>
      </c>
      <c r="G23">
        <f>554589+351738</f>
        <v>906327</v>
      </c>
      <c r="H23" s="6">
        <f>G23*12/9</f>
        <v>1208436</v>
      </c>
    </row>
    <row r="25" spans="1:8" x14ac:dyDescent="0.2">
      <c r="A25" s="4" t="s">
        <v>36</v>
      </c>
      <c r="B25" s="7">
        <f>B20/B23</f>
        <v>0.91134262397089016</v>
      </c>
      <c r="C25" s="7">
        <f>C20/C23</f>
        <v>0.90766668736145151</v>
      </c>
    </row>
    <row r="26" spans="1:8" x14ac:dyDescent="0.2">
      <c r="A26" s="4" t="s">
        <v>34</v>
      </c>
      <c r="B26" s="12">
        <f>B21/B23</f>
        <v>1.4663539664315427E-2</v>
      </c>
      <c r="C26" s="12">
        <f>C21/C23</f>
        <v>2.2267831904784513E-2</v>
      </c>
      <c r="D26" s="4" t="s">
        <v>29</v>
      </c>
      <c r="E26" s="13">
        <f>E21/E23</f>
        <v>2.8420172197821364E-2</v>
      </c>
      <c r="F26" s="13">
        <f>F21/F23</f>
        <v>3.3815596308334354E-2</v>
      </c>
      <c r="G26" s="7">
        <f>G21/G23</f>
        <v>2.8945402707852685E-2</v>
      </c>
      <c r="H26" s="13">
        <f>H21/H23</f>
        <v>2.8945402707852681E-2</v>
      </c>
    </row>
    <row r="29" spans="1:8" ht="17" thickBot="1" x14ac:dyDescent="0.25"/>
    <row r="30" spans="1:8" x14ac:dyDescent="0.2">
      <c r="B30" s="9" t="s">
        <v>37</v>
      </c>
    </row>
    <row r="31" spans="1:8" x14ac:dyDescent="0.2">
      <c r="B31" s="15" t="s">
        <v>38</v>
      </c>
    </row>
    <row r="32" spans="1:8" ht="17" thickBot="1" x14ac:dyDescent="0.25">
      <c r="B32" s="15" t="s">
        <v>39</v>
      </c>
    </row>
    <row r="33" spans="1:2" x14ac:dyDescent="0.2">
      <c r="A33">
        <v>2021</v>
      </c>
      <c r="B33" s="10" t="s">
        <v>40</v>
      </c>
    </row>
    <row r="34" spans="1:2" ht="29" thickBot="1" x14ac:dyDescent="0.25">
      <c r="B34" s="11" t="s">
        <v>41</v>
      </c>
    </row>
    <row r="35" spans="1:2" x14ac:dyDescent="0.2">
      <c r="A35">
        <v>2020</v>
      </c>
      <c r="B35" s="10" t="s">
        <v>42</v>
      </c>
    </row>
    <row r="36" spans="1:2" ht="29" thickBot="1" x14ac:dyDescent="0.25">
      <c r="B36" s="11" t="s">
        <v>43</v>
      </c>
    </row>
    <row r="37" spans="1:2" x14ac:dyDescent="0.2">
      <c r="A37">
        <v>2019</v>
      </c>
      <c r="B37" s="23" t="s">
        <v>44</v>
      </c>
    </row>
    <row r="38" spans="1:2" ht="17" thickBot="1" x14ac:dyDescent="0.25">
      <c r="B38" s="24"/>
    </row>
    <row r="39" spans="1:2" x14ac:dyDescent="0.2">
      <c r="A39">
        <v>2018</v>
      </c>
      <c r="B39" s="25" t="s">
        <v>45</v>
      </c>
    </row>
    <row r="40" spans="1:2" ht="17" thickBot="1" x14ac:dyDescent="0.25">
      <c r="B40" s="26"/>
    </row>
    <row r="41" spans="1:2" x14ac:dyDescent="0.2">
      <c r="A41">
        <v>2017</v>
      </c>
      <c r="B41" s="25" t="s">
        <v>46</v>
      </c>
    </row>
    <row r="42" spans="1:2" ht="17" thickBot="1" x14ac:dyDescent="0.25">
      <c r="B42" s="26"/>
    </row>
    <row r="43" spans="1:2" x14ac:dyDescent="0.2">
      <c r="A43">
        <v>2016</v>
      </c>
      <c r="B43" s="23" t="s">
        <v>47</v>
      </c>
    </row>
    <row r="44" spans="1:2" ht="17" thickBot="1" x14ac:dyDescent="0.25">
      <c r="B44" s="24"/>
    </row>
  </sheetData>
  <autoFilter ref="P1:R7" xr:uid="{1A699D09-36EC-4344-8975-3217A2142BA7}">
    <sortState xmlns:xlrd2="http://schemas.microsoft.com/office/spreadsheetml/2017/richdata2" ref="P2:R7">
      <sortCondition descending="1" ref="P1:P7"/>
    </sortState>
  </autoFilter>
  <mergeCells count="4">
    <mergeCell ref="B37:B38"/>
    <mergeCell ref="B39:B40"/>
    <mergeCell ref="B41:B42"/>
    <mergeCell ref="B43:B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761C-54A3-E44E-873A-7C9960AA7E71}">
  <dimension ref="A1:E7"/>
  <sheetViews>
    <sheetView workbookViewId="0">
      <selection activeCell="D24" sqref="D24"/>
    </sheetView>
  </sheetViews>
  <sheetFormatPr baseColWidth="10" defaultRowHeight="16" x14ac:dyDescent="0.2"/>
  <cols>
    <col min="1" max="1" width="14.33203125" bestFit="1" customWidth="1"/>
    <col min="2" max="2" width="8" customWidth="1"/>
    <col min="3" max="3" width="15.1640625" bestFit="1" customWidth="1"/>
    <col min="4" max="4" width="9" bestFit="1" customWidth="1"/>
    <col min="5" max="5" width="10" bestFit="1" customWidth="1"/>
  </cols>
  <sheetData>
    <row r="1" spans="1:5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2021</v>
      </c>
      <c r="B2">
        <v>1</v>
      </c>
      <c r="C2">
        <v>0.4</v>
      </c>
      <c r="D2">
        <v>3.5</v>
      </c>
      <c r="E2">
        <v>84.9</v>
      </c>
    </row>
    <row r="3" spans="1:5" x14ac:dyDescent="0.2">
      <c r="A3">
        <v>2020</v>
      </c>
      <c r="B3">
        <v>0.7</v>
      </c>
      <c r="C3">
        <v>0.3</v>
      </c>
      <c r="D3">
        <v>3.1</v>
      </c>
      <c r="E3">
        <v>84.4</v>
      </c>
    </row>
    <row r="4" spans="1:5" x14ac:dyDescent="0.2">
      <c r="A4">
        <v>2019</v>
      </c>
      <c r="B4">
        <v>0.6</v>
      </c>
      <c r="C4">
        <v>0.2</v>
      </c>
      <c r="D4">
        <v>2.9</v>
      </c>
      <c r="E4">
        <v>85</v>
      </c>
    </row>
    <row r="5" spans="1:5" x14ac:dyDescent="0.2">
      <c r="A5">
        <v>2018</v>
      </c>
      <c r="B5">
        <v>0.5</v>
      </c>
      <c r="C5">
        <v>0.2</v>
      </c>
      <c r="D5">
        <v>2.7</v>
      </c>
      <c r="E5">
        <v>85.8</v>
      </c>
    </row>
    <row r="6" spans="1:5" x14ac:dyDescent="0.2">
      <c r="A6">
        <v>2017</v>
      </c>
      <c r="B6">
        <v>0.3</v>
      </c>
      <c r="C6">
        <v>0.2</v>
      </c>
      <c r="D6">
        <v>2.6</v>
      </c>
      <c r="E6">
        <v>86.5</v>
      </c>
    </row>
    <row r="7" spans="1:5" x14ac:dyDescent="0.2">
      <c r="A7">
        <v>2016</v>
      </c>
      <c r="B7">
        <v>0.2</v>
      </c>
      <c r="C7">
        <v>0.1</v>
      </c>
      <c r="D7">
        <v>2.4</v>
      </c>
      <c r="E7">
        <v>87.4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ABEC-9E1F-2146-96A0-B25A5883C181}">
  <dimension ref="A1:E7"/>
  <sheetViews>
    <sheetView workbookViewId="0">
      <selection activeCell="G15" sqref="G15"/>
    </sheetView>
  </sheetViews>
  <sheetFormatPr baseColWidth="10" defaultRowHeight="16" x14ac:dyDescent="0.2"/>
  <cols>
    <col min="1" max="1" width="9.5" bestFit="1" customWidth="1"/>
    <col min="2" max="2" width="6.1640625" bestFit="1" customWidth="1"/>
    <col min="3" max="3" width="15.1640625" bestFit="1" customWidth="1"/>
    <col min="4" max="4" width="9" bestFit="1" customWidth="1"/>
    <col min="5" max="5" width="10" bestFit="1" customWidth="1"/>
  </cols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2021</v>
      </c>
      <c r="B2">
        <v>8.9999999999999993E-3</v>
      </c>
      <c r="C2">
        <v>3.0000000000000001E-3</v>
      </c>
      <c r="D2" s="1">
        <v>3.1E-2</v>
      </c>
      <c r="E2">
        <v>0.748</v>
      </c>
    </row>
    <row r="3" spans="1:5" x14ac:dyDescent="0.2">
      <c r="A3">
        <v>2020</v>
      </c>
      <c r="B3">
        <v>7.0000000000000001E-3</v>
      </c>
      <c r="C3">
        <v>2E-3</v>
      </c>
      <c r="D3" s="1">
        <v>2.7E-2</v>
      </c>
      <c r="E3">
        <v>0.73699999999999999</v>
      </c>
    </row>
    <row r="4" spans="1:5" x14ac:dyDescent="0.2">
      <c r="A4">
        <v>2019</v>
      </c>
      <c r="B4">
        <v>5.0000000000000001E-3</v>
      </c>
      <c r="C4">
        <v>2E-3</v>
      </c>
      <c r="D4" s="1">
        <v>2.5000000000000001E-2</v>
      </c>
      <c r="E4">
        <v>0.73699999999999999</v>
      </c>
    </row>
    <row r="5" spans="1:5" x14ac:dyDescent="0.2">
      <c r="A5">
        <v>2018</v>
      </c>
      <c r="B5">
        <v>4.0000000000000001E-3</v>
      </c>
      <c r="C5">
        <v>2E-3</v>
      </c>
      <c r="D5" s="1">
        <v>2.4E-2</v>
      </c>
      <c r="E5">
        <v>0.745</v>
      </c>
    </row>
    <row r="6" spans="1:5" x14ac:dyDescent="0.2">
      <c r="A6">
        <v>2017</v>
      </c>
      <c r="B6">
        <v>3.0000000000000001E-3</v>
      </c>
      <c r="C6">
        <v>1E-3</v>
      </c>
      <c r="D6" s="1">
        <v>2.1999999999999999E-2</v>
      </c>
      <c r="E6">
        <v>0.749</v>
      </c>
    </row>
    <row r="7" spans="1:5" x14ac:dyDescent="0.2">
      <c r="A7">
        <v>2016</v>
      </c>
      <c r="B7">
        <v>2E-3</v>
      </c>
      <c r="C7">
        <v>1E-3</v>
      </c>
      <c r="D7" s="1">
        <v>0.02</v>
      </c>
      <c r="E7">
        <v>0.73099999999999998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Growth Rate Calculation</vt:lpstr>
      <vt:lpstr>Vehicle Counts</vt:lpstr>
      <vt:lpstr>Market Share</vt:lpstr>
      <vt:lpstr>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2022-11-09T19:43:32Z</dcterms:created>
  <dcterms:modified xsi:type="dcterms:W3CDTF">2022-12-07T17:47:44Z</dcterms:modified>
</cp:coreProperties>
</file>