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40" activeTab="1"/>
  </bookViews>
  <sheets>
    <sheet name="Evaluasi Latlong k=3" sheetId="14" r:id="rId1"/>
    <sheet name="Evaluasil Volume Cases K=3" sheetId="12" r:id="rId2"/>
    <sheet name="Evaluasil Volume Cases K=2" sheetId="5" r:id="rId3"/>
  </sheets>
  <definedNames>
    <definedName name="_xlnm._FilterDatabase" localSheetId="0" hidden="1">'Evaluasi Latlong k=3'!$B$2:$K$2</definedName>
    <definedName name="_xlnm._FilterDatabase" localSheetId="2" hidden="1">'Evaluasil Volume Cases K=2'!$B$2:$E$2</definedName>
    <definedName name="_xlnm._FilterDatabase" localSheetId="1" hidden="1">'Evaluasil Volume Cases K=3'!$B$2:$E$2</definedName>
    <definedName name="time_series_covid19_confirmed_global" localSheetId="0">'Evaluasi Latlong k=3'!$B$2:$D$12</definedName>
    <definedName name="time_series_covid19_confirmed_global" localSheetId="2">'Evaluasil Volume Cases K=2'!$B$2:$C$12</definedName>
    <definedName name="time_series_covid19_confirmed_global" localSheetId="1">'Evaluasil Volume Cases K=3'!$B$2:$C$12</definedName>
    <definedName name="time_series_covid19_confirmed_global_1" localSheetId="0">'Evaluasi Latlong k=3'!#REF!</definedName>
    <definedName name="time_series_covid19_confirmed_global_1" localSheetId="2">'Evaluasil Volume Cases K=2'!#REF!</definedName>
    <definedName name="time_series_covid19_confirmed_global_1" localSheetId="1">'Evaluasil Volume Cases K=3'!#REF!</definedName>
    <definedName name="time_series_covid19_confirmed_global_10" localSheetId="0">'Evaluasi Latlong k=3'!#REF!</definedName>
    <definedName name="time_series_covid19_confirmed_global_10" localSheetId="2">'Evaluasil Volume Cases K=2'!#REF!</definedName>
    <definedName name="time_series_covid19_confirmed_global_10" localSheetId="1">'Evaluasil Volume Cases K=3'!#REF!</definedName>
    <definedName name="time_series_covid19_confirmed_global_11" localSheetId="0">'Evaluasi Latlong k=3'!#REF!</definedName>
    <definedName name="time_series_covid19_confirmed_global_11" localSheetId="2">'Evaluasil Volume Cases K=2'!#REF!</definedName>
    <definedName name="time_series_covid19_confirmed_global_11" localSheetId="1">'Evaluasil Volume Cases K=3'!#REF!</definedName>
    <definedName name="time_series_covid19_confirmed_global_12" localSheetId="0">'Evaluasi Latlong k=3'!#REF!</definedName>
    <definedName name="time_series_covid19_confirmed_global_12" localSheetId="2">'Evaluasil Volume Cases K=2'!#REF!</definedName>
    <definedName name="time_series_covid19_confirmed_global_12" localSheetId="1">'Evaluasil Volume Cases K=3'!#REF!</definedName>
    <definedName name="time_series_covid19_confirmed_global_13" localSheetId="0">'Evaluasi Latlong k=3'!#REF!</definedName>
    <definedName name="time_series_covid19_confirmed_global_13" localSheetId="2">'Evaluasil Volume Cases K=2'!#REF!</definedName>
    <definedName name="time_series_covid19_confirmed_global_13" localSheetId="1">'Evaluasil Volume Cases K=3'!#REF!</definedName>
    <definedName name="time_series_covid19_confirmed_global_14" localSheetId="0">'Evaluasi Latlong k=3'!#REF!</definedName>
    <definedName name="time_series_covid19_confirmed_global_14" localSheetId="2">'Evaluasil Volume Cases K=2'!#REF!</definedName>
    <definedName name="time_series_covid19_confirmed_global_14" localSheetId="1">'Evaluasil Volume Cases K=3'!#REF!</definedName>
    <definedName name="time_series_covid19_confirmed_global_15" localSheetId="0">'Evaluasi Latlong k=3'!#REF!</definedName>
    <definedName name="time_series_covid19_confirmed_global_15" localSheetId="2">'Evaluasil Volume Cases K=2'!#REF!</definedName>
    <definedName name="time_series_covid19_confirmed_global_15" localSheetId="1">'Evaluasil Volume Cases K=3'!#REF!</definedName>
    <definedName name="time_series_covid19_confirmed_global_16" localSheetId="0">'Evaluasi Latlong k=3'!#REF!</definedName>
    <definedName name="time_series_covid19_confirmed_global_16" localSheetId="2">'Evaluasil Volume Cases K=2'!#REF!</definedName>
    <definedName name="time_series_covid19_confirmed_global_16" localSheetId="1">'Evaluasil Volume Cases K=3'!#REF!</definedName>
    <definedName name="time_series_covid19_confirmed_global_17" localSheetId="0">'Evaluasi Latlong k=3'!#REF!</definedName>
    <definedName name="time_series_covid19_confirmed_global_17" localSheetId="2">'Evaluasil Volume Cases K=2'!#REF!</definedName>
    <definedName name="time_series_covid19_confirmed_global_17" localSheetId="1">'Evaluasil Volume Cases K=3'!#REF!</definedName>
    <definedName name="time_series_covid19_confirmed_global_18" localSheetId="0">'Evaluasi Latlong k=3'!#REF!</definedName>
    <definedName name="time_series_covid19_confirmed_global_18" localSheetId="2">'Evaluasil Volume Cases K=2'!#REF!</definedName>
    <definedName name="time_series_covid19_confirmed_global_18" localSheetId="1">'Evaluasil Volume Cases K=3'!#REF!</definedName>
    <definedName name="time_series_covid19_confirmed_global_19" localSheetId="0">'Evaluasi Latlong k=3'!#REF!</definedName>
    <definedName name="time_series_covid19_confirmed_global_19" localSheetId="2">'Evaluasil Volume Cases K=2'!#REF!</definedName>
    <definedName name="time_series_covid19_confirmed_global_19" localSheetId="1">'Evaluasil Volume Cases K=3'!#REF!</definedName>
    <definedName name="time_series_covid19_confirmed_global_2" localSheetId="0">'Evaluasi Latlong k=3'!#REF!</definedName>
    <definedName name="time_series_covid19_confirmed_global_2" localSheetId="2">'Evaluasil Volume Cases K=2'!#REF!</definedName>
    <definedName name="time_series_covid19_confirmed_global_2" localSheetId="1">'Evaluasil Volume Cases K=3'!#REF!</definedName>
    <definedName name="time_series_covid19_confirmed_global_20" localSheetId="0">'Evaluasi Latlong k=3'!#REF!</definedName>
    <definedName name="time_series_covid19_confirmed_global_20" localSheetId="2">'Evaluasil Volume Cases K=2'!#REF!</definedName>
    <definedName name="time_series_covid19_confirmed_global_20" localSheetId="1">'Evaluasil Volume Cases K=3'!#REF!</definedName>
    <definedName name="time_series_covid19_confirmed_global_21" localSheetId="0">'Evaluasi Latlong k=3'!#REF!</definedName>
    <definedName name="time_series_covid19_confirmed_global_21" localSheetId="2">'Evaluasil Volume Cases K=2'!#REF!</definedName>
    <definedName name="time_series_covid19_confirmed_global_21" localSheetId="1">'Evaluasil Volume Cases K=3'!#REF!</definedName>
    <definedName name="time_series_covid19_confirmed_global_22" localSheetId="0">'Evaluasi Latlong k=3'!#REF!</definedName>
    <definedName name="time_series_covid19_confirmed_global_22" localSheetId="2">'Evaluasil Volume Cases K=2'!#REF!</definedName>
    <definedName name="time_series_covid19_confirmed_global_22" localSheetId="1">'Evaluasil Volume Cases K=3'!#REF!</definedName>
    <definedName name="time_series_covid19_confirmed_global_23" localSheetId="0">'Evaluasi Latlong k=3'!#REF!</definedName>
    <definedName name="time_series_covid19_confirmed_global_23" localSheetId="2">'Evaluasil Volume Cases K=2'!#REF!</definedName>
    <definedName name="time_series_covid19_confirmed_global_23" localSheetId="1">'Evaluasil Volume Cases K=3'!#REF!</definedName>
    <definedName name="time_series_covid19_confirmed_global_24" localSheetId="0">'Evaluasi Latlong k=3'!#REF!</definedName>
    <definedName name="time_series_covid19_confirmed_global_24" localSheetId="2">'Evaluasil Volume Cases K=2'!#REF!</definedName>
    <definedName name="time_series_covid19_confirmed_global_24" localSheetId="1">'Evaluasil Volume Cases K=3'!#REF!</definedName>
    <definedName name="time_series_covid19_confirmed_global_25" localSheetId="0">'Evaluasi Latlong k=3'!#REF!</definedName>
    <definedName name="time_series_covid19_confirmed_global_25" localSheetId="2">'Evaluasil Volume Cases K=2'!#REF!</definedName>
    <definedName name="time_series_covid19_confirmed_global_25" localSheetId="1">'Evaluasil Volume Cases K=3'!#REF!</definedName>
    <definedName name="time_series_covid19_confirmed_global_26" localSheetId="0">'Evaluasi Latlong k=3'!#REF!</definedName>
    <definedName name="time_series_covid19_confirmed_global_26" localSheetId="2">'Evaluasil Volume Cases K=2'!$B$16:$C$26</definedName>
    <definedName name="time_series_covid19_confirmed_global_26" localSheetId="1">'Evaluasil Volume Cases K=3'!$B$16:$C$26</definedName>
    <definedName name="time_series_covid19_confirmed_global_27" localSheetId="0">'Evaluasi Latlong k=3'!#REF!</definedName>
    <definedName name="time_series_covid19_confirmed_global_27" localSheetId="2">'Evaluasil Volume Cases K=2'!$B$30:$C$40</definedName>
    <definedName name="time_series_covid19_confirmed_global_27" localSheetId="1">'Evaluasil Volume Cases K=3'!$B$30:$C$40</definedName>
    <definedName name="time_series_covid19_confirmed_global_28" localSheetId="0">'Evaluasi Latlong k=3'!#REF!</definedName>
    <definedName name="time_series_covid19_confirmed_global_28" localSheetId="2">'Evaluasil Volume Cases K=2'!$B$44:$C$54</definedName>
    <definedName name="time_series_covid19_confirmed_global_28" localSheetId="1">'Evaluasil Volume Cases K=3'!$B$44:$C$54</definedName>
    <definedName name="time_series_covid19_confirmed_global_29" localSheetId="0">'Evaluasi Latlong k=3'!$B$16:$D$26</definedName>
    <definedName name="time_series_covid19_confirmed_global_29" localSheetId="1">'Evaluasil Volume Cases K=3'!$B$30:$C$40</definedName>
    <definedName name="time_series_covid19_confirmed_global_3" localSheetId="0">'Evaluasi Latlong k=3'!#REF!</definedName>
    <definedName name="time_series_covid19_confirmed_global_3" localSheetId="2">'Evaluasil Volume Cases K=2'!#REF!</definedName>
    <definedName name="time_series_covid19_confirmed_global_3" localSheetId="1">'Evaluasil Volume Cases K=3'!#REF!</definedName>
    <definedName name="time_series_covid19_confirmed_global_30" localSheetId="0">'Evaluasi Latlong k=3'!$B$16:$D$26</definedName>
    <definedName name="time_series_covid19_confirmed_global_30" localSheetId="1">'Evaluasil Volume Cases K=3'!$B$44:$C$54</definedName>
    <definedName name="time_series_covid19_confirmed_global_31" localSheetId="0">'Evaluasi Latlong k=3'!$B$30:$D$40</definedName>
    <definedName name="time_series_covid19_confirmed_global_31" localSheetId="1">'Evaluasil Volume Cases K=3'!$B$44:$C$54</definedName>
    <definedName name="time_series_covid19_confirmed_global_32" localSheetId="0">'Evaluasi Latlong k=3'!$B$30:$D$40</definedName>
    <definedName name="time_series_covid19_confirmed_global_32" localSheetId="1">'Evaluasil Volume Cases K=3'!$B$58:$C$68</definedName>
    <definedName name="time_series_covid19_confirmed_global_33" localSheetId="0">'Evaluasi Latlong k=3'!$B$44:$D$54</definedName>
    <definedName name="time_series_covid19_confirmed_global_33" localSheetId="1">'Evaluasil Volume Cases K=3'!$B$58:$C$68</definedName>
    <definedName name="time_series_covid19_confirmed_global_34" localSheetId="0">'Evaluasi Latlong k=3'!$B$44:$D$54</definedName>
    <definedName name="time_series_covid19_confirmed_global_34" localSheetId="1">'Evaluasil Volume Cases K=3'!$B$58:$C$68</definedName>
    <definedName name="time_series_covid19_confirmed_global_35" localSheetId="1">'Evaluasil Volume Cases K=3'!$B$72:$C$82</definedName>
    <definedName name="time_series_covid19_confirmed_global_36" localSheetId="1">'Evaluasil Volume Cases K=3'!$B$72:$C$82</definedName>
    <definedName name="time_series_covid19_confirmed_global_37" localSheetId="1">'Evaluasil Volume Cases K=3'!$B$72:$C$82</definedName>
    <definedName name="time_series_covid19_confirmed_global_4" localSheetId="0">'Evaluasi Latlong k=3'!#REF!</definedName>
    <definedName name="time_series_covid19_confirmed_global_4" localSheetId="2">'Evaluasil Volume Cases K=2'!#REF!</definedName>
    <definedName name="time_series_covid19_confirmed_global_4" localSheetId="1">'Evaluasil Volume Cases K=3'!#REF!</definedName>
    <definedName name="time_series_covid19_confirmed_global_5" localSheetId="0">'Evaluasi Latlong k=3'!#REF!</definedName>
    <definedName name="time_series_covid19_confirmed_global_5" localSheetId="2">'Evaluasil Volume Cases K=2'!#REF!</definedName>
    <definedName name="time_series_covid19_confirmed_global_5" localSheetId="1">'Evaluasil Volume Cases K=3'!#REF!</definedName>
    <definedName name="time_series_covid19_confirmed_global_6" localSheetId="0">'Evaluasi Latlong k=3'!#REF!</definedName>
    <definedName name="time_series_covid19_confirmed_global_6" localSheetId="2">'Evaluasil Volume Cases K=2'!#REF!</definedName>
    <definedName name="time_series_covid19_confirmed_global_6" localSheetId="1">'Evaluasil Volume Cases K=3'!#REF!</definedName>
    <definedName name="time_series_covid19_confirmed_global_7" localSheetId="0">'Evaluasi Latlong k=3'!#REF!</definedName>
    <definedName name="time_series_covid19_confirmed_global_7" localSheetId="2">'Evaluasil Volume Cases K=2'!#REF!</definedName>
    <definedName name="time_series_covid19_confirmed_global_7" localSheetId="1">'Evaluasil Volume Cases K=3'!#REF!</definedName>
    <definedName name="time_series_covid19_confirmed_global_8" localSheetId="0">'Evaluasi Latlong k=3'!#REF!</definedName>
    <definedName name="time_series_covid19_confirmed_global_8" localSheetId="2">'Evaluasil Volume Cases K=2'!#REF!</definedName>
    <definedName name="time_series_covid19_confirmed_global_8" localSheetId="1">'Evaluasil Volume Cases K=3'!#REF!</definedName>
    <definedName name="time_series_covid19_confirmed_global_9" localSheetId="0">'Evaluasi Latlong k=3'!#REF!</definedName>
    <definedName name="time_series_covid19_confirmed_global_9" localSheetId="2">'Evaluasil Volume Cases K=2'!#REF!</definedName>
    <definedName name="time_series_covid19_confirmed_global_9" localSheetId="1">'Evaluasil Volume Cases K=3'!#REF!</definedName>
  </definedNames>
  <calcPr calcId="152511"/>
</workbook>
</file>

<file path=xl/calcChain.xml><?xml version="1.0" encoding="utf-8"?>
<calcChain xmlns="http://schemas.openxmlformats.org/spreadsheetml/2006/main">
  <c r="P55" i="14" l="1"/>
  <c r="P46" i="14"/>
  <c r="P47" i="14"/>
  <c r="P48" i="14"/>
  <c r="P49" i="14"/>
  <c r="P50" i="14"/>
  <c r="P51" i="14"/>
  <c r="P52" i="14"/>
  <c r="P53" i="14"/>
  <c r="P54" i="14"/>
  <c r="P45" i="14"/>
  <c r="O46" i="14"/>
  <c r="O47" i="14"/>
  <c r="O48" i="14"/>
  <c r="O49" i="14"/>
  <c r="O50" i="14"/>
  <c r="O51" i="14"/>
  <c r="O52" i="14"/>
  <c r="O53" i="14"/>
  <c r="O54" i="14"/>
  <c r="O45" i="14"/>
  <c r="N53" i="14"/>
  <c r="N51" i="14"/>
  <c r="N50" i="14"/>
  <c r="M46" i="14"/>
  <c r="M47" i="14"/>
  <c r="M48" i="14"/>
  <c r="M49" i="14"/>
  <c r="M52" i="14"/>
  <c r="M53" i="14"/>
  <c r="M54" i="14"/>
  <c r="M45" i="14"/>
  <c r="L54" i="14"/>
  <c r="L46" i="14"/>
  <c r="L47" i="14"/>
  <c r="L48" i="14"/>
  <c r="L49" i="14"/>
  <c r="L50" i="14"/>
  <c r="L51" i="14"/>
  <c r="L52" i="14"/>
  <c r="L45" i="14"/>
  <c r="K54" i="14"/>
  <c r="K53" i="14"/>
  <c r="K52" i="14"/>
  <c r="K51" i="14"/>
  <c r="K50" i="14"/>
  <c r="K49" i="14"/>
  <c r="K48" i="14"/>
  <c r="K47" i="14"/>
  <c r="K46" i="14"/>
  <c r="K45" i="14"/>
  <c r="J52" i="14"/>
  <c r="I52" i="14"/>
  <c r="J49" i="14"/>
  <c r="I49" i="14"/>
  <c r="J45" i="14"/>
  <c r="I45" i="14"/>
  <c r="I31" i="14"/>
  <c r="G46" i="14"/>
  <c r="G47" i="14"/>
  <c r="G48" i="14"/>
  <c r="G49" i="14"/>
  <c r="G50" i="14"/>
  <c r="G51" i="14"/>
  <c r="G52" i="14"/>
  <c r="G53" i="14"/>
  <c r="G54" i="14"/>
  <c r="G45" i="14"/>
  <c r="F46" i="14"/>
  <c r="F47" i="14"/>
  <c r="F48" i="14"/>
  <c r="F49" i="14"/>
  <c r="F50" i="14"/>
  <c r="F51" i="14"/>
  <c r="F52" i="14"/>
  <c r="F53" i="14"/>
  <c r="F54" i="14"/>
  <c r="F45" i="14"/>
  <c r="J38" i="14"/>
  <c r="I38" i="14"/>
  <c r="J35" i="14"/>
  <c r="I35" i="14"/>
  <c r="J31" i="14"/>
  <c r="E48" i="14"/>
  <c r="H48" i="14" s="1"/>
  <c r="E46" i="14"/>
  <c r="H46" i="14" s="1"/>
  <c r="E47" i="14"/>
  <c r="H47" i="14" s="1"/>
  <c r="E50" i="14"/>
  <c r="H50" i="14" s="1"/>
  <c r="E51" i="14"/>
  <c r="H51" i="14" s="1"/>
  <c r="E53" i="14"/>
  <c r="H53" i="14" s="1"/>
  <c r="E54" i="14"/>
  <c r="H54" i="14" s="1"/>
  <c r="H31" i="14"/>
  <c r="J24" i="14"/>
  <c r="G33" i="14" s="1"/>
  <c r="I24" i="14"/>
  <c r="J21" i="14"/>
  <c r="I21" i="14"/>
  <c r="J17" i="14"/>
  <c r="E33" i="14" s="1"/>
  <c r="I17" i="14"/>
  <c r="E31" i="14"/>
  <c r="G31" i="14"/>
  <c r="G32" i="14"/>
  <c r="G35" i="14"/>
  <c r="G36" i="14"/>
  <c r="G37" i="14"/>
  <c r="G39" i="14"/>
  <c r="G40" i="14"/>
  <c r="F32" i="14"/>
  <c r="F33" i="14"/>
  <c r="F36" i="14"/>
  <c r="F37" i="14"/>
  <c r="F38" i="14"/>
  <c r="F39" i="14"/>
  <c r="F40" i="14"/>
  <c r="F31" i="14"/>
  <c r="E37" i="14"/>
  <c r="H18" i="14"/>
  <c r="H19" i="14"/>
  <c r="H20" i="14"/>
  <c r="H21" i="14"/>
  <c r="H22" i="14"/>
  <c r="H23" i="14"/>
  <c r="H24" i="14"/>
  <c r="H25" i="14"/>
  <c r="H26" i="14"/>
  <c r="H17" i="14"/>
  <c r="G18" i="14"/>
  <c r="G19" i="14"/>
  <c r="G20" i="14"/>
  <c r="G21" i="14"/>
  <c r="G22" i="14"/>
  <c r="G23" i="14"/>
  <c r="G24" i="14"/>
  <c r="G25" i="14"/>
  <c r="G26" i="14"/>
  <c r="G17" i="14"/>
  <c r="F18" i="14"/>
  <c r="F19" i="14"/>
  <c r="F20" i="14"/>
  <c r="F21" i="14"/>
  <c r="F22" i="14"/>
  <c r="F23" i="14"/>
  <c r="F24" i="14"/>
  <c r="F25" i="14"/>
  <c r="F26" i="14"/>
  <c r="F17" i="14"/>
  <c r="E17" i="14"/>
  <c r="E18" i="14"/>
  <c r="E19" i="14"/>
  <c r="E20" i="14"/>
  <c r="E21" i="14"/>
  <c r="E22" i="14"/>
  <c r="E23" i="14"/>
  <c r="E24" i="14"/>
  <c r="E25" i="14"/>
  <c r="E26" i="14"/>
  <c r="J10" i="14"/>
  <c r="I10" i="14"/>
  <c r="J7" i="14"/>
  <c r="I7" i="14"/>
  <c r="J3" i="14"/>
  <c r="I3" i="14"/>
  <c r="H4" i="14"/>
  <c r="H5" i="14"/>
  <c r="H6" i="14"/>
  <c r="H7" i="14"/>
  <c r="H8" i="14"/>
  <c r="H9" i="14"/>
  <c r="H10" i="14"/>
  <c r="H11" i="14"/>
  <c r="H12" i="14"/>
  <c r="H3" i="14"/>
  <c r="J3" i="12"/>
  <c r="G4" i="14"/>
  <c r="G5" i="14"/>
  <c r="G6" i="14"/>
  <c r="G7" i="14"/>
  <c r="G8" i="14"/>
  <c r="G9" i="14"/>
  <c r="G10" i="14"/>
  <c r="G11" i="14"/>
  <c r="G12" i="14"/>
  <c r="G3" i="14"/>
  <c r="E3" i="14"/>
  <c r="F12" i="14"/>
  <c r="E12" i="14"/>
  <c r="F11" i="14"/>
  <c r="E11" i="14"/>
  <c r="F10" i="14"/>
  <c r="E10" i="14"/>
  <c r="F9" i="14"/>
  <c r="E9" i="14"/>
  <c r="F8" i="14"/>
  <c r="E8" i="14"/>
  <c r="F7" i="14"/>
  <c r="E7" i="14"/>
  <c r="F6" i="14"/>
  <c r="E6" i="14"/>
  <c r="F5" i="14"/>
  <c r="E5" i="14"/>
  <c r="F4" i="14"/>
  <c r="E4" i="14"/>
  <c r="F3" i="14"/>
  <c r="T74" i="12"/>
  <c r="T75" i="12"/>
  <c r="T76" i="12"/>
  <c r="T77" i="12"/>
  <c r="T78" i="12"/>
  <c r="T79" i="12"/>
  <c r="T80" i="12"/>
  <c r="T81" i="12"/>
  <c r="T82" i="12"/>
  <c r="T73" i="12"/>
  <c r="S74" i="12"/>
  <c r="S75" i="12"/>
  <c r="S76" i="12"/>
  <c r="S77" i="12"/>
  <c r="S78" i="12"/>
  <c r="S79" i="12"/>
  <c r="S80" i="12"/>
  <c r="S81" i="12"/>
  <c r="S82" i="12"/>
  <c r="S73" i="12"/>
  <c r="O73" i="12"/>
  <c r="E49" i="14" l="1"/>
  <c r="H49" i="14" s="1"/>
  <c r="E45" i="14"/>
  <c r="E52" i="14"/>
  <c r="H52" i="14" s="1"/>
  <c r="H45" i="14"/>
  <c r="G34" i="14"/>
  <c r="G38" i="14"/>
  <c r="F34" i="14"/>
  <c r="F35" i="14"/>
  <c r="E36" i="14"/>
  <c r="E40" i="14"/>
  <c r="H40" i="14" s="1"/>
  <c r="E35" i="14"/>
  <c r="E39" i="14"/>
  <c r="E32" i="14"/>
  <c r="E34" i="14"/>
  <c r="H34" i="14" s="1"/>
  <c r="E38" i="14"/>
  <c r="H38" i="14" s="1"/>
  <c r="H36" i="14"/>
  <c r="H32" i="14"/>
  <c r="H39" i="14"/>
  <c r="H37" i="14"/>
  <c r="H33" i="14"/>
  <c r="T83" i="12"/>
  <c r="Q45" i="5"/>
  <c r="R81" i="12"/>
  <c r="R82" i="12"/>
  <c r="R80" i="12"/>
  <c r="R74" i="12"/>
  <c r="R75" i="12"/>
  <c r="R76" i="12"/>
  <c r="R77" i="12"/>
  <c r="R78" i="12"/>
  <c r="R73" i="12"/>
  <c r="Q82" i="12"/>
  <c r="Q79" i="12"/>
  <c r="P74" i="12"/>
  <c r="P75" i="12"/>
  <c r="P76" i="12"/>
  <c r="P77" i="12"/>
  <c r="P78" i="12"/>
  <c r="P79" i="12"/>
  <c r="P80" i="12"/>
  <c r="P81" i="12"/>
  <c r="P73" i="12"/>
  <c r="O51" i="5"/>
  <c r="O74" i="12"/>
  <c r="P56" i="14" l="1"/>
  <c r="H35" i="14"/>
  <c r="O82" i="12"/>
  <c r="O79" i="12"/>
  <c r="O81" i="12"/>
  <c r="O80" i="12"/>
  <c r="O78" i="12"/>
  <c r="O77" i="12"/>
  <c r="O76" i="12"/>
  <c r="O75" i="12"/>
  <c r="N49" i="12"/>
  <c r="M49" i="12"/>
  <c r="L49" i="12"/>
  <c r="N45" i="5"/>
  <c r="K49" i="12"/>
  <c r="H61" i="12" s="1"/>
  <c r="N80" i="12"/>
  <c r="M80" i="12"/>
  <c r="L80" i="12"/>
  <c r="K80" i="12"/>
  <c r="N77" i="12"/>
  <c r="M77" i="12"/>
  <c r="L77" i="12"/>
  <c r="K77" i="12"/>
  <c r="N73" i="12"/>
  <c r="G68" i="12" s="1"/>
  <c r="M73" i="12"/>
  <c r="L73" i="12"/>
  <c r="K73" i="12"/>
  <c r="G67" i="12" s="1"/>
  <c r="L63" i="12"/>
  <c r="M63" i="12"/>
  <c r="N63" i="12"/>
  <c r="K63" i="12"/>
  <c r="L59" i="12"/>
  <c r="G76" i="12" s="1"/>
  <c r="M59" i="12"/>
  <c r="N59" i="12"/>
  <c r="K59" i="12"/>
  <c r="G77" i="12" s="1"/>
  <c r="N66" i="12"/>
  <c r="M66" i="12"/>
  <c r="L66" i="12"/>
  <c r="I81" i="12" s="1"/>
  <c r="K66" i="12"/>
  <c r="I77" i="12" s="1"/>
  <c r="L45" i="12"/>
  <c r="M45" i="12"/>
  <c r="N45" i="12"/>
  <c r="K45" i="12"/>
  <c r="I51" i="12"/>
  <c r="N52" i="12"/>
  <c r="M52" i="12"/>
  <c r="L52" i="12"/>
  <c r="I61" i="12" s="1"/>
  <c r="K52" i="12"/>
  <c r="I65" i="12" s="1"/>
  <c r="L38" i="12"/>
  <c r="I47" i="12" s="1"/>
  <c r="M38" i="12"/>
  <c r="N38" i="12"/>
  <c r="K38" i="12"/>
  <c r="I46" i="12" s="1"/>
  <c r="L35" i="12"/>
  <c r="M35" i="12"/>
  <c r="N35" i="12"/>
  <c r="K35" i="12"/>
  <c r="L31" i="12"/>
  <c r="M31" i="12"/>
  <c r="N31" i="12"/>
  <c r="K31" i="12"/>
  <c r="L24" i="12"/>
  <c r="I32" i="12" s="1"/>
  <c r="M24" i="12"/>
  <c r="N24" i="12"/>
  <c r="K24" i="12"/>
  <c r="L21" i="12"/>
  <c r="H33" i="12" s="1"/>
  <c r="M21" i="12"/>
  <c r="N21" i="12"/>
  <c r="K21" i="12"/>
  <c r="L17" i="12"/>
  <c r="M17" i="12"/>
  <c r="N17" i="12"/>
  <c r="K17" i="12"/>
  <c r="L10" i="12"/>
  <c r="M10" i="12"/>
  <c r="N10" i="12"/>
  <c r="K10" i="12"/>
  <c r="L7" i="12"/>
  <c r="M7" i="12"/>
  <c r="N7" i="12"/>
  <c r="K7" i="12"/>
  <c r="K3" i="12"/>
  <c r="G26" i="12" s="1"/>
  <c r="L3" i="12"/>
  <c r="M3" i="12"/>
  <c r="N3" i="12"/>
  <c r="I4" i="12"/>
  <c r="I5" i="12"/>
  <c r="I6" i="12"/>
  <c r="I7" i="12"/>
  <c r="I8" i="12"/>
  <c r="I9" i="12"/>
  <c r="I10" i="12"/>
  <c r="I11" i="12"/>
  <c r="I12" i="12"/>
  <c r="I3" i="12"/>
  <c r="P45" i="5"/>
  <c r="P54" i="5"/>
  <c r="Q54" i="5" s="1"/>
  <c r="P53" i="5"/>
  <c r="Q53" i="5" s="1"/>
  <c r="P52" i="5"/>
  <c r="Q52" i="5" s="1"/>
  <c r="P50" i="5"/>
  <c r="Q50" i="5" s="1"/>
  <c r="P49" i="5"/>
  <c r="P48" i="5"/>
  <c r="Q48" i="5" s="1"/>
  <c r="P47" i="5"/>
  <c r="Q47" i="5" s="1"/>
  <c r="P46" i="5"/>
  <c r="Q46" i="5" s="1"/>
  <c r="Q51" i="5"/>
  <c r="N51" i="5"/>
  <c r="G12" i="12"/>
  <c r="G3" i="12"/>
  <c r="H3" i="12"/>
  <c r="H12" i="12"/>
  <c r="H11" i="12"/>
  <c r="G11" i="12"/>
  <c r="H10" i="12"/>
  <c r="G10" i="12"/>
  <c r="H9" i="12"/>
  <c r="G9" i="12"/>
  <c r="H8" i="12"/>
  <c r="G8" i="12"/>
  <c r="H7" i="12"/>
  <c r="G7" i="12"/>
  <c r="H6" i="12"/>
  <c r="G6" i="12"/>
  <c r="H5" i="12"/>
  <c r="G5" i="12"/>
  <c r="H4" i="12"/>
  <c r="G4" i="12"/>
  <c r="Q49" i="5"/>
  <c r="R45" i="5"/>
  <c r="N54" i="5"/>
  <c r="N53" i="5"/>
  <c r="N52" i="5"/>
  <c r="N50" i="5"/>
  <c r="N49" i="5"/>
  <c r="N48" i="5"/>
  <c r="N47" i="5"/>
  <c r="N46" i="5"/>
  <c r="M45" i="5"/>
  <c r="J45" i="5"/>
  <c r="K49" i="5"/>
  <c r="L49" i="5"/>
  <c r="M49" i="5"/>
  <c r="J49" i="5"/>
  <c r="K45" i="5"/>
  <c r="L45" i="5"/>
  <c r="K35" i="5"/>
  <c r="L35" i="5"/>
  <c r="M35" i="5"/>
  <c r="J35" i="5"/>
  <c r="H45" i="5" s="1"/>
  <c r="M31" i="5"/>
  <c r="K31" i="5"/>
  <c r="L31" i="5"/>
  <c r="J31" i="5"/>
  <c r="G45" i="5" s="1"/>
  <c r="I45" i="5" s="1"/>
  <c r="L21" i="5"/>
  <c r="H39" i="5" s="1"/>
  <c r="K21" i="5"/>
  <c r="M21" i="5"/>
  <c r="J21" i="5"/>
  <c r="H40" i="5" s="1"/>
  <c r="M17" i="5"/>
  <c r="G36" i="5" s="1"/>
  <c r="K17" i="5"/>
  <c r="L17" i="5"/>
  <c r="J17" i="5"/>
  <c r="G33" i="5" s="1"/>
  <c r="G3" i="5"/>
  <c r="K7" i="5"/>
  <c r="L7" i="5"/>
  <c r="H21" i="5" s="1"/>
  <c r="M7" i="5"/>
  <c r="H18" i="5" s="1"/>
  <c r="J7" i="5"/>
  <c r="H26" i="5" s="1"/>
  <c r="M3" i="5"/>
  <c r="L3" i="5"/>
  <c r="K3" i="5"/>
  <c r="G20" i="5" s="1"/>
  <c r="J3" i="5"/>
  <c r="G21" i="5" s="1"/>
  <c r="H12" i="5"/>
  <c r="H11" i="5"/>
  <c r="H10" i="5"/>
  <c r="H9" i="5"/>
  <c r="H8" i="5"/>
  <c r="H7" i="5"/>
  <c r="H6" i="5"/>
  <c r="H5" i="5"/>
  <c r="H4" i="5"/>
  <c r="H3" i="5"/>
  <c r="I3" i="5" s="1"/>
  <c r="G4" i="5"/>
  <c r="G5" i="5"/>
  <c r="I5" i="5" s="1"/>
  <c r="G6" i="5"/>
  <c r="I6" i="5" s="1"/>
  <c r="G7" i="5"/>
  <c r="I7" i="5" s="1"/>
  <c r="G8" i="5"/>
  <c r="G9" i="5"/>
  <c r="I9" i="5" s="1"/>
  <c r="G10" i="5"/>
  <c r="I10" i="5" s="1"/>
  <c r="G11" i="5"/>
  <c r="I11" i="5" s="1"/>
  <c r="G12" i="5"/>
  <c r="I21" i="5" l="1"/>
  <c r="G24" i="5"/>
  <c r="H22" i="5"/>
  <c r="G32" i="5"/>
  <c r="H35" i="5"/>
  <c r="G47" i="5"/>
  <c r="I47" i="5" s="1"/>
  <c r="G31" i="5"/>
  <c r="I36" i="12"/>
  <c r="G23" i="5"/>
  <c r="G19" i="5"/>
  <c r="H25" i="5"/>
  <c r="G39" i="5"/>
  <c r="I39" i="5" s="1"/>
  <c r="G35" i="5"/>
  <c r="I35" i="5" s="1"/>
  <c r="H38" i="5"/>
  <c r="H34" i="5"/>
  <c r="G54" i="5"/>
  <c r="G50" i="5"/>
  <c r="G46" i="5"/>
  <c r="H51" i="5"/>
  <c r="H47" i="5"/>
  <c r="G17" i="5"/>
  <c r="G40" i="5"/>
  <c r="J4" i="12"/>
  <c r="J8" i="12"/>
  <c r="H17" i="12"/>
  <c r="H32" i="12"/>
  <c r="I33" i="12"/>
  <c r="H39" i="12"/>
  <c r="H40" i="12"/>
  <c r="I34" i="12"/>
  <c r="I49" i="12"/>
  <c r="I67" i="12"/>
  <c r="H74" i="12"/>
  <c r="G73" i="12"/>
  <c r="G79" i="12"/>
  <c r="G75" i="12"/>
  <c r="I79" i="12"/>
  <c r="G61" i="12"/>
  <c r="G65" i="12"/>
  <c r="I59" i="12"/>
  <c r="G26" i="5"/>
  <c r="I26" i="5" s="1"/>
  <c r="G22" i="5"/>
  <c r="G18" i="5"/>
  <c r="I18" i="5" s="1"/>
  <c r="H24" i="5"/>
  <c r="I24" i="5" s="1"/>
  <c r="H20" i="5"/>
  <c r="I20" i="5" s="1"/>
  <c r="G38" i="5"/>
  <c r="I38" i="5" s="1"/>
  <c r="G34" i="5"/>
  <c r="I34" i="5" s="1"/>
  <c r="H37" i="5"/>
  <c r="H33" i="5"/>
  <c r="I33" i="5" s="1"/>
  <c r="G53" i="5"/>
  <c r="G49" i="5"/>
  <c r="H54" i="5"/>
  <c r="H50" i="5"/>
  <c r="H46" i="5"/>
  <c r="H17" i="5"/>
  <c r="H31" i="5"/>
  <c r="J12" i="12"/>
  <c r="R47" i="5"/>
  <c r="H37" i="12"/>
  <c r="I40" i="12"/>
  <c r="G48" i="12"/>
  <c r="H45" i="12"/>
  <c r="G82" i="12"/>
  <c r="G78" i="12"/>
  <c r="G74" i="12"/>
  <c r="G62" i="12"/>
  <c r="G66" i="12"/>
  <c r="G51" i="5"/>
  <c r="I51" i="5" s="1"/>
  <c r="H52" i="5"/>
  <c r="H48" i="5"/>
  <c r="G80" i="12"/>
  <c r="G60" i="12"/>
  <c r="G64" i="12"/>
  <c r="I12" i="5"/>
  <c r="I8" i="5"/>
  <c r="I4" i="5"/>
  <c r="G25" i="5"/>
  <c r="I25" i="5" s="1"/>
  <c r="H23" i="5"/>
  <c r="H19" i="5"/>
  <c r="G37" i="5"/>
  <c r="H36" i="5"/>
  <c r="I36" i="5" s="1"/>
  <c r="H32" i="5"/>
  <c r="I32" i="5" s="1"/>
  <c r="G52" i="5"/>
  <c r="I52" i="5" s="1"/>
  <c r="G48" i="5"/>
  <c r="H53" i="5"/>
  <c r="H49" i="5"/>
  <c r="R48" i="5"/>
  <c r="H35" i="12"/>
  <c r="I38" i="12"/>
  <c r="H46" i="12"/>
  <c r="I45" i="12"/>
  <c r="I60" i="12"/>
  <c r="I53" i="12"/>
  <c r="J53" i="12" s="1"/>
  <c r="I74" i="12"/>
  <c r="H64" i="12"/>
  <c r="I63" i="12"/>
  <c r="G81" i="12"/>
  <c r="I73" i="12"/>
  <c r="I75" i="12"/>
  <c r="G59" i="12"/>
  <c r="G63" i="12"/>
  <c r="I18" i="12"/>
  <c r="G33" i="12"/>
  <c r="J33" i="12" s="1"/>
  <c r="H31" i="12"/>
  <c r="H38" i="12"/>
  <c r="H36" i="12"/>
  <c r="H34" i="12"/>
  <c r="I31" i="12"/>
  <c r="I39" i="12"/>
  <c r="I37" i="12"/>
  <c r="I35" i="12"/>
  <c r="G46" i="12"/>
  <c r="G54" i="12"/>
  <c r="J54" i="12" s="1"/>
  <c r="G50" i="12"/>
  <c r="H54" i="12"/>
  <c r="H52" i="12"/>
  <c r="H50" i="12"/>
  <c r="J50" i="12" s="1"/>
  <c r="H48" i="12"/>
  <c r="I54" i="12"/>
  <c r="I52" i="12"/>
  <c r="I50" i="12"/>
  <c r="I48" i="12"/>
  <c r="H68" i="12"/>
  <c r="J68" i="12" s="1"/>
  <c r="H60" i="12"/>
  <c r="I68" i="12"/>
  <c r="I66" i="12"/>
  <c r="I64" i="12"/>
  <c r="I62" i="12"/>
  <c r="H73" i="12"/>
  <c r="J45" i="12" s="1"/>
  <c r="H79" i="12"/>
  <c r="H75" i="12"/>
  <c r="I82" i="12"/>
  <c r="I80" i="12"/>
  <c r="I78" i="12"/>
  <c r="I76" i="12"/>
  <c r="G45" i="12"/>
  <c r="G52" i="12"/>
  <c r="H53" i="12"/>
  <c r="H51" i="12"/>
  <c r="H49" i="12"/>
  <c r="H47" i="12"/>
  <c r="J46" i="12"/>
  <c r="H81" i="12"/>
  <c r="H77" i="12"/>
  <c r="J77" i="12" s="1"/>
  <c r="J5" i="12"/>
  <c r="J7" i="12"/>
  <c r="J9" i="12"/>
  <c r="J10" i="12"/>
  <c r="J11" i="12"/>
  <c r="G40" i="12"/>
  <c r="G38" i="12"/>
  <c r="J38" i="12" s="1"/>
  <c r="G36" i="12"/>
  <c r="J36" i="12" s="1"/>
  <c r="G34" i="12"/>
  <c r="J34" i="12" s="1"/>
  <c r="G32" i="12"/>
  <c r="G53" i="12"/>
  <c r="G51" i="12"/>
  <c r="G49" i="12"/>
  <c r="J49" i="12" s="1"/>
  <c r="G47" i="12"/>
  <c r="H66" i="12"/>
  <c r="J66" i="12" s="1"/>
  <c r="H62" i="12"/>
  <c r="H82" i="12"/>
  <c r="H80" i="12"/>
  <c r="H78" i="12"/>
  <c r="J78" i="12" s="1"/>
  <c r="H76" i="12"/>
  <c r="G31" i="12"/>
  <c r="G39" i="12"/>
  <c r="G37" i="12"/>
  <c r="J37" i="12" s="1"/>
  <c r="G35" i="12"/>
  <c r="J64" i="12"/>
  <c r="J60" i="12"/>
  <c r="J61" i="12"/>
  <c r="H59" i="12"/>
  <c r="H67" i="12"/>
  <c r="H65" i="12"/>
  <c r="J65" i="12" s="1"/>
  <c r="H63" i="12"/>
  <c r="J63" i="12" s="1"/>
  <c r="J32" i="12"/>
  <c r="J74" i="12"/>
  <c r="J82" i="12"/>
  <c r="J73" i="12"/>
  <c r="J48" i="12"/>
  <c r="J52" i="12"/>
  <c r="J40" i="12"/>
  <c r="G17" i="12"/>
  <c r="H26" i="12"/>
  <c r="I17" i="12"/>
  <c r="I25" i="12"/>
  <c r="I23" i="12"/>
  <c r="I21" i="12"/>
  <c r="I19" i="12"/>
  <c r="I26" i="12"/>
  <c r="I24" i="12"/>
  <c r="I22" i="12"/>
  <c r="I20" i="12"/>
  <c r="J6" i="12"/>
  <c r="H25" i="12"/>
  <c r="H18" i="12"/>
  <c r="G19" i="12"/>
  <c r="H20" i="12"/>
  <c r="G21" i="12"/>
  <c r="H22" i="12"/>
  <c r="G23" i="12"/>
  <c r="H24" i="12"/>
  <c r="G25" i="12"/>
  <c r="G18" i="12"/>
  <c r="J18" i="12" s="1"/>
  <c r="H19" i="12"/>
  <c r="G20" i="12"/>
  <c r="H21" i="12"/>
  <c r="G22" i="12"/>
  <c r="J22" i="12" s="1"/>
  <c r="H23" i="12"/>
  <c r="G24" i="12"/>
  <c r="R53" i="5"/>
  <c r="R52" i="5"/>
  <c r="R51" i="5"/>
  <c r="R50" i="5"/>
  <c r="R49" i="5"/>
  <c r="R54" i="5"/>
  <c r="R46" i="5"/>
  <c r="I48" i="5"/>
  <c r="I40" i="5"/>
  <c r="J80" i="12" l="1"/>
  <c r="J67" i="12"/>
  <c r="J31" i="12"/>
  <c r="J81" i="12"/>
  <c r="J75" i="12"/>
  <c r="I49" i="5"/>
  <c r="J59" i="12"/>
  <c r="J35" i="12"/>
  <c r="J76" i="12"/>
  <c r="J62" i="12"/>
  <c r="J79" i="12"/>
  <c r="I53" i="5"/>
  <c r="I46" i="5"/>
  <c r="I19" i="5"/>
  <c r="I37" i="5"/>
  <c r="I17" i="5"/>
  <c r="I50" i="5"/>
  <c r="I23" i="5"/>
  <c r="I54" i="5"/>
  <c r="J39" i="12"/>
  <c r="I31" i="5"/>
  <c r="I22" i="5"/>
  <c r="T84" i="12"/>
  <c r="J47" i="12"/>
  <c r="J51" i="12"/>
  <c r="J24" i="12"/>
  <c r="J20" i="12"/>
  <c r="J26" i="12"/>
  <c r="J25" i="12"/>
  <c r="J23" i="12"/>
  <c r="J21" i="12"/>
  <c r="J19" i="12"/>
  <c r="J17" i="12"/>
  <c r="R56" i="5"/>
  <c r="R55" i="5"/>
</calcChain>
</file>

<file path=xl/connections.xml><?xml version="1.0" encoding="utf-8"?>
<connections xmlns="http://schemas.openxmlformats.org/spreadsheetml/2006/main">
  <connection id="1" name="time_series_covid19_confirmed_global3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ime_series_covid19_confirmed_global3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ime_series_covid19_confirmed_global3132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ime_series_covid19_confirmed_global3133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ime_series_covid19_confirmed_global3134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ime_series_covid19_confirmed_global3135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time_series_covid19_confirmed_global3136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time_series_covid19_confirmed_global314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time_series_covid19_confirmed_global314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time_series_covid19_confirmed_global314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time_series_covid19_confirmed_global314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time_series_covid19_confirmed_global314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time_series_covid19_confirmed_global3141112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time_series_covid19_confirmed_global3141113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time_series_covid19_confirmed_global3141113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time_series_covid19_confirmed_global3141113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time_series_covid19_confirmed_global3141113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time_series_covid19_confirmed_global3141113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time_series_covid19_confirmed_global3141113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time_series_covid19_confirmed_global3141113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time_series_covid19_confirmed_global31411131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name="time_series_covid19_confirmed_global314111311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name="time_series_covid19_confirmed_global3141113111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name="time_series_covid19_confirmed_global31411131111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time_series_covid19_confirmed_global314111311111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name="time_series_covid19_confirmed_global32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time_series_covid19_confirmed_global32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time_series_covid19_confirmed_global32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time_series_covid19_confirmed_global32112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time_series_covid19_confirmed_global32112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time_series_covid19_confirmed_global32112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time_series_covid19_confirmed_global3213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3" name="time_series_covid19_confirmed_global32132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4" name="time_series_covid19_confirmed_global32132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5" name="time_series_covid19_confirmed_global32132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6" name="time_series_covid19_confirmed_global323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7" name="time_series_covid19_confirmed_global323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8" name="time_series_covid19_confirmed_global32312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9" name="time_series_covid19_confirmed_global32312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0" name="time_series_covid19_confirmed_global32312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1" name="time_series_covid19_confirmed_global33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time_series_covid19_confirmed_global33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time_series_covid19_confirmed_global33111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4" name="time_series_covid19_confirmed_global33112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5" name="time_series_covid19_confirmed_global33112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6" name="time_series_covid19_confirmed_global33112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7" name="time_series_covid19_confirmed_global331121111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8" name="time_series_covid19_confirmed_global34" type="6" refreshedVersion="4" background="1" saveData="1">
    <textPr codePage="850" sourceFile="G:\Campus\Semester 8\Skripsi\Data Science\Dataset\Ini Dataset FIX ya nis pokoknya FIX!\Bahan\Mapping\COVID-19-master\csse_covid_19_data\csse_covid_19_time_series\time_series_covid19_confirmed_global.csv" decimal="," thousands="." comma="1">
      <textFields count="5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<sst xmlns="http://schemas.openxmlformats.org/spreadsheetml/2006/main" count="337" uniqueCount="40">
  <si>
    <t>Confirmed</t>
  </si>
  <si>
    <t>Deaths</t>
  </si>
  <si>
    <t>Recovered</t>
  </si>
  <si>
    <t>Active</t>
  </si>
  <si>
    <t>Latitude</t>
  </si>
  <si>
    <t>Longitude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</si>
  <si>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</si>
  <si>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</si>
  <si>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</si>
  <si>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</si>
  <si>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</si>
  <si>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</si>
  <si>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</si>
  <si>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</si>
  <si>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</si>
  <si>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</si>
  <si>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Region</t>
  </si>
  <si>
    <t>c1</t>
  </si>
  <si>
    <t>c2</t>
  </si>
  <si>
    <t>Iterasi 1</t>
  </si>
  <si>
    <t>Dist-C1</t>
  </si>
  <si>
    <t>Dist-C2</t>
  </si>
  <si>
    <t>New Cluster</t>
  </si>
  <si>
    <t>Iterasi 2</t>
  </si>
  <si>
    <t>a(i)</t>
  </si>
  <si>
    <t>b(i)</t>
  </si>
  <si>
    <t>S(i)</t>
  </si>
  <si>
    <t>d(i,1)</t>
  </si>
  <si>
    <t>d(i,2)</t>
  </si>
  <si>
    <t>-</t>
  </si>
  <si>
    <t>Jumlah</t>
  </si>
  <si>
    <t>Rata-rata</t>
  </si>
  <si>
    <t>Iterasi 3</t>
  </si>
  <si>
    <t>Iterasi 4</t>
  </si>
  <si>
    <t>c3</t>
  </si>
  <si>
    <t>Dist-C3</t>
  </si>
  <si>
    <t>Iterasi 5</t>
  </si>
  <si>
    <t>Iterasi 6</t>
  </si>
  <si>
    <t>d(i,3)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</si>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</sst>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60">
    <xf numFmtId="0" fontId="0" fillId="0" borderId="0" xfId="0"/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0" fillId="0" borderId="0" xfId="0" applyBorder="1"/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49" fontId="19" fillId="0" borderId="1" xfId="0" applyNumberFormat="1" applyFont="1" applyBorder="1" applyAlignment="1">
      <alignment horizontal="center"/>
    </xf>
    <xf numFmtId="0" fontId="19" fillId="0" borderId="1" xfId="0" applyNumberFormat="1" applyFont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49" fontId="18" fillId="0" borderId="1" xfId="0" applyNumberFormat="1" applyFont="1" applyBorder="1" applyAlignment="1">
      <alignment horizontal="center" vertical="center"/>
    </xf>
    <xf numFmtId="0" fontId="19" fillId="0" borderId="0" xfId="0" applyFont="1"/>
    <xf numFmtId="1" fontId="19" fillId="0" borderId="1" xfId="0" applyNumberFormat="1" applyFont="1" applyBorder="1" applyAlignment="1">
      <alignment horizontal="center"/>
    </xf>
    <xf numFmtId="0" fontId="19" fillId="0" borderId="1" xfId="0" applyNumberFormat="1" applyFont="1" applyBorder="1"/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49" fontId="19" fillId="0" borderId="1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/>
    </xf>
    <xf numFmtId="0" fontId="19" fillId="0" borderId="1" xfId="0" applyNumberFormat="1" applyFont="1" applyBorder="1" applyAlignment="1">
      <alignment horizontal="center"/>
    </xf>
    <xf numFmtId="49" fontId="19" fillId="0" borderId="1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1" fontId="19" fillId="0" borderId="1" xfId="0" applyNumberFormat="1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0" fontId="19" fillId="0" borderId="12" xfId="0" applyNumberFormat="1" applyFont="1" applyBorder="1" applyAlignment="1">
      <alignment horizontal="center" vertical="center"/>
    </xf>
    <xf numFmtId="0" fontId="19" fillId="0" borderId="13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8" fillId="33" borderId="1" xfId="0" applyFont="1" applyFill="1" applyBorder="1" applyAlignment="1">
      <alignment horizontal="center" vertical="center"/>
    </xf>
    <xf numFmtId="49" fontId="18" fillId="34" borderId="1" xfId="0" applyNumberFormat="1" applyFont="1" applyFill="1" applyBorder="1" applyAlignment="1">
      <alignment horizontal="center" vertical="center"/>
    </xf>
    <xf numFmtId="0" fontId="18" fillId="34" borderId="1" xfId="0" applyFont="1" applyFill="1" applyBorder="1" applyAlignment="1">
      <alignment horizontal="center" vertical="center"/>
    </xf>
    <xf numFmtId="0" fontId="19" fillId="34" borderId="1" xfId="0" applyFont="1" applyFill="1" applyBorder="1" applyAlignment="1">
      <alignment horizontal="center"/>
    </xf>
    <xf numFmtId="0" fontId="18" fillId="37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5" borderId="1" xfId="0" applyFont="1" applyFill="1" applyBorder="1" applyAlignment="1">
      <alignment horizontal="center" vertical="center"/>
    </xf>
    <xf numFmtId="0" fontId="19" fillId="38" borderId="1" xfId="0" applyFont="1" applyFill="1" applyBorder="1" applyAlignment="1">
      <alignment horizontal="center" vertical="center"/>
    </xf>
    <xf numFmtId="0" fontId="19" fillId="39" borderId="1" xfId="0" applyFont="1" applyFill="1" applyBorder="1" applyAlignment="1">
      <alignment horizontal="center" vertical="center"/>
    </xf>
    <xf numFmtId="0" fontId="19" fillId="40" borderId="1" xfId="0" applyFont="1" applyFill="1" applyBorder="1" applyAlignment="1">
      <alignment horizontal="center" vertical="center"/>
    </xf>
    <xf numFmtId="0" fontId="19" fillId="38" borderId="1" xfId="0" applyNumberFormat="1" applyFont="1" applyFill="1" applyBorder="1" applyAlignment="1">
      <alignment horizontal="center" vertical="center"/>
    </xf>
    <xf numFmtId="0" fontId="19" fillId="41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19" fillId="36" borderId="1" xfId="0" applyNumberFormat="1" applyFont="1" applyFill="1" applyBorder="1" applyAlignment="1">
      <alignment horizontal="center"/>
    </xf>
    <xf numFmtId="0" fontId="20" fillId="33" borderId="1" xfId="0" applyFont="1" applyFill="1" applyBorder="1" applyAlignment="1">
      <alignment horizontal="center" vertical="center"/>
    </xf>
    <xf numFmtId="0" fontId="21" fillId="36" borderId="1" xfId="0" applyNumberFormat="1" applyFont="1" applyFill="1" applyBorder="1" applyAlignment="1">
      <alignment horizontal="center" vertical="center"/>
    </xf>
    <xf numFmtId="0" fontId="18" fillId="34" borderId="1" xfId="0" applyNumberFormat="1" applyFont="1" applyFill="1" applyBorder="1" applyAlignment="1">
      <alignment horizontal="center" vertical="center"/>
    </xf>
    <xf numFmtId="0" fontId="19" fillId="34" borderId="1" xfId="0" applyNumberFormat="1" applyFont="1" applyFill="1" applyBorder="1" applyAlignment="1">
      <alignment horizontal="center" vertical="center"/>
    </xf>
    <xf numFmtId="0" fontId="21" fillId="39" borderId="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_series_covid19_confirmed_global_34" connectionId="4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ime_series_covid19_confirmed_global_33" connectionId="4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ime_series_covid19_confirmed_global_32" connectionId="4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ime_series_covid19_confirmed_global_31" connectionId="4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ime_series_covid19_confirmed_global_30" connectionId="4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ime_series_covid19_confirmed_global_29" connectionId="4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ime_series_covid19_confirmed_global" connectionId="4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ime_series_covid19_confirmed_global_32" connectionId="3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ime_series_covid19_confirmed_global_35" connectionId="3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ime_series_covid19_confirmed_global_36" connectionId="4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time_series_covid19_confirmed_global_29" connectionId="3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ime_series_covid19_confirmed_global_27" connectionId="3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time_series_covid19_confirmed_global_37" connectionId="3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time_series_covid19_confirmed_global_34" connectionId="30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time_series_covid19_confirmed_global_31" connectionId="3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time_series_covid19_confirmed_global_26" connectionId="36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time_series_covid19_confirmed_global" connectionId="48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time_series_covid19_confirmed_global_28" connectionId="29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time_series_covid19_confirmed_global_33" connectionId="39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time_series_covid19_confirmed_global_30" connectionId="38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time_series_covid19_confirmed_global" connectionId="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time_series_covid19_confirmed_global_28" connectionId="28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time_series_covid19_confirmed_global_27" connectionId="27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time_series_covid19_confirmed_global_26" connectionId="2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.xml"/><Relationship Id="rId13" Type="http://schemas.openxmlformats.org/officeDocument/2006/relationships/queryTable" Target="../queryTables/queryTable19.xml"/><Relationship Id="rId3" Type="http://schemas.openxmlformats.org/officeDocument/2006/relationships/queryTable" Target="../queryTables/queryTable9.xml"/><Relationship Id="rId7" Type="http://schemas.openxmlformats.org/officeDocument/2006/relationships/queryTable" Target="../queryTables/queryTable13.xml"/><Relationship Id="rId12" Type="http://schemas.openxmlformats.org/officeDocument/2006/relationships/queryTable" Target="../queryTables/queryTable18.xml"/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2.xml"/><Relationship Id="rId11" Type="http://schemas.openxmlformats.org/officeDocument/2006/relationships/queryTable" Target="../queryTables/queryTable17.xml"/><Relationship Id="rId5" Type="http://schemas.openxmlformats.org/officeDocument/2006/relationships/queryTable" Target="../queryTables/queryTable11.xml"/><Relationship Id="rId10" Type="http://schemas.openxmlformats.org/officeDocument/2006/relationships/queryTable" Target="../queryTables/queryTable16.xml"/><Relationship Id="rId4" Type="http://schemas.openxmlformats.org/officeDocument/2006/relationships/queryTable" Target="../queryTables/queryTable10.xml"/><Relationship Id="rId9" Type="http://schemas.openxmlformats.org/officeDocument/2006/relationships/queryTable" Target="../queryTables/queryTable15.xml"/><Relationship Id="rId14" Type="http://schemas.openxmlformats.org/officeDocument/2006/relationships/queryTable" Target="../queryTables/queryTable20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2.xml"/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3.bin"/><Relationship Id="rId5" Type="http://schemas.openxmlformats.org/officeDocument/2006/relationships/queryTable" Target="../queryTables/queryTable24.xml"/><Relationship Id="rId4" Type="http://schemas.openxmlformats.org/officeDocument/2006/relationships/queryTable" Target="../queryTables/query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1" sqref="K1"/>
    </sheetView>
  </sheetViews>
  <sheetFormatPr defaultRowHeight="15" x14ac:dyDescent="0.25"/>
  <cols>
    <col min="1" max="1" width="2.85546875" bestFit="1" customWidth="1"/>
    <col min="2" max="2" width="7.140625" style="3" bestFit="1" customWidth="1"/>
    <col min="3" max="3" width="8.28515625" bestFit="1" customWidth="1"/>
    <col min="4" max="4" width="9.85546875" bestFit="1" customWidth="1"/>
    <col min="5" max="6" width="12" bestFit="1" customWidth="1"/>
    <col min="7" max="7" width="12" customWidth="1"/>
    <col min="8" max="8" width="9.7109375" customWidth="1"/>
    <col min="9" max="9" width="8.42578125" style="9" bestFit="1" customWidth="1"/>
    <col min="10" max="10" width="9.28515625" style="9" bestFit="1" customWidth="1"/>
    <col min="11" max="11" width="12" style="44" bestFit="1" customWidth="1"/>
    <col min="12" max="12" width="11.140625" style="44" customWidth="1"/>
    <col min="13" max="16" width="9.140625" style="44"/>
  </cols>
  <sheetData>
    <row r="1" spans="1:16" x14ac:dyDescent="0.25">
      <c r="A1" s="31"/>
      <c r="B1" s="31" t="s">
        <v>19</v>
      </c>
      <c r="C1" s="31"/>
      <c r="D1" s="31"/>
      <c r="E1" s="31"/>
      <c r="F1" s="31"/>
      <c r="G1" s="31"/>
      <c r="H1" s="31"/>
      <c r="I1" s="32"/>
      <c r="J1" s="32"/>
      <c r="K1" s="41"/>
      <c r="L1" s="41"/>
      <c r="M1" s="41"/>
      <c r="N1" s="41"/>
      <c r="O1" s="41"/>
      <c r="P1" s="41"/>
    </row>
    <row r="2" spans="1:16" x14ac:dyDescent="0.25">
      <c r="A2" s="31"/>
      <c r="B2" s="39" t="s">
        <v>16</v>
      </c>
      <c r="C2" s="35" t="s">
        <v>4</v>
      </c>
      <c r="D2" s="35" t="s">
        <v>5</v>
      </c>
      <c r="E2" s="36" t="s">
        <v>20</v>
      </c>
      <c r="F2" s="37" t="s">
        <v>21</v>
      </c>
      <c r="G2" s="36" t="s">
        <v>35</v>
      </c>
      <c r="H2" s="19"/>
      <c r="I2" s="53" t="s">
        <v>22</v>
      </c>
      <c r="J2" s="53"/>
      <c r="K2" s="41"/>
      <c r="L2" s="41"/>
      <c r="M2" s="41"/>
      <c r="N2" s="41"/>
      <c r="O2" s="41"/>
      <c r="P2" s="41"/>
    </row>
    <row r="3" spans="1:16" x14ac:dyDescent="0.25">
      <c r="A3" s="33" t="s">
        <v>17</v>
      </c>
      <c r="B3" s="4" t="s">
        <v>6</v>
      </c>
      <c r="C3" s="10">
        <v>33.939109999999999</v>
      </c>
      <c r="D3" s="10">
        <v>67.709952999999999</v>
      </c>
      <c r="E3" s="15">
        <f>SQRT(($C$3-C3)^2+($D$3-D3)^2)</f>
        <v>0</v>
      </c>
      <c r="F3" s="22">
        <f>SQRT(($C$7-C3)^2+($D$7-D3)^2)</f>
        <v>67.24146926335645</v>
      </c>
      <c r="G3" s="22">
        <f>SQRT(($C$10-C3)^2+($D$10-D3)^2)</f>
        <v>23.485850239944664</v>
      </c>
      <c r="H3" s="38">
        <f>IF(AND(E3&lt;F3,E3&lt;G3),1,IF(AND(F3&lt;E3,F3&lt;G3),2,IF(AND(G3&lt;E3,G3&lt;F3),3)))</f>
        <v>1</v>
      </c>
      <c r="I3" s="24">
        <f>AVERAGE(C3,C11)</f>
        <v>-0.76719500000000096</v>
      </c>
      <c r="J3" s="24">
        <f>AVERAGE(D3,D11)</f>
        <v>108.3611765</v>
      </c>
      <c r="K3" s="40" t="s">
        <v>17</v>
      </c>
      <c r="L3" s="41"/>
      <c r="M3" s="41"/>
      <c r="N3" s="41"/>
      <c r="O3" s="41"/>
      <c r="P3" s="41"/>
    </row>
    <row r="4" spans="1:16" x14ac:dyDescent="0.25">
      <c r="A4" s="34"/>
      <c r="B4" s="19" t="s">
        <v>7</v>
      </c>
      <c r="C4" s="10">
        <v>41.153300000000002</v>
      </c>
      <c r="D4" s="10">
        <v>20.168299999999999</v>
      </c>
      <c r="E4" s="22">
        <f>SQRT(($C$3-C4)^2+($D$3-D4)^2)</f>
        <v>48.085895097507638</v>
      </c>
      <c r="F4" s="22">
        <f t="shared" ref="F4:F12" si="0">SQRT(($C$7-C4)^2+($D$7-D4)^2)</f>
        <v>52.406249697531301</v>
      </c>
      <c r="G4" s="22">
        <f t="shared" ref="G4:G12" si="1">SQRT(($C$10-C4)^2+($D$10-D4)^2)</f>
        <v>24.893521559835609</v>
      </c>
      <c r="H4" s="38">
        <f t="shared" ref="H4:H12" si="2">IF(AND(E4&lt;F4,E4&lt;G4),1,IF(AND(F4&lt;E4,F4&lt;G4),2,IF(AND(G4&lt;E4,G4&lt;F4),3)))</f>
        <v>3</v>
      </c>
      <c r="I4" s="25"/>
      <c r="J4" s="25"/>
      <c r="K4" s="40"/>
      <c r="L4" s="42"/>
      <c r="M4" s="41"/>
      <c r="N4" s="41"/>
      <c r="O4" s="41"/>
      <c r="P4" s="41"/>
    </row>
    <row r="5" spans="1:16" x14ac:dyDescent="0.25">
      <c r="A5" s="34"/>
      <c r="B5" s="4" t="s">
        <v>8</v>
      </c>
      <c r="C5" s="10">
        <v>28.033899999999999</v>
      </c>
      <c r="D5" s="10">
        <v>1.6596</v>
      </c>
      <c r="E5" s="22">
        <f>SQRT(($C$3-C5)^2+($D$3-D5)^2)</f>
        <v>66.31380426855867</v>
      </c>
      <c r="F5" s="22">
        <f t="shared" si="0"/>
        <v>42.454850182870736</v>
      </c>
      <c r="G5" s="22">
        <f t="shared" si="1"/>
        <v>45.017207565552091</v>
      </c>
      <c r="H5" s="38">
        <f t="shared" si="2"/>
        <v>2</v>
      </c>
      <c r="I5" s="25"/>
      <c r="J5" s="25"/>
      <c r="K5" s="40"/>
      <c r="L5" s="42"/>
      <c r="M5" s="41"/>
      <c r="N5" s="41"/>
      <c r="O5" s="41"/>
      <c r="P5" s="41"/>
    </row>
    <row r="6" spans="1:16" x14ac:dyDescent="0.25">
      <c r="A6" s="34"/>
      <c r="B6" s="19" t="s">
        <v>9</v>
      </c>
      <c r="C6" s="10">
        <v>42.506300000000003</v>
      </c>
      <c r="D6" s="10">
        <v>1.5218</v>
      </c>
      <c r="E6" s="22">
        <f>SQRT(($C$3-C6)^2+($D$3-D6)^2)</f>
        <v>66.740305228905783</v>
      </c>
      <c r="F6" s="22">
        <f t="shared" si="0"/>
        <v>56.143101583453692</v>
      </c>
      <c r="G6" s="22">
        <f t="shared" si="1"/>
        <v>43.584596049521906</v>
      </c>
      <c r="H6" s="38">
        <f t="shared" si="2"/>
        <v>3</v>
      </c>
      <c r="I6" s="25"/>
      <c r="J6" s="25"/>
      <c r="K6" s="40"/>
      <c r="L6" s="41"/>
      <c r="M6" s="41"/>
      <c r="N6" s="41"/>
      <c r="O6" s="41"/>
      <c r="P6" s="41"/>
    </row>
    <row r="7" spans="1:16" x14ac:dyDescent="0.25">
      <c r="A7" s="34" t="s">
        <v>18</v>
      </c>
      <c r="B7" s="4" t="s">
        <v>10</v>
      </c>
      <c r="C7" s="10">
        <v>-11.2027</v>
      </c>
      <c r="D7" s="10">
        <v>17.873899999999999</v>
      </c>
      <c r="E7" s="22">
        <f t="shared" ref="E7:E12" si="3">SQRT(($C$3-C7)^2+($D$3-D7)^2)</f>
        <v>67.24146926335645</v>
      </c>
      <c r="F7" s="22">
        <f t="shared" si="0"/>
        <v>0</v>
      </c>
      <c r="G7" s="22">
        <f t="shared" si="1"/>
        <v>58.023242495830928</v>
      </c>
      <c r="H7" s="38">
        <f t="shared" si="2"/>
        <v>2</v>
      </c>
      <c r="I7" s="28">
        <f>AVERAGE(C5,C7:C9)</f>
        <v>-1.1310250000000011</v>
      </c>
      <c r="J7" s="28">
        <f>AVERAGE(D5,D7:D9)</f>
        <v>-26.469900000000003</v>
      </c>
      <c r="K7" s="40" t="s">
        <v>18</v>
      </c>
      <c r="L7" s="41"/>
      <c r="M7" s="41"/>
      <c r="N7" s="41"/>
      <c r="O7" s="41"/>
      <c r="P7" s="41"/>
    </row>
    <row r="8" spans="1:16" x14ac:dyDescent="0.25">
      <c r="A8" s="31"/>
      <c r="B8" s="19" t="s">
        <v>11</v>
      </c>
      <c r="C8" s="10">
        <v>17.0608</v>
      </c>
      <c r="D8" s="10">
        <v>-61.796399999999998</v>
      </c>
      <c r="E8" s="22">
        <f t="shared" si="3"/>
        <v>130.60158044915346</v>
      </c>
      <c r="F8" s="22">
        <f t="shared" si="0"/>
        <v>84.535094099078165</v>
      </c>
      <c r="G8" s="22">
        <f t="shared" si="1"/>
        <v>109.28409594286809</v>
      </c>
      <c r="H8" s="38">
        <f t="shared" si="2"/>
        <v>2</v>
      </c>
      <c r="I8" s="29"/>
      <c r="J8" s="29"/>
      <c r="K8" s="40"/>
      <c r="L8" s="41"/>
      <c r="M8" s="41"/>
      <c r="N8" s="41"/>
      <c r="O8" s="41"/>
      <c r="P8" s="41"/>
    </row>
    <row r="9" spans="1:16" x14ac:dyDescent="0.25">
      <c r="A9" s="31"/>
      <c r="B9" s="4" t="s">
        <v>12</v>
      </c>
      <c r="C9" s="10">
        <v>-38.4161</v>
      </c>
      <c r="D9" s="10">
        <v>-63.616700000000002</v>
      </c>
      <c r="E9" s="22">
        <f t="shared" si="3"/>
        <v>149.93987529115299</v>
      </c>
      <c r="F9" s="22">
        <f t="shared" si="0"/>
        <v>85.914416880521273</v>
      </c>
      <c r="G9" s="22">
        <f t="shared" si="1"/>
        <v>134.0366140763411</v>
      </c>
      <c r="H9" s="38">
        <f t="shared" si="2"/>
        <v>2</v>
      </c>
      <c r="I9" s="30"/>
      <c r="J9" s="30"/>
      <c r="K9" s="40"/>
      <c r="L9" s="41"/>
      <c r="M9" s="41"/>
      <c r="N9" s="41"/>
      <c r="O9" s="41"/>
      <c r="P9" s="41"/>
    </row>
    <row r="10" spans="1:16" x14ac:dyDescent="0.25">
      <c r="A10" s="31" t="s">
        <v>34</v>
      </c>
      <c r="B10" s="19" t="s">
        <v>13</v>
      </c>
      <c r="C10" s="10">
        <v>40.069099999999999</v>
      </c>
      <c r="D10" s="10">
        <v>45.038200000000003</v>
      </c>
      <c r="E10" s="22">
        <f t="shared" si="3"/>
        <v>23.485850239944664</v>
      </c>
      <c r="F10" s="22">
        <f t="shared" si="0"/>
        <v>58.023242495830928</v>
      </c>
      <c r="G10" s="22">
        <f t="shared" si="1"/>
        <v>0</v>
      </c>
      <c r="H10" s="38">
        <f t="shared" si="2"/>
        <v>3</v>
      </c>
      <c r="I10" s="28">
        <f>AVERAGE(C4,C6,C10,C12)</f>
        <v>42.811225</v>
      </c>
      <c r="J10" s="28">
        <f>AVERAGE(D4,D6,D10,D12)</f>
        <v>20.319600000000001</v>
      </c>
      <c r="K10" s="40" t="s">
        <v>39</v>
      </c>
      <c r="L10" s="41"/>
      <c r="M10" s="41"/>
      <c r="N10" s="41"/>
      <c r="O10" s="41"/>
      <c r="P10" s="41"/>
    </row>
    <row r="11" spans="1:16" x14ac:dyDescent="0.25">
      <c r="A11" s="31"/>
      <c r="B11" s="4" t="s">
        <v>14</v>
      </c>
      <c r="C11" s="10">
        <v>-35.473500000000001</v>
      </c>
      <c r="D11" s="10">
        <v>149.01240000000001</v>
      </c>
      <c r="E11" s="22">
        <f t="shared" si="3"/>
        <v>106.90275167272316</v>
      </c>
      <c r="F11" s="22">
        <f t="shared" si="0"/>
        <v>133.36557994808857</v>
      </c>
      <c r="G11" s="22">
        <f t="shared" si="1"/>
        <v>128.51972097853309</v>
      </c>
      <c r="H11" s="38">
        <f t="shared" si="2"/>
        <v>1</v>
      </c>
      <c r="I11" s="29"/>
      <c r="J11" s="29"/>
      <c r="K11" s="41"/>
      <c r="L11" s="41"/>
      <c r="M11" s="41"/>
      <c r="N11" s="41"/>
      <c r="O11" s="41"/>
      <c r="P11" s="41"/>
    </row>
    <row r="12" spans="1:16" x14ac:dyDescent="0.25">
      <c r="A12" s="31"/>
      <c r="B12" s="19" t="s">
        <v>15</v>
      </c>
      <c r="C12" s="10">
        <v>47.516199999999998</v>
      </c>
      <c r="D12" s="10">
        <v>14.5501</v>
      </c>
      <c r="E12" s="22">
        <f t="shared" si="3"/>
        <v>54.8662678141106</v>
      </c>
      <c r="F12" s="22">
        <f t="shared" si="0"/>
        <v>58.812897086013372</v>
      </c>
      <c r="G12" s="22">
        <f t="shared" si="1"/>
        <v>31.384447422569036</v>
      </c>
      <c r="H12" s="38">
        <f t="shared" si="2"/>
        <v>3</v>
      </c>
      <c r="I12" s="30"/>
      <c r="J12" s="30"/>
      <c r="K12" s="41"/>
      <c r="L12" s="41"/>
      <c r="M12" s="41"/>
      <c r="N12" s="41"/>
      <c r="O12" s="41"/>
      <c r="P12" s="41"/>
    </row>
    <row r="13" spans="1:16" x14ac:dyDescent="0.25">
      <c r="A13" s="31"/>
      <c r="B13" s="31"/>
      <c r="C13" s="31"/>
      <c r="D13" s="31"/>
      <c r="E13" s="31"/>
      <c r="F13" s="31"/>
      <c r="G13" s="31"/>
      <c r="H13" s="31"/>
      <c r="I13" s="32"/>
      <c r="J13" s="32"/>
      <c r="K13" s="41"/>
      <c r="L13" s="41"/>
      <c r="M13" s="41"/>
      <c r="N13" s="41"/>
      <c r="O13" s="41"/>
      <c r="P13" s="41"/>
    </row>
    <row r="14" spans="1:16" x14ac:dyDescent="0.25">
      <c r="A14" s="31"/>
      <c r="B14" s="31"/>
      <c r="C14" s="31"/>
      <c r="D14" s="31"/>
      <c r="E14" s="31"/>
      <c r="F14" s="31"/>
      <c r="G14" s="31"/>
      <c r="H14" s="31"/>
      <c r="I14" s="32"/>
      <c r="J14" s="32"/>
      <c r="K14" s="41"/>
      <c r="L14" s="41"/>
      <c r="M14" s="41"/>
      <c r="N14" s="41"/>
      <c r="O14" s="41"/>
      <c r="P14" s="41"/>
    </row>
    <row r="15" spans="1:16" x14ac:dyDescent="0.25">
      <c r="A15" s="31"/>
      <c r="B15" s="31" t="s">
        <v>23</v>
      </c>
      <c r="C15" s="31"/>
      <c r="D15" s="31"/>
      <c r="E15" s="31"/>
      <c r="F15" s="31"/>
      <c r="G15" s="31"/>
      <c r="H15" s="31"/>
      <c r="I15" s="32"/>
      <c r="J15" s="32"/>
      <c r="K15" s="41"/>
      <c r="L15" s="41"/>
      <c r="M15" s="41"/>
      <c r="N15" s="41"/>
      <c r="O15" s="41"/>
      <c r="P15" s="41"/>
    </row>
    <row r="16" spans="1:16" x14ac:dyDescent="0.25">
      <c r="A16" s="31"/>
      <c r="B16" s="39" t="s">
        <v>16</v>
      </c>
      <c r="C16" s="35" t="s">
        <v>4</v>
      </c>
      <c r="D16" s="35" t="s">
        <v>5</v>
      </c>
      <c r="E16" s="36" t="s">
        <v>20</v>
      </c>
      <c r="F16" s="37" t="s">
        <v>21</v>
      </c>
      <c r="G16" s="36" t="s">
        <v>35</v>
      </c>
      <c r="H16" s="19"/>
      <c r="I16" s="53" t="s">
        <v>22</v>
      </c>
      <c r="J16" s="53"/>
      <c r="K16" s="41"/>
      <c r="L16" s="41"/>
      <c r="M16" s="41"/>
      <c r="N16" s="41"/>
      <c r="O16" s="41"/>
      <c r="P16" s="41"/>
    </row>
    <row r="17" spans="1:16" x14ac:dyDescent="0.25">
      <c r="A17" s="33"/>
      <c r="B17" s="4" t="s">
        <v>6</v>
      </c>
      <c r="C17" s="10">
        <v>33.939109999999999</v>
      </c>
      <c r="D17" s="10">
        <v>67.709952999999999</v>
      </c>
      <c r="E17" s="22">
        <f>SQRT(($I$3-C17)^2+($J$3-D17)^2)</f>
        <v>53.451375836361564</v>
      </c>
      <c r="F17" s="22">
        <f>SQRT(($I$7-C17)^2+($J$7-D17)^2)</f>
        <v>100.49755758236036</v>
      </c>
      <c r="G17" s="22">
        <f t="shared" ref="G17:G26" si="4">SQRT(($I$10-C17)^2+($J$10-D17)^2)</f>
        <v>48.213690815346567</v>
      </c>
      <c r="H17" s="38">
        <f>IF(AND(E17&lt;F17,E17&lt;G17),1,IF(AND(F17&lt;E17,F17&lt;G17),2,IF(AND(G17&lt;E17,G17&lt;F17),3)))</f>
        <v>3</v>
      </c>
      <c r="I17" s="24">
        <f>AVERAGE(C25)</f>
        <v>-35.473500000000001</v>
      </c>
      <c r="J17" s="24">
        <f>AVERAGE(D25)</f>
        <v>149.01240000000001</v>
      </c>
      <c r="K17" s="41"/>
      <c r="L17" s="41"/>
      <c r="M17" s="41"/>
      <c r="N17" s="41"/>
      <c r="O17" s="41"/>
      <c r="P17" s="41"/>
    </row>
    <row r="18" spans="1:16" x14ac:dyDescent="0.25">
      <c r="A18" s="34"/>
      <c r="B18" s="19" t="s">
        <v>7</v>
      </c>
      <c r="C18" s="10">
        <v>41.153300000000002</v>
      </c>
      <c r="D18" s="10">
        <v>20.168299999999999</v>
      </c>
      <c r="E18" s="22">
        <f t="shared" ref="E18:E26" si="5">SQRT(($I$3-C18)^2+($J$3-D18)^2)</f>
        <v>97.648918920740115</v>
      </c>
      <c r="F18" s="22">
        <f t="shared" ref="F18:F26" si="6">SQRT(($I$7-C18)^2+($J$7-D18)^2)</f>
        <v>62.953044723393845</v>
      </c>
      <c r="G18" s="22">
        <f t="shared" si="4"/>
        <v>1.6648144027563543</v>
      </c>
      <c r="H18" s="38">
        <f t="shared" ref="H18:H26" si="7">IF(AND(E18&lt;F18,E18&lt;G18),1,IF(AND(F18&lt;E18,F18&lt;G18),2,IF(AND(G18&lt;E18,G18&lt;F18),3)))</f>
        <v>3</v>
      </c>
      <c r="I18" s="25"/>
      <c r="J18" s="25"/>
      <c r="K18" s="41"/>
      <c r="L18" s="41"/>
      <c r="M18" s="41"/>
      <c r="N18" s="41"/>
      <c r="O18" s="41"/>
      <c r="P18" s="41"/>
    </row>
    <row r="19" spans="1:16" x14ac:dyDescent="0.25">
      <c r="A19" s="34"/>
      <c r="B19" s="4" t="s">
        <v>8</v>
      </c>
      <c r="C19" s="10">
        <v>28.033899999999999</v>
      </c>
      <c r="D19" s="10">
        <v>1.6596</v>
      </c>
      <c r="E19" s="22">
        <f t="shared" si="5"/>
        <v>110.52026737564643</v>
      </c>
      <c r="F19" s="22">
        <f t="shared" si="6"/>
        <v>40.519891664534654</v>
      </c>
      <c r="G19" s="22">
        <f t="shared" si="4"/>
        <v>23.802624522426619</v>
      </c>
      <c r="H19" s="38">
        <f t="shared" si="7"/>
        <v>3</v>
      </c>
      <c r="I19" s="25"/>
      <c r="J19" s="25"/>
      <c r="K19" s="41"/>
      <c r="L19" s="41"/>
      <c r="M19" s="41"/>
      <c r="N19" s="41"/>
      <c r="O19" s="41"/>
      <c r="P19" s="41"/>
    </row>
    <row r="20" spans="1:16" x14ac:dyDescent="0.25">
      <c r="A20" s="34"/>
      <c r="B20" s="19" t="s">
        <v>9</v>
      </c>
      <c r="C20" s="10">
        <v>42.506300000000003</v>
      </c>
      <c r="D20" s="10">
        <v>1.5218</v>
      </c>
      <c r="E20" s="22">
        <f t="shared" si="5"/>
        <v>115.27032463051268</v>
      </c>
      <c r="F20" s="22">
        <f t="shared" si="6"/>
        <v>51.84352806325613</v>
      </c>
      <c r="G20" s="22">
        <f t="shared" si="4"/>
        <v>18.80027297928477</v>
      </c>
      <c r="H20" s="38">
        <f t="shared" si="7"/>
        <v>3</v>
      </c>
      <c r="I20" s="25"/>
      <c r="J20" s="25"/>
      <c r="K20" s="41"/>
      <c r="L20" s="41"/>
      <c r="M20" s="41"/>
      <c r="N20" s="41"/>
      <c r="O20" s="41"/>
      <c r="P20" s="41"/>
    </row>
    <row r="21" spans="1:16" x14ac:dyDescent="0.25">
      <c r="A21" s="34"/>
      <c r="B21" s="4" t="s">
        <v>10</v>
      </c>
      <c r="C21" s="10">
        <v>-11.2027</v>
      </c>
      <c r="D21" s="10">
        <v>17.873899999999999</v>
      </c>
      <c r="E21" s="22">
        <f t="shared" si="5"/>
        <v>91.087029663901532</v>
      </c>
      <c r="F21" s="22">
        <f t="shared" si="6"/>
        <v>45.473192495641044</v>
      </c>
      <c r="G21" s="22">
        <f t="shared" si="4"/>
        <v>54.069266153662795</v>
      </c>
      <c r="H21" s="38">
        <f t="shared" si="7"/>
        <v>2</v>
      </c>
      <c r="I21" s="28">
        <f>AVERAGE(C21:C23)</f>
        <v>-10.852666666666666</v>
      </c>
      <c r="J21" s="28">
        <f>AVERAGE(D21:D23)</f>
        <v>-35.846399999999996</v>
      </c>
      <c r="K21" s="41"/>
      <c r="L21" s="41"/>
      <c r="M21" s="41"/>
      <c r="N21" s="41"/>
      <c r="O21" s="41"/>
      <c r="P21" s="41"/>
    </row>
    <row r="22" spans="1:16" x14ac:dyDescent="0.25">
      <c r="A22" s="31"/>
      <c r="B22" s="19" t="s">
        <v>11</v>
      </c>
      <c r="C22" s="10">
        <v>17.0608</v>
      </c>
      <c r="D22" s="10">
        <v>-61.796399999999998</v>
      </c>
      <c r="E22" s="22">
        <f t="shared" si="5"/>
        <v>171.08897757036652</v>
      </c>
      <c r="F22" s="22">
        <f t="shared" si="6"/>
        <v>39.735426247627252</v>
      </c>
      <c r="G22" s="22">
        <f t="shared" si="4"/>
        <v>86.058827807962999</v>
      </c>
      <c r="H22" s="38">
        <f t="shared" si="7"/>
        <v>2</v>
      </c>
      <c r="I22" s="29"/>
      <c r="J22" s="29"/>
      <c r="K22" s="41"/>
      <c r="L22" s="41"/>
      <c r="M22" s="41"/>
      <c r="N22" s="41"/>
      <c r="O22" s="41"/>
      <c r="P22" s="41"/>
    </row>
    <row r="23" spans="1:16" x14ac:dyDescent="0.25">
      <c r="A23" s="31"/>
      <c r="B23" s="4" t="s">
        <v>12</v>
      </c>
      <c r="C23" s="10">
        <v>-38.4161</v>
      </c>
      <c r="D23" s="10">
        <v>-63.616700000000002</v>
      </c>
      <c r="E23" s="22">
        <f t="shared" si="5"/>
        <v>176.05064627302076</v>
      </c>
      <c r="F23" s="22">
        <f t="shared" si="6"/>
        <v>52.631374369245044</v>
      </c>
      <c r="G23" s="22">
        <f t="shared" si="4"/>
        <v>116.80402726081677</v>
      </c>
      <c r="H23" s="38">
        <f t="shared" si="7"/>
        <v>2</v>
      </c>
      <c r="I23" s="30"/>
      <c r="J23" s="30"/>
      <c r="K23" s="41"/>
      <c r="L23" s="41"/>
      <c r="M23" s="41"/>
      <c r="N23" s="41"/>
      <c r="O23" s="41"/>
      <c r="P23" s="41"/>
    </row>
    <row r="24" spans="1:16" x14ac:dyDescent="0.25">
      <c r="A24" s="31"/>
      <c r="B24" s="19" t="s">
        <v>13</v>
      </c>
      <c r="C24" s="10">
        <v>40.069099999999999</v>
      </c>
      <c r="D24" s="10">
        <v>45.038200000000003</v>
      </c>
      <c r="E24" s="22">
        <f t="shared" si="5"/>
        <v>75.348539084355025</v>
      </c>
      <c r="F24" s="22">
        <f t="shared" si="6"/>
        <v>82.5279265801924</v>
      </c>
      <c r="G24" s="22">
        <f t="shared" si="4"/>
        <v>24.870231914391653</v>
      </c>
      <c r="H24" s="38">
        <f t="shared" si="7"/>
        <v>3</v>
      </c>
      <c r="I24" s="28">
        <f>AVERAGE(C17:C20,C24,C26)</f>
        <v>38.869651666666662</v>
      </c>
      <c r="J24" s="28">
        <f>AVERAGE(D17:D20,D24,D26)</f>
        <v>25.107992166666662</v>
      </c>
      <c r="K24" s="41"/>
      <c r="L24" s="41"/>
      <c r="M24" s="41"/>
      <c r="N24" s="41"/>
      <c r="O24" s="41"/>
      <c r="P24" s="41"/>
    </row>
    <row r="25" spans="1:16" x14ac:dyDescent="0.25">
      <c r="A25" s="31"/>
      <c r="B25" s="4" t="s">
        <v>14</v>
      </c>
      <c r="C25" s="10">
        <v>-35.473500000000001</v>
      </c>
      <c r="D25" s="10">
        <v>149.01240000000001</v>
      </c>
      <c r="E25" s="22">
        <f t="shared" si="5"/>
        <v>53.451375836361578</v>
      </c>
      <c r="F25" s="22">
        <f t="shared" si="6"/>
        <v>178.81119428720234</v>
      </c>
      <c r="G25" s="22">
        <f t="shared" si="4"/>
        <v>150.63311369073412</v>
      </c>
      <c r="H25" s="38">
        <f t="shared" si="7"/>
        <v>1</v>
      </c>
      <c r="I25" s="29"/>
      <c r="J25" s="29"/>
      <c r="K25" s="41"/>
      <c r="L25" s="41"/>
      <c r="M25" s="41"/>
      <c r="N25" s="41"/>
      <c r="O25" s="41"/>
      <c r="P25" s="41"/>
    </row>
    <row r="26" spans="1:16" x14ac:dyDescent="0.25">
      <c r="A26" s="31"/>
      <c r="B26" s="19" t="s">
        <v>15</v>
      </c>
      <c r="C26" s="10">
        <v>47.516199999999998</v>
      </c>
      <c r="D26" s="10">
        <v>14.5501</v>
      </c>
      <c r="E26" s="22">
        <f t="shared" si="5"/>
        <v>105.50736612585339</v>
      </c>
      <c r="F26" s="22">
        <f t="shared" si="6"/>
        <v>63.633268815931693</v>
      </c>
      <c r="G26" s="22">
        <f t="shared" si="4"/>
        <v>7.4447243065559512</v>
      </c>
      <c r="H26" s="38">
        <f t="shared" si="7"/>
        <v>3</v>
      </c>
      <c r="I26" s="30"/>
      <c r="J26" s="30"/>
      <c r="K26" s="41"/>
      <c r="L26" s="41"/>
      <c r="M26" s="41"/>
      <c r="N26" s="41"/>
      <c r="O26" s="41"/>
      <c r="P26" s="41"/>
    </row>
    <row r="27" spans="1:16" x14ac:dyDescent="0.25">
      <c r="A27" s="31"/>
      <c r="B27" s="31"/>
      <c r="C27" s="31"/>
      <c r="D27" s="31"/>
      <c r="E27" s="31"/>
      <c r="F27" s="31"/>
      <c r="G27" s="31"/>
      <c r="H27" s="31"/>
      <c r="I27" s="32"/>
      <c r="J27" s="32"/>
      <c r="K27" s="41"/>
      <c r="L27" s="41"/>
      <c r="M27" s="41"/>
      <c r="N27" s="41"/>
      <c r="O27" s="41"/>
      <c r="P27" s="41"/>
    </row>
    <row r="28" spans="1:16" x14ac:dyDescent="0.25">
      <c r="A28" s="31"/>
      <c r="B28" s="31"/>
      <c r="C28" s="31"/>
      <c r="D28" s="31"/>
      <c r="E28" s="31"/>
      <c r="F28" s="31"/>
      <c r="G28" s="31"/>
      <c r="H28" s="31"/>
      <c r="I28" s="32"/>
      <c r="J28" s="32"/>
      <c r="K28" s="41"/>
      <c r="L28" s="41"/>
      <c r="M28" s="41"/>
      <c r="N28" s="41"/>
      <c r="O28" s="41"/>
      <c r="P28" s="41"/>
    </row>
    <row r="29" spans="1:16" x14ac:dyDescent="0.25">
      <c r="A29" s="31"/>
      <c r="B29" s="31" t="s">
        <v>32</v>
      </c>
      <c r="C29" s="31"/>
      <c r="D29" s="31"/>
      <c r="E29" s="31"/>
      <c r="F29" s="31"/>
      <c r="G29" s="31"/>
      <c r="H29" s="31"/>
      <c r="I29" s="32"/>
      <c r="J29" s="32"/>
      <c r="K29" s="41"/>
      <c r="L29" s="41"/>
      <c r="M29" s="41"/>
      <c r="N29" s="41"/>
      <c r="O29" s="41"/>
      <c r="P29" s="41"/>
    </row>
    <row r="30" spans="1:16" x14ac:dyDescent="0.25">
      <c r="A30" s="31"/>
      <c r="B30" s="39" t="s">
        <v>16</v>
      </c>
      <c r="C30" s="35" t="s">
        <v>4</v>
      </c>
      <c r="D30" s="35" t="s">
        <v>5</v>
      </c>
      <c r="E30" s="36" t="s">
        <v>20</v>
      </c>
      <c r="F30" s="37" t="s">
        <v>21</v>
      </c>
      <c r="G30" s="36" t="s">
        <v>35</v>
      </c>
      <c r="H30" s="19"/>
      <c r="I30" s="53" t="s">
        <v>22</v>
      </c>
      <c r="J30" s="53"/>
      <c r="K30" s="41"/>
      <c r="L30" s="41"/>
      <c r="M30" s="41"/>
      <c r="N30" s="41"/>
      <c r="O30" s="41"/>
      <c r="P30" s="41"/>
    </row>
    <row r="31" spans="1:16" x14ac:dyDescent="0.25">
      <c r="A31" s="31"/>
      <c r="B31" s="4" t="s">
        <v>6</v>
      </c>
      <c r="C31" s="10">
        <v>33.939109999999999</v>
      </c>
      <c r="D31" s="10">
        <v>67.709952999999999</v>
      </c>
      <c r="E31" s="22">
        <f>SQRT(($I$17-C31)^2+($J$17-D31)^2)</f>
        <v>106.90275167272316</v>
      </c>
      <c r="F31" s="22">
        <f>SQRT(($I$21-C31)^2+($J$21-D31)^2)</f>
        <v>112.82828326096765</v>
      </c>
      <c r="G31" s="22">
        <f>SQRT(($I$24-C31)^2+($J$24-D31)^2)</f>
        <v>42.886330082808485</v>
      </c>
      <c r="H31" s="38">
        <f>IF(AND(E31&lt;F31,E31&lt;G31),1,IF(AND(F31&lt;E31,F31&lt;G31),2,IF(AND(G31&lt;E31,G31&lt;F31),3)))</f>
        <v>3</v>
      </c>
      <c r="I31" s="24">
        <f>AVERAGE(C39)</f>
        <v>-35.473500000000001</v>
      </c>
      <c r="J31" s="24">
        <f>AVERAGE(D39)</f>
        <v>149.01240000000001</v>
      </c>
      <c r="K31" s="41"/>
      <c r="L31" s="41"/>
      <c r="M31" s="41"/>
      <c r="N31" s="41"/>
      <c r="O31" s="41"/>
      <c r="P31" s="41"/>
    </row>
    <row r="32" spans="1:16" x14ac:dyDescent="0.25">
      <c r="A32" s="31"/>
      <c r="B32" s="19" t="s">
        <v>7</v>
      </c>
      <c r="C32" s="10">
        <v>41.153300000000002</v>
      </c>
      <c r="D32" s="10">
        <v>20.168299999999999</v>
      </c>
      <c r="E32" s="22">
        <f t="shared" ref="E32:E40" si="8">SQRT(($I$17-C32)^2+($J$17-D32)^2)</f>
        <v>149.90820051968473</v>
      </c>
      <c r="F32" s="22">
        <f t="shared" ref="F32:F40" si="9">SQRT(($I$21-C32)^2+($J$21-D32)^2)</f>
        <v>76.434724994759051</v>
      </c>
      <c r="G32" s="22">
        <f t="shared" ref="G32:G40" si="10">SQRT(($I$24-C32)^2+($J$24-D32)^2)</f>
        <v>5.4420224560143202</v>
      </c>
      <c r="H32" s="38">
        <f t="shared" ref="H32:H40" si="11">IF(AND(E32&lt;F32,E32&lt;G32),1,IF(AND(F32&lt;E32,F32&lt;G32),2,IF(AND(G32&lt;E32,G32&lt;F32),3)))</f>
        <v>3</v>
      </c>
      <c r="I32" s="25"/>
      <c r="J32" s="25"/>
      <c r="K32" s="41"/>
      <c r="L32" s="41"/>
      <c r="M32" s="41"/>
      <c r="N32" s="41"/>
      <c r="O32" s="41"/>
      <c r="P32" s="41"/>
    </row>
    <row r="33" spans="1:16" x14ac:dyDescent="0.25">
      <c r="A33" s="31"/>
      <c r="B33" s="4" t="s">
        <v>8</v>
      </c>
      <c r="C33" s="10">
        <v>28.033899999999999</v>
      </c>
      <c r="D33" s="10">
        <v>1.6596</v>
      </c>
      <c r="E33" s="22">
        <f t="shared" si="8"/>
        <v>160.45571826083358</v>
      </c>
      <c r="F33" s="22">
        <f t="shared" si="9"/>
        <v>54.026522219379537</v>
      </c>
      <c r="G33" s="22">
        <f t="shared" si="10"/>
        <v>25.831000936538711</v>
      </c>
      <c r="H33" s="38">
        <f t="shared" si="11"/>
        <v>3</v>
      </c>
      <c r="I33" s="25"/>
      <c r="J33" s="25"/>
      <c r="K33" s="41"/>
      <c r="L33" s="41"/>
      <c r="M33" s="41"/>
      <c r="N33" s="41"/>
      <c r="O33" s="41"/>
      <c r="P33" s="41"/>
    </row>
    <row r="34" spans="1:16" x14ac:dyDescent="0.25">
      <c r="A34" s="31"/>
      <c r="B34" s="19" t="s">
        <v>9</v>
      </c>
      <c r="C34" s="10">
        <v>42.506300000000003</v>
      </c>
      <c r="D34" s="10">
        <v>1.5218</v>
      </c>
      <c r="E34" s="22">
        <f t="shared" si="8"/>
        <v>166.83622597145981</v>
      </c>
      <c r="F34" s="22">
        <f t="shared" si="9"/>
        <v>65.142625791216346</v>
      </c>
      <c r="G34" s="22">
        <f t="shared" si="10"/>
        <v>23.864904609557193</v>
      </c>
      <c r="H34" s="38">
        <f t="shared" si="11"/>
        <v>3</v>
      </c>
      <c r="I34" s="25"/>
      <c r="J34" s="25"/>
      <c r="K34" s="41"/>
      <c r="L34" s="41"/>
      <c r="M34" s="41"/>
      <c r="N34" s="41"/>
      <c r="O34" s="41"/>
      <c r="P34" s="41"/>
    </row>
    <row r="35" spans="1:16" x14ac:dyDescent="0.25">
      <c r="A35" s="31"/>
      <c r="B35" s="4" t="s">
        <v>10</v>
      </c>
      <c r="C35" s="10">
        <v>-11.2027</v>
      </c>
      <c r="D35" s="10">
        <v>17.873899999999999</v>
      </c>
      <c r="E35" s="22">
        <f t="shared" si="8"/>
        <v>133.36557994808857</v>
      </c>
      <c r="F35" s="22">
        <f t="shared" si="9"/>
        <v>53.721440369971873</v>
      </c>
      <c r="G35" s="22">
        <f t="shared" si="10"/>
        <v>50.592217691124823</v>
      </c>
      <c r="H35" s="38">
        <f t="shared" si="11"/>
        <v>3</v>
      </c>
      <c r="I35" s="28">
        <f>AVERAGE(C36:C37)</f>
        <v>-10.67765</v>
      </c>
      <c r="J35" s="28">
        <f>AVERAGE(D36:D37)</f>
        <v>-62.70655</v>
      </c>
      <c r="K35" s="41"/>
      <c r="L35" s="41"/>
      <c r="M35" s="41"/>
      <c r="N35" s="41"/>
      <c r="O35" s="41"/>
      <c r="P35" s="41"/>
    </row>
    <row r="36" spans="1:16" x14ac:dyDescent="0.25">
      <c r="A36" s="31"/>
      <c r="B36" s="19" t="s">
        <v>11</v>
      </c>
      <c r="C36" s="10">
        <v>17.0608</v>
      </c>
      <c r="D36" s="10">
        <v>-61.796399999999998</v>
      </c>
      <c r="E36" s="22">
        <f t="shared" si="8"/>
        <v>217.25607663292183</v>
      </c>
      <c r="F36" s="22">
        <f t="shared" si="9"/>
        <v>38.112519220737838</v>
      </c>
      <c r="G36" s="22">
        <f t="shared" si="10"/>
        <v>89.599103728086831</v>
      </c>
      <c r="H36" s="38">
        <f t="shared" si="11"/>
        <v>2</v>
      </c>
      <c r="I36" s="29"/>
      <c r="J36" s="29"/>
      <c r="K36" s="41"/>
      <c r="L36" s="41"/>
      <c r="M36" s="41"/>
      <c r="N36" s="41"/>
      <c r="O36" s="41"/>
      <c r="P36" s="41"/>
    </row>
    <row r="37" spans="1:16" x14ac:dyDescent="0.25">
      <c r="A37" s="31"/>
      <c r="B37" s="4" t="s">
        <v>12</v>
      </c>
      <c r="C37" s="10">
        <v>-38.4161</v>
      </c>
      <c r="D37" s="10">
        <v>-63.616700000000002</v>
      </c>
      <c r="E37" s="22">
        <f t="shared" si="8"/>
        <v>212.64946052499172</v>
      </c>
      <c r="F37" s="22">
        <f t="shared" si="9"/>
        <v>39.127131497352472</v>
      </c>
      <c r="G37" s="22">
        <f t="shared" si="10"/>
        <v>117.66545121976728</v>
      </c>
      <c r="H37" s="38">
        <f t="shared" si="11"/>
        <v>2</v>
      </c>
      <c r="I37" s="30"/>
      <c r="J37" s="30"/>
      <c r="K37" s="41"/>
      <c r="L37" s="41"/>
      <c r="M37" s="41"/>
      <c r="N37" s="41"/>
      <c r="O37" s="41"/>
      <c r="P37" s="41"/>
    </row>
    <row r="38" spans="1:16" x14ac:dyDescent="0.25">
      <c r="A38" s="31"/>
      <c r="B38" s="19" t="s">
        <v>13</v>
      </c>
      <c r="C38" s="10">
        <v>40.069099999999999</v>
      </c>
      <c r="D38" s="10">
        <v>45.038200000000003</v>
      </c>
      <c r="E38" s="22">
        <f t="shared" si="8"/>
        <v>128.51972097853309</v>
      </c>
      <c r="F38" s="22">
        <f t="shared" si="9"/>
        <v>95.578997889779345</v>
      </c>
      <c r="G38" s="22">
        <f t="shared" si="10"/>
        <v>19.966268068524919</v>
      </c>
      <c r="H38" s="38">
        <f t="shared" si="11"/>
        <v>3</v>
      </c>
      <c r="I38" s="28">
        <f>AVERAGE(C31:C35,C38,C40)</f>
        <v>31.716458571428571</v>
      </c>
      <c r="J38" s="28">
        <f>AVERAGE(D31:D35,D38,D40)</f>
        <v>24.074550428571424</v>
      </c>
      <c r="K38" s="41"/>
      <c r="L38" s="41"/>
      <c r="M38" s="41"/>
      <c r="N38" s="41"/>
      <c r="O38" s="41"/>
      <c r="P38" s="41"/>
    </row>
    <row r="39" spans="1:16" x14ac:dyDescent="0.25">
      <c r="A39" s="31"/>
      <c r="B39" s="4" t="s">
        <v>14</v>
      </c>
      <c r="C39" s="10">
        <v>-35.473500000000001</v>
      </c>
      <c r="D39" s="10">
        <v>149.01240000000001</v>
      </c>
      <c r="E39" s="22">
        <f t="shared" si="8"/>
        <v>0</v>
      </c>
      <c r="F39" s="22">
        <f t="shared" si="9"/>
        <v>186.49118309310973</v>
      </c>
      <c r="G39" s="22">
        <f t="shared" si="10"/>
        <v>144.49638915994407</v>
      </c>
      <c r="H39" s="38">
        <f t="shared" si="11"/>
        <v>1</v>
      </c>
      <c r="I39" s="29"/>
      <c r="J39" s="29"/>
      <c r="K39" s="41"/>
      <c r="L39" s="41"/>
      <c r="M39" s="41"/>
      <c r="N39" s="41"/>
      <c r="O39" s="41"/>
      <c r="P39" s="41"/>
    </row>
    <row r="40" spans="1:16" x14ac:dyDescent="0.25">
      <c r="A40" s="31"/>
      <c r="B40" s="19" t="s">
        <v>15</v>
      </c>
      <c r="C40" s="10">
        <v>47.516199999999998</v>
      </c>
      <c r="D40" s="10">
        <v>14.5501</v>
      </c>
      <c r="E40" s="22">
        <f t="shared" si="8"/>
        <v>158.01076047972177</v>
      </c>
      <c r="F40" s="22">
        <f t="shared" si="9"/>
        <v>77.115055651935506</v>
      </c>
      <c r="G40" s="22">
        <f t="shared" si="10"/>
        <v>13.646680368632905</v>
      </c>
      <c r="H40" s="38">
        <f t="shared" si="11"/>
        <v>3</v>
      </c>
      <c r="I40" s="30"/>
      <c r="J40" s="30"/>
      <c r="K40" s="41"/>
      <c r="L40" s="41"/>
      <c r="M40" s="41"/>
      <c r="N40" s="41"/>
      <c r="O40" s="41"/>
      <c r="P40" s="41"/>
    </row>
    <row r="41" spans="1:16" x14ac:dyDescent="0.25">
      <c r="A41" s="31"/>
      <c r="B41" s="31"/>
      <c r="C41" s="31"/>
      <c r="D41" s="31"/>
      <c r="E41" s="31"/>
      <c r="F41" s="31"/>
      <c r="G41" s="31"/>
      <c r="H41" s="31"/>
      <c r="I41" s="32"/>
      <c r="J41" s="32"/>
      <c r="K41" s="41"/>
      <c r="L41" s="41"/>
      <c r="M41" s="41"/>
      <c r="N41" s="41"/>
      <c r="O41" s="41"/>
      <c r="P41" s="41"/>
    </row>
    <row r="42" spans="1:16" x14ac:dyDescent="0.25">
      <c r="A42" s="31"/>
      <c r="B42" s="31"/>
      <c r="C42" s="31"/>
      <c r="D42" s="31"/>
      <c r="E42" s="31"/>
      <c r="F42" s="31"/>
      <c r="G42" s="31"/>
      <c r="H42" s="31"/>
      <c r="I42" s="32"/>
      <c r="J42" s="32"/>
      <c r="K42" s="41"/>
      <c r="L42" s="41"/>
      <c r="M42" s="41"/>
      <c r="N42" s="41"/>
      <c r="O42" s="41"/>
      <c r="P42" s="41"/>
    </row>
    <row r="43" spans="1:16" x14ac:dyDescent="0.25">
      <c r="A43" s="31"/>
      <c r="B43" s="31" t="s">
        <v>32</v>
      </c>
      <c r="C43" s="31"/>
      <c r="D43" s="31"/>
      <c r="E43" s="31"/>
      <c r="F43" s="31"/>
      <c r="G43" s="31"/>
      <c r="H43" s="31"/>
      <c r="I43" s="32"/>
      <c r="J43" s="32"/>
      <c r="K43" s="41"/>
      <c r="L43" s="41"/>
      <c r="M43" s="41"/>
      <c r="N43" s="41"/>
      <c r="O43" s="41"/>
      <c r="P43" s="41"/>
    </row>
    <row r="44" spans="1:16" x14ac:dyDescent="0.25">
      <c r="A44" s="31"/>
      <c r="B44" s="39" t="s">
        <v>16</v>
      </c>
      <c r="C44" s="35" t="s">
        <v>4</v>
      </c>
      <c r="D44" s="35" t="s">
        <v>5</v>
      </c>
      <c r="E44" s="36" t="s">
        <v>20</v>
      </c>
      <c r="F44" s="37" t="s">
        <v>21</v>
      </c>
      <c r="G44" s="36" t="s">
        <v>35</v>
      </c>
      <c r="H44" s="19"/>
      <c r="I44" s="53" t="s">
        <v>22</v>
      </c>
      <c r="J44" s="53"/>
      <c r="K44" s="47" t="s">
        <v>24</v>
      </c>
      <c r="L44" s="45" t="s">
        <v>27</v>
      </c>
      <c r="M44" s="45" t="s">
        <v>28</v>
      </c>
      <c r="N44" s="45" t="s">
        <v>38</v>
      </c>
      <c r="O44" s="48" t="s">
        <v>25</v>
      </c>
      <c r="P44" s="49" t="s">
        <v>26</v>
      </c>
    </row>
    <row r="45" spans="1:16" x14ac:dyDescent="0.25">
      <c r="A45" s="31"/>
      <c r="B45" s="4" t="s">
        <v>6</v>
      </c>
      <c r="C45" s="10">
        <v>33.939109999999999</v>
      </c>
      <c r="D45" s="10">
        <v>67.709952999999999</v>
      </c>
      <c r="E45" s="22">
        <f>SQRT(($I$31-C45)^2+($J$31-D45)^2)</f>
        <v>106.90275167272316</v>
      </c>
      <c r="F45" s="22">
        <f>SQRT(($I$35-C45)^2+($J$35-D45)^2)</f>
        <v>137.83729367499424</v>
      </c>
      <c r="G45" s="22">
        <f>SQRT(($I$38-C45)^2+($J$38-D45)^2)</f>
        <v>43.691973369757122</v>
      </c>
      <c r="H45" s="38">
        <f>IF(AND(E45&lt;F45,E45&lt;G45),1,IF(AND(F45&lt;E45,F45&lt;G45),2,IF(AND(G45&lt;E45,G45&lt;F45),3)))</f>
        <v>3</v>
      </c>
      <c r="I45" s="24">
        <f>AVERAGE(C53)</f>
        <v>-35.473500000000001</v>
      </c>
      <c r="J45" s="24">
        <f>AVERAGE(D53)</f>
        <v>149.01240000000001</v>
      </c>
      <c r="K45" s="20">
        <f>SQRT((C45-$C$46)^2+(D45-$D$46)^2)+SQRT((C45-$C$47)^2+(D45-$D$47)^2)+SQRT((C45-$C$48)^2+(D45-$D$48)^2)+SQRT((C45-$C$49)^2+(D45-$D$49)^2)+SQRT((C45-$C$52)^2+(D45-$D$52)^2)+SQRT((C45-$C$54)^2+(D45-$D$54)^2)/6</f>
        <v>281.01170206729165</v>
      </c>
      <c r="L45" s="20">
        <f>SQRT((C45-$C$53)^2+(D45-$D$53)^2)/1</f>
        <v>106.90275167272316</v>
      </c>
      <c r="M45" s="21">
        <f>SQRT((C45-$C$50)^2+(D45-$D$50)^2)+SQRT((C45-$C$51)^2+(D45-$D$51)^2)/2</f>
        <v>205.57151809472995</v>
      </c>
      <c r="N45" s="20" t="s">
        <v>29</v>
      </c>
      <c r="O45" s="20">
        <f>MIN(L45:N45)</f>
        <v>106.90275167272316</v>
      </c>
      <c r="P45" s="20">
        <f>(O45-K45)/MAX(K45,O45)</f>
        <v>-0.61957900369884245</v>
      </c>
    </row>
    <row r="46" spans="1:16" x14ac:dyDescent="0.25">
      <c r="A46" s="31"/>
      <c r="B46" s="19" t="s">
        <v>7</v>
      </c>
      <c r="C46" s="10">
        <v>41.153300000000002</v>
      </c>
      <c r="D46" s="10">
        <v>20.168299999999999</v>
      </c>
      <c r="E46" s="22">
        <f t="shared" ref="E46:E54" si="12">SQRT(($I$31-C46)^2+($J$31-D46)^2)</f>
        <v>149.90820051968473</v>
      </c>
      <c r="F46" s="22">
        <f t="shared" ref="F46:F54" si="13">SQRT(($I$35-C46)^2+($J$35-D46)^2)</f>
        <v>97.748085098507175</v>
      </c>
      <c r="G46" s="22">
        <f t="shared" ref="G46:G54" si="14">SQRT(($I$38-C46)^2+($J$38-D46)^2)</f>
        <v>10.213362255335728</v>
      </c>
      <c r="H46" s="38">
        <f t="shared" ref="H46:H54" si="15">IF(AND(E46&lt;F46,E46&lt;G46),1,IF(AND(F46&lt;E46,F46&lt;G46),2,IF(AND(G46&lt;E46,G46&lt;F46),3)))</f>
        <v>3</v>
      </c>
      <c r="I46" s="25"/>
      <c r="J46" s="25"/>
      <c r="K46" s="20">
        <f>SQRT((C46-$C$45)^2+(D46-$D$45)^2)+SQRT((C46-$C$47)^2+(D46-$D$47)^2)+SQRT((C46-$C$48)^2+(D46-$D$48)^2)+SQRT((C46-$C$49)^2+(D46-$D$49)^2)+SQRT((C46-$C$52)^2+(D46-$D$52)^2)+SQRT((C46-$C$54)^2+(D46-$D$54)^2)/6</f>
        <v>168.18269441405619</v>
      </c>
      <c r="L46" s="20">
        <f t="shared" ref="L46:L54" si="16">SQRT((C46-$C$53)^2+(D46-$D$53)^2)/1</f>
        <v>149.90820051968473</v>
      </c>
      <c r="M46" s="21">
        <f t="shared" ref="M46:N54" si="17">SQRT((C46-$C$50)^2+(D46-$D$50)^2)+SQRT((C46-$C$51)^2+(D46-$D$51)^2)/2</f>
        <v>143.20592914057832</v>
      </c>
      <c r="N46" s="20" t="s">
        <v>29</v>
      </c>
      <c r="O46" s="20">
        <f t="shared" ref="O46:O54" si="18">MIN(L46:N46)</f>
        <v>143.20592914057832</v>
      </c>
      <c r="P46" s="20">
        <f t="shared" ref="P46:P55" si="19">(O46-K46)/MAX(K46,O46)</f>
        <v>-0.14850972248064059</v>
      </c>
    </row>
    <row r="47" spans="1:16" x14ac:dyDescent="0.25">
      <c r="A47" s="31"/>
      <c r="B47" s="4" t="s">
        <v>8</v>
      </c>
      <c r="C47" s="10">
        <v>28.033899999999999</v>
      </c>
      <c r="D47" s="10">
        <v>1.6596</v>
      </c>
      <c r="E47" s="22">
        <f t="shared" si="12"/>
        <v>160.45571826083358</v>
      </c>
      <c r="F47" s="22">
        <f t="shared" si="13"/>
        <v>75.110487744555357</v>
      </c>
      <c r="G47" s="22">
        <f t="shared" si="14"/>
        <v>22.715440571279181</v>
      </c>
      <c r="H47" s="38">
        <f t="shared" si="15"/>
        <v>3</v>
      </c>
      <c r="I47" s="25"/>
      <c r="J47" s="25"/>
      <c r="K47" s="20">
        <f>SQRT((C47-$C$45)^2+(D47-$D$45)^2)+SQRT((C47-$C$46)^2+(D47-$D$46)^2)+SQRT((C47-$C$48)^2+(D47-$D$48)^2)+SQRT((C47-$C$49)^2+(D47-$D$49)^2)+SQRT((C47-$C$52)^2+(D47-$D$52)^2)+SQRT((C47-$C$54)^2+(D47-$D$54)^2)/6</f>
        <v>194.83917188811935</v>
      </c>
      <c r="L47" s="20">
        <f t="shared" si="16"/>
        <v>160.45571826083358</v>
      </c>
      <c r="M47" s="21">
        <f t="shared" si="17"/>
        <v>110.97189927038872</v>
      </c>
      <c r="N47" s="20" t="s">
        <v>29</v>
      </c>
      <c r="O47" s="20">
        <f t="shared" si="18"/>
        <v>110.97189927038872</v>
      </c>
      <c r="P47" s="20">
        <f t="shared" si="19"/>
        <v>-0.43044358998758703</v>
      </c>
    </row>
    <row r="48" spans="1:16" x14ac:dyDescent="0.25">
      <c r="A48" s="31"/>
      <c r="B48" s="19" t="s">
        <v>9</v>
      </c>
      <c r="C48" s="10">
        <v>42.506300000000003</v>
      </c>
      <c r="D48" s="10">
        <v>1.5218</v>
      </c>
      <c r="E48" s="22">
        <f t="shared" si="12"/>
        <v>166.83622597145981</v>
      </c>
      <c r="F48" s="22">
        <f t="shared" si="13"/>
        <v>83.389528607163868</v>
      </c>
      <c r="G48" s="22">
        <f t="shared" si="14"/>
        <v>25.000944581098231</v>
      </c>
      <c r="H48" s="38">
        <f t="shared" si="15"/>
        <v>3</v>
      </c>
      <c r="I48" s="25"/>
      <c r="J48" s="25"/>
      <c r="K48" s="20">
        <f>SQRT((C48-$C$45)^2+(D48-$D$45)^2)+SQRT((C48-$C$46)^2+(D48-$D$46)^2)+SQRT((C48-$C$47)^2+(D48-$D$47)^2)+SQRT((C48-$C$49)^2+(D48-$D$49)^2)+SQRT((C48-$C$52)^2+(D48-$D$52)^2)+SQRT((C48-$C$54)^2+(D48-$D$54)^2)/6</f>
        <v>201.96297428963354</v>
      </c>
      <c r="L48" s="20">
        <f t="shared" si="16"/>
        <v>166.83622597145981</v>
      </c>
      <c r="M48" s="21">
        <f t="shared" si="17"/>
        <v>120.18075626300995</v>
      </c>
      <c r="N48" s="20" t="s">
        <v>29</v>
      </c>
      <c r="O48" s="20">
        <f t="shared" si="18"/>
        <v>120.18075626300995</v>
      </c>
      <c r="P48" s="20">
        <f t="shared" si="19"/>
        <v>-0.40493668858996074</v>
      </c>
    </row>
    <row r="49" spans="1:16" x14ac:dyDescent="0.25">
      <c r="A49" s="31"/>
      <c r="B49" s="4" t="s">
        <v>10</v>
      </c>
      <c r="C49" s="10">
        <v>-11.2027</v>
      </c>
      <c r="D49" s="10">
        <v>17.873899999999999</v>
      </c>
      <c r="E49" s="22">
        <f t="shared" si="12"/>
        <v>133.36557994808857</v>
      </c>
      <c r="F49" s="22">
        <f t="shared" si="13"/>
        <v>80.582160554957824</v>
      </c>
      <c r="G49" s="22">
        <f t="shared" si="14"/>
        <v>43.364758020964132</v>
      </c>
      <c r="H49" s="38">
        <f t="shared" si="15"/>
        <v>3</v>
      </c>
      <c r="I49" s="28">
        <f>AVERAGE(C50:C51)</f>
        <v>-10.67765</v>
      </c>
      <c r="J49" s="28">
        <f>AVERAGE(D50:D51)</f>
        <v>-62.70655</v>
      </c>
      <c r="K49" s="20">
        <f>SQRT((C49-$C$45)^2+(D49-$D$45)^2)+SQRT((C49-$C$46)^2+(D49-$D$46)^2)+SQRT((C49-$C$47)^2+(D49-$D$47)^2)+SQRT((C49-$C$48)^2+(D49-$D$48)^2)+SQRT((C49-$C$52)^2+(D49-$D$52)^2)+SQRT((C49-$C$54)^2+(D49-$D$54)^2)/6</f>
        <v>286.07106273737867</v>
      </c>
      <c r="L49" s="20">
        <f t="shared" si="16"/>
        <v>133.36557994808857</v>
      </c>
      <c r="M49" s="21">
        <f t="shared" si="17"/>
        <v>127.49230253933879</v>
      </c>
      <c r="N49" s="20" t="s">
        <v>29</v>
      </c>
      <c r="O49" s="20">
        <f t="shared" si="18"/>
        <v>127.49230253933879</v>
      </c>
      <c r="P49" s="20">
        <f t="shared" si="19"/>
        <v>-0.55433345365525366</v>
      </c>
    </row>
    <row r="50" spans="1:16" x14ac:dyDescent="0.25">
      <c r="A50" s="31"/>
      <c r="B50" s="19" t="s">
        <v>11</v>
      </c>
      <c r="C50" s="10">
        <v>17.0608</v>
      </c>
      <c r="D50" s="10">
        <v>-61.796399999999998</v>
      </c>
      <c r="E50" s="22">
        <f t="shared" si="12"/>
        <v>217.25607663292183</v>
      </c>
      <c r="F50" s="22">
        <f t="shared" si="13"/>
        <v>27.753377838111888</v>
      </c>
      <c r="G50" s="22">
        <f t="shared" si="14"/>
        <v>87.112619382431944</v>
      </c>
      <c r="H50" s="38">
        <f t="shared" si="15"/>
        <v>2</v>
      </c>
      <c r="I50" s="29"/>
      <c r="J50" s="29"/>
      <c r="K50" s="20">
        <f>SQRT((C50-$C$51)^2+(D50-$D$51)^2)/1</f>
        <v>55.506755676223776</v>
      </c>
      <c r="L50" s="20">
        <f t="shared" si="16"/>
        <v>217.25607663292183</v>
      </c>
      <c r="M50" s="21" t="s">
        <v>29</v>
      </c>
      <c r="N50" s="21">
        <f>SQRT((C50-$C$45)^2+(D50-$D$45)^2)+SQRT((C50-$C$46)^2+(D50-$D$46)^2)+SQRT((C50-$C$47)^2+(D50-$D$47)^2)+SQRT((C50-$C$48)^2+(D50-$D$48)^2)+SQRT((C50-$C$49)^2+(D50-$D$49)^2)+SQRT((C50-$C$52)^2+(D50-$D$52)^2)+SQRT((C50-$C$54)^2+(D50-$D$54)^2)/7</f>
        <v>554.23292730400351</v>
      </c>
      <c r="O50" s="20">
        <f t="shared" si="18"/>
        <v>217.25607663292183</v>
      </c>
      <c r="P50" s="20">
        <f t="shared" si="19"/>
        <v>0.7445099969746366</v>
      </c>
    </row>
    <row r="51" spans="1:16" x14ac:dyDescent="0.25">
      <c r="A51" s="31"/>
      <c r="B51" s="4" t="s">
        <v>12</v>
      </c>
      <c r="C51" s="10">
        <v>-38.4161</v>
      </c>
      <c r="D51" s="10">
        <v>-63.616700000000002</v>
      </c>
      <c r="E51" s="22">
        <f t="shared" si="12"/>
        <v>212.64946052499172</v>
      </c>
      <c r="F51" s="22">
        <f t="shared" si="13"/>
        <v>27.753377838111888</v>
      </c>
      <c r="G51" s="22">
        <f t="shared" si="14"/>
        <v>112.28682546719934</v>
      </c>
      <c r="H51" s="38">
        <f t="shared" si="15"/>
        <v>2</v>
      </c>
      <c r="I51" s="30"/>
      <c r="J51" s="30"/>
      <c r="K51" s="20">
        <f>SQRT((C51-$C$50)^2+(D51-$D$50)^2)/1</f>
        <v>55.506755676223776</v>
      </c>
      <c r="L51" s="20">
        <f t="shared" si="16"/>
        <v>212.64946052499172</v>
      </c>
      <c r="M51" s="21" t="s">
        <v>29</v>
      </c>
      <c r="N51" s="21">
        <f>SQRT((C51-$C$45)^2+(D51-$D$45)^2)+SQRT((C51-$C$46)^2+(D51-$D$46)^2)+SQRT((C51-$C$47)^2+(D51-$D$47)^2)+SQRT((C51-$C$48)^2+(D51-$D$48)^2)+SQRT((C51-$C$49)^2+(D51-$D$49)^2)+SQRT((C51-$C$52)^2+(D51-$D$52)^2)+SQRT((C51-$C$54)^2+(D51-$D$54)^2)/7</f>
        <v>699.063634026518</v>
      </c>
      <c r="O51" s="20">
        <f t="shared" si="18"/>
        <v>212.64946052499172</v>
      </c>
      <c r="P51" s="20">
        <f t="shared" si="19"/>
        <v>0.73897532803898025</v>
      </c>
    </row>
    <row r="52" spans="1:16" x14ac:dyDescent="0.25">
      <c r="A52" s="31"/>
      <c r="B52" s="19" t="s">
        <v>13</v>
      </c>
      <c r="C52" s="10">
        <v>40.069099999999999</v>
      </c>
      <c r="D52" s="10">
        <v>45.038200000000003</v>
      </c>
      <c r="E52" s="22">
        <f t="shared" si="12"/>
        <v>128.51972097853309</v>
      </c>
      <c r="F52" s="22">
        <f t="shared" si="13"/>
        <v>119.09728707290104</v>
      </c>
      <c r="G52" s="22">
        <f t="shared" si="14"/>
        <v>22.566373704872152</v>
      </c>
      <c r="H52" s="38">
        <f t="shared" si="15"/>
        <v>3</v>
      </c>
      <c r="I52" s="28">
        <f>AVERAGE(C45:C49,C52,C54)</f>
        <v>31.716458571428571</v>
      </c>
      <c r="J52" s="28">
        <f>AVERAGE(D45:D49,D52,D54)</f>
        <v>24.074550428571424</v>
      </c>
      <c r="K52" s="20">
        <f>SQRT((C52-$C$45)^2+(D52-$D$45)^2)+SQRT((C52-$C$46)^2+(D52-$D$46)^2)+SQRT((C52-$C$47)^2+(D52-$D$47)^2)+SQRT((C52-$C$48)^2+(D52-$D$48)^2)+SQRT((C52-$C$49)^2+(D52-$D$49)^2)+SQRT((C52-$C$54)^2+(D52-$D$54)^2)/6</f>
        <v>200.23515914778005</v>
      </c>
      <c r="L52" s="20">
        <f t="shared" si="16"/>
        <v>128.51972097853309</v>
      </c>
      <c r="M52" s="21">
        <f t="shared" si="17"/>
        <v>176.30240298103865</v>
      </c>
      <c r="N52" s="20" t="s">
        <v>29</v>
      </c>
      <c r="O52" s="20">
        <f t="shared" si="18"/>
        <v>128.51972097853309</v>
      </c>
      <c r="P52" s="20">
        <f t="shared" si="19"/>
        <v>-0.3581560724623723</v>
      </c>
    </row>
    <row r="53" spans="1:16" x14ac:dyDescent="0.25">
      <c r="A53" s="31"/>
      <c r="B53" s="4" t="s">
        <v>14</v>
      </c>
      <c r="C53" s="10">
        <v>-35.473500000000001</v>
      </c>
      <c r="D53" s="10">
        <v>149.01240000000001</v>
      </c>
      <c r="E53" s="22">
        <f t="shared" si="12"/>
        <v>0</v>
      </c>
      <c r="F53" s="22">
        <f t="shared" si="13"/>
        <v>213.1660103448132</v>
      </c>
      <c r="G53" s="22">
        <f t="shared" si="14"/>
        <v>141.85893270556917</v>
      </c>
      <c r="H53" s="38">
        <f t="shared" si="15"/>
        <v>1</v>
      </c>
      <c r="I53" s="29"/>
      <c r="J53" s="29"/>
      <c r="K53" s="20">
        <f>SQRT((C53-0)^2+(D53-0)^2)/1</f>
        <v>153.17657965893483</v>
      </c>
      <c r="L53" s="21" t="s">
        <v>29</v>
      </c>
      <c r="M53" s="21">
        <f t="shared" si="17"/>
        <v>323.58080689541771</v>
      </c>
      <c r="N53" s="21">
        <f>SQRT((C53-$C$45)^2+(D53-$D$45)^2)+SQRT((C53-$C$46)^2+(D53-$D$46)^2)+SQRT((C53-$C$47)^2+(D53-$D$47)^2)+SQRT((C53-$C$48)^2+(D53-$D$48)^2)+SQRT((C53-$C$49)^2+(D53-$D$49)^2)+SQRT((C53-$C$52)^2+(D53-$D$52)^2)+SQRT((C53-$C$54)^2+(D53-$D$54)^2)/7</f>
        <v>868.56116313414032</v>
      </c>
      <c r="O53" s="20">
        <f t="shared" si="18"/>
        <v>323.58080689541771</v>
      </c>
      <c r="P53" s="20">
        <f t="shared" si="19"/>
        <v>0.52662031741443194</v>
      </c>
    </row>
    <row r="54" spans="1:16" x14ac:dyDescent="0.25">
      <c r="A54" s="31"/>
      <c r="B54" s="19" t="s">
        <v>15</v>
      </c>
      <c r="C54" s="10">
        <v>47.516199999999998</v>
      </c>
      <c r="D54" s="10">
        <v>14.5501</v>
      </c>
      <c r="E54" s="22">
        <f t="shared" si="12"/>
        <v>158.01076047972177</v>
      </c>
      <c r="F54" s="22">
        <f t="shared" si="13"/>
        <v>96.721839038786896</v>
      </c>
      <c r="G54" s="22">
        <f t="shared" si="14"/>
        <v>18.448495471881458</v>
      </c>
      <c r="H54" s="38">
        <f t="shared" si="15"/>
        <v>3</v>
      </c>
      <c r="I54" s="30"/>
      <c r="J54" s="30"/>
      <c r="K54" s="20">
        <f>SQRT((C54-$C$45)^2+(D54-$D$45)^2)+SQRT((C54-$C$46)^2+(D54-$D$46)^2)+SQRT((C54-$C$47)^2+(D54-$D$47)^2)+SQRT((C54-$C$48)^2+(D54-$D$48)^2)+SQRT((C54-$C$49)^2+(D54-$D$49)^2)+SQRT((C54-$C$52)^2+(D54-$D$52)^2)/6</f>
        <v>164.71728625622873</v>
      </c>
      <c r="L54" s="20">
        <f>SQRT((C54-$C$53)^2+(D54-$D$53)^2)/1</f>
        <v>158.01076047972177</v>
      </c>
      <c r="M54" s="21">
        <f t="shared" si="17"/>
        <v>140.27955219724674</v>
      </c>
      <c r="N54" s="20" t="s">
        <v>29</v>
      </c>
      <c r="O54" s="20">
        <f t="shared" si="18"/>
        <v>140.27955219724674</v>
      </c>
      <c r="P54" s="20">
        <f t="shared" si="19"/>
        <v>-0.14836168452270068</v>
      </c>
    </row>
    <row r="55" spans="1:16" x14ac:dyDescent="0.25">
      <c r="A55" s="31"/>
      <c r="B55" s="31"/>
      <c r="C55" s="31"/>
      <c r="D55" s="31"/>
      <c r="E55" s="31"/>
      <c r="F55" s="31"/>
      <c r="G55" s="31"/>
      <c r="H55" s="31"/>
      <c r="I55" s="32"/>
      <c r="J55" s="32"/>
      <c r="K55" s="50" t="s">
        <v>30</v>
      </c>
      <c r="L55" s="50"/>
      <c r="M55" s="50"/>
      <c r="N55" s="50"/>
      <c r="O55" s="50"/>
      <c r="P55" s="13">
        <f>SUM(P45:P54)</f>
        <v>-0.65421457296930874</v>
      </c>
    </row>
    <row r="56" spans="1:16" x14ac:dyDescent="0.25">
      <c r="A56" s="31"/>
      <c r="B56" s="31"/>
      <c r="C56" s="31"/>
      <c r="D56" s="31"/>
      <c r="E56" s="31"/>
      <c r="F56" s="31"/>
      <c r="G56" s="31"/>
      <c r="H56" s="31"/>
      <c r="I56" s="32"/>
      <c r="J56" s="32"/>
      <c r="K56" s="50" t="s">
        <v>31</v>
      </c>
      <c r="L56" s="50"/>
      <c r="M56" s="50"/>
      <c r="N56" s="50"/>
      <c r="O56" s="50"/>
      <c r="P56" s="51">
        <f>AVERAGE(P45:P54)</f>
        <v>-6.5421457296930871E-2</v>
      </c>
    </row>
  </sheetData>
  <mergeCells count="30">
    <mergeCell ref="I44:J44"/>
    <mergeCell ref="I45:I48"/>
    <mergeCell ref="J45:J48"/>
    <mergeCell ref="I49:I51"/>
    <mergeCell ref="J49:J51"/>
    <mergeCell ref="I52:I54"/>
    <mergeCell ref="J52:J54"/>
    <mergeCell ref="I30:J30"/>
    <mergeCell ref="I31:I34"/>
    <mergeCell ref="J31:J34"/>
    <mergeCell ref="I35:I37"/>
    <mergeCell ref="J35:J37"/>
    <mergeCell ref="I38:I40"/>
    <mergeCell ref="J38:J40"/>
    <mergeCell ref="I17:I20"/>
    <mergeCell ref="J17:J20"/>
    <mergeCell ref="K55:O55"/>
    <mergeCell ref="K56:O56"/>
    <mergeCell ref="I21:I23"/>
    <mergeCell ref="J21:J23"/>
    <mergeCell ref="I24:I26"/>
    <mergeCell ref="J24:J26"/>
    <mergeCell ref="I2:J2"/>
    <mergeCell ref="I3:I6"/>
    <mergeCell ref="J3:J6"/>
    <mergeCell ref="I16:J16"/>
    <mergeCell ref="I7:I9"/>
    <mergeCell ref="J7:J9"/>
    <mergeCell ref="I10:I12"/>
    <mergeCell ref="J10:J12"/>
  </mergeCells>
  <pageMargins left="0.7" right="0.7" top="0.75" bottom="0.75" header="0.3" footer="0.3"/>
  <pageSetup paperSize="9" orientation="portrait" horizontalDpi="0" verticalDpi="0" r:id="rId1"/>
  <ignoredErrors>
    <ignoredError sqref="K50 K52:K5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5"/>
  <sheetViews>
    <sheetView tabSelected="1" workbookViewId="0">
      <selection activeCell="O1" sqref="O1"/>
    </sheetView>
  </sheetViews>
  <sheetFormatPr defaultRowHeight="15" x14ac:dyDescent="0.25"/>
  <cols>
    <col min="1" max="1" width="2.5703125" bestFit="1" customWidth="1"/>
    <col min="2" max="2" width="7.140625" style="3" bestFit="1" customWidth="1"/>
    <col min="3" max="3" width="10.5703125" bestFit="1" customWidth="1"/>
    <col min="4" max="4" width="7.28515625" bestFit="1" customWidth="1"/>
    <col min="5" max="5" width="10.5703125" bestFit="1" customWidth="1"/>
    <col min="6" max="6" width="7.85546875" bestFit="1" customWidth="1"/>
    <col min="7" max="8" width="10.5703125" bestFit="1" customWidth="1"/>
    <col min="9" max="9" width="10.42578125" customWidth="1"/>
    <col min="10" max="10" width="8.28515625" customWidth="1"/>
    <col min="11" max="14" width="7.140625" bestFit="1" customWidth="1"/>
    <col min="15" max="15" width="14.42578125" customWidth="1"/>
    <col min="16" max="16" width="11.140625" bestFit="1" customWidth="1"/>
    <col min="17" max="20" width="9.28515625" bestFit="1" customWidth="1"/>
  </cols>
  <sheetData>
    <row r="1" spans="1:20" x14ac:dyDescent="0.25">
      <c r="A1" s="41"/>
      <c r="B1" s="41" t="s">
        <v>19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x14ac:dyDescent="0.25">
      <c r="A2" s="41"/>
      <c r="B2" s="39" t="s">
        <v>16</v>
      </c>
      <c r="C2" s="54" t="s">
        <v>0</v>
      </c>
      <c r="D2" s="54" t="s">
        <v>1</v>
      </c>
      <c r="E2" s="54" t="s">
        <v>2</v>
      </c>
      <c r="F2" s="54" t="s">
        <v>3</v>
      </c>
      <c r="G2" s="56" t="s">
        <v>20</v>
      </c>
      <c r="H2" s="56" t="s">
        <v>21</v>
      </c>
      <c r="I2" s="56" t="s">
        <v>35</v>
      </c>
      <c r="J2" s="21"/>
      <c r="K2" s="55" t="s">
        <v>22</v>
      </c>
      <c r="L2" s="55"/>
      <c r="M2" s="55"/>
      <c r="N2" s="55"/>
      <c r="O2" s="59"/>
      <c r="P2" s="41"/>
      <c r="Q2" s="41"/>
      <c r="R2" s="41"/>
      <c r="S2" s="41"/>
      <c r="T2" s="41"/>
    </row>
    <row r="3" spans="1:20" x14ac:dyDescent="0.25">
      <c r="A3" s="41" t="s">
        <v>17</v>
      </c>
      <c r="B3" s="4" t="s">
        <v>6</v>
      </c>
      <c r="C3" s="43">
        <v>111592</v>
      </c>
      <c r="D3" s="43">
        <v>7319</v>
      </c>
      <c r="E3" s="43">
        <v>67183</v>
      </c>
      <c r="F3" s="43">
        <v>39890</v>
      </c>
      <c r="G3" s="21">
        <f>SQRT(($C$3-C3)^2+($D$3-D3)^2+($E$3-E3)^2+($F$3-F3)^2)</f>
        <v>0</v>
      </c>
      <c r="H3" s="21">
        <f>SQRT(($C$7-C3)^2+($D$7-D3)^2+($E$7-E3)^2+($F$7-F3)^2)</f>
        <v>88452.614828505772</v>
      </c>
      <c r="I3" s="21">
        <f>SQRT(($C$10-C3)^2+($D$10-D3)^2+($E$10-E3)^2+($F$10-F3)^2)</f>
        <v>192357.44834552158</v>
      </c>
      <c r="J3" s="57">
        <f>IF(AND(G3&lt;H3,G3&lt;I3),1,IF(AND(H3&lt;G3,H3&lt;I3),2,IF(AND(I3&lt;G3,I3&lt;H3),3)))</f>
        <v>1</v>
      </c>
      <c r="K3" s="27">
        <f>AVERAGE(C3:C5)</f>
        <v>127290</v>
      </c>
      <c r="L3" s="27">
        <f t="shared" ref="L3:N3" si="0">AVERAGE(D3:D5)</f>
        <v>4577.333333333333</v>
      </c>
      <c r="M3" s="27">
        <f t="shared" si="0"/>
        <v>97678.666666666672</v>
      </c>
      <c r="N3" s="27">
        <f t="shared" si="0"/>
        <v>26060.666666666668</v>
      </c>
      <c r="O3" s="40" t="s">
        <v>17</v>
      </c>
      <c r="P3" s="41"/>
      <c r="Q3" s="41"/>
      <c r="R3" s="41"/>
      <c r="S3" s="41"/>
      <c r="T3" s="41"/>
    </row>
    <row r="4" spans="1:20" x14ac:dyDescent="0.25">
      <c r="A4" s="41"/>
      <c r="B4" s="43" t="s">
        <v>7</v>
      </c>
      <c r="C4" s="43">
        <v>132506</v>
      </c>
      <c r="D4" s="43">
        <v>2735</v>
      </c>
      <c r="E4" s="43">
        <v>129975</v>
      </c>
      <c r="F4" s="43">
        <v>76</v>
      </c>
      <c r="G4" s="21">
        <f t="shared" ref="G4:G11" si="1">SQRT(($C$3-C4)^2+($D$3-D4)^2+($E$3-E4)^2+($F$3-F4)^2)</f>
        <v>77371.818590491981</v>
      </c>
      <c r="H4" s="21">
        <f t="shared" ref="H4:H12" si="2">SQRT(($C$7-C4)^2+($D$7-D4)^2+($E$7-E4)^2+($F$7-F4)^2)</f>
        <v>135531.73900603503</v>
      </c>
      <c r="I4" s="21">
        <f t="shared" ref="I4:I12" si="3">SQRT(($C$10-C4)^2+($D$10-D4)^2+($E$10-E4)^2+($F$10-F4)^2)</f>
        <v>128525.64260100006</v>
      </c>
      <c r="J4" s="57">
        <f t="shared" ref="J4:J12" si="4">IF(AND(G4&lt;H4,G4&lt;I4),1,IF(AND(H4&lt;G4,H4&lt;I4),2,IF(AND(I4&lt;G4,I4&lt;H4),3)))</f>
        <v>1</v>
      </c>
      <c r="K4" s="27"/>
      <c r="L4" s="27"/>
      <c r="M4" s="27"/>
      <c r="N4" s="27"/>
      <c r="O4" s="40"/>
      <c r="P4" s="41"/>
      <c r="Q4" s="41"/>
      <c r="R4" s="41"/>
      <c r="S4" s="41"/>
      <c r="T4" s="41"/>
    </row>
    <row r="5" spans="1:20" x14ac:dyDescent="0.25">
      <c r="A5" s="41"/>
      <c r="B5" s="4" t="s">
        <v>8</v>
      </c>
      <c r="C5" s="43">
        <v>137772</v>
      </c>
      <c r="D5" s="43">
        <v>3678</v>
      </c>
      <c r="E5" s="43">
        <v>95878</v>
      </c>
      <c r="F5" s="43">
        <v>38216</v>
      </c>
      <c r="G5" s="21">
        <f t="shared" si="1"/>
        <v>39049.386448445002</v>
      </c>
      <c r="H5" s="21">
        <f t="shared" si="2"/>
        <v>122486.45739019477</v>
      </c>
      <c r="I5" s="21">
        <f t="shared" si="3"/>
        <v>154190.06713793208</v>
      </c>
      <c r="J5" s="57">
        <f t="shared" si="4"/>
        <v>1</v>
      </c>
      <c r="K5" s="27"/>
      <c r="L5" s="27"/>
      <c r="M5" s="27"/>
      <c r="N5" s="27"/>
      <c r="O5" s="40"/>
      <c r="P5" s="41"/>
      <c r="Q5" s="41"/>
      <c r="R5" s="41"/>
      <c r="S5" s="41"/>
      <c r="T5" s="41"/>
    </row>
    <row r="6" spans="1:20" x14ac:dyDescent="0.25">
      <c r="A6" s="41"/>
      <c r="B6" s="43" t="s">
        <v>9</v>
      </c>
      <c r="C6" s="43">
        <v>13882</v>
      </c>
      <c r="D6" s="43">
        <v>127</v>
      </c>
      <c r="E6" s="43">
        <v>13697</v>
      </c>
      <c r="F6" s="43">
        <v>58</v>
      </c>
      <c r="G6" s="21">
        <f t="shared" si="1"/>
        <v>118517.12696483998</v>
      </c>
      <c r="H6" s="21">
        <f t="shared" si="2"/>
        <v>31322.12869522121</v>
      </c>
      <c r="I6" s="21">
        <f t="shared" si="3"/>
        <v>294563.32726597181</v>
      </c>
      <c r="J6" s="57">
        <f t="shared" si="4"/>
        <v>2</v>
      </c>
      <c r="K6" s="27"/>
      <c r="L6" s="27"/>
      <c r="M6" s="27"/>
      <c r="N6" s="27"/>
      <c r="O6" s="40"/>
      <c r="P6" s="41"/>
      <c r="Q6" s="41"/>
      <c r="R6" s="41"/>
      <c r="S6" s="52"/>
      <c r="T6" s="41"/>
    </row>
    <row r="7" spans="1:20" x14ac:dyDescent="0.25">
      <c r="A7" s="41" t="s">
        <v>18</v>
      </c>
      <c r="B7" s="4" t="s">
        <v>10</v>
      </c>
      <c r="C7" s="43">
        <v>38371</v>
      </c>
      <c r="D7" s="43">
        <v>883</v>
      </c>
      <c r="E7" s="43">
        <v>32605</v>
      </c>
      <c r="F7" s="43">
        <v>4883</v>
      </c>
      <c r="G7" s="21">
        <f t="shared" si="1"/>
        <v>88452.614828505772</v>
      </c>
      <c r="H7" s="21">
        <f t="shared" si="2"/>
        <v>0</v>
      </c>
      <c r="I7" s="21">
        <f t="shared" si="3"/>
        <v>263774.29419865768</v>
      </c>
      <c r="J7" s="57">
        <f t="shared" si="4"/>
        <v>2</v>
      </c>
      <c r="K7" s="25">
        <f>AVERAGE(C6:C8,C11)</f>
        <v>21063.25</v>
      </c>
      <c r="L7" s="25">
        <f t="shared" ref="L7:N7" si="5">AVERAGE(D6:D8,D11)</f>
        <v>490.5</v>
      </c>
      <c r="M7" s="25">
        <f t="shared" si="5"/>
        <v>17822</v>
      </c>
      <c r="N7" s="25">
        <f t="shared" si="5"/>
        <v>2680.75</v>
      </c>
      <c r="O7" s="40" t="s">
        <v>18</v>
      </c>
      <c r="P7" s="41"/>
      <c r="Q7" s="41"/>
      <c r="R7" s="41"/>
      <c r="S7" s="41"/>
      <c r="T7" s="41"/>
    </row>
    <row r="8" spans="1:20" x14ac:dyDescent="0.25">
      <c r="A8" s="41"/>
      <c r="B8" s="43" t="s">
        <v>11</v>
      </c>
      <c r="C8" s="43">
        <v>1263</v>
      </c>
      <c r="D8" s="43">
        <v>42</v>
      </c>
      <c r="E8" s="43">
        <v>1221</v>
      </c>
      <c r="F8" s="43">
        <v>0</v>
      </c>
      <c r="G8" s="21">
        <f t="shared" si="1"/>
        <v>134787.39004076013</v>
      </c>
      <c r="H8" s="21">
        <f t="shared" si="2"/>
        <v>48851.920023679726</v>
      </c>
      <c r="I8" s="21">
        <f t="shared" si="3"/>
        <v>312301.40474547981</v>
      </c>
      <c r="J8" s="57">
        <f t="shared" si="4"/>
        <v>2</v>
      </c>
      <c r="K8" s="25"/>
      <c r="L8" s="25"/>
      <c r="M8" s="25"/>
      <c r="N8" s="25"/>
      <c r="O8" s="59"/>
      <c r="P8" s="41"/>
      <c r="Q8" s="41"/>
      <c r="R8" s="41"/>
      <c r="S8" s="41"/>
      <c r="T8" s="41"/>
    </row>
    <row r="9" spans="1:20" x14ac:dyDescent="0.25">
      <c r="A9" s="41"/>
      <c r="B9" s="4" t="s">
        <v>12</v>
      </c>
      <c r="C9" s="43">
        <v>4377387</v>
      </c>
      <c r="D9" s="43">
        <v>91979</v>
      </c>
      <c r="E9" s="43">
        <v>3990289</v>
      </c>
      <c r="F9" s="43">
        <v>292319</v>
      </c>
      <c r="G9" s="21">
        <f t="shared" si="1"/>
        <v>5801607.9999343287</v>
      </c>
      <c r="H9" s="21">
        <f t="shared" si="2"/>
        <v>5880581.6402311772</v>
      </c>
      <c r="I9" s="21">
        <f t="shared" si="3"/>
        <v>5617351.044850233</v>
      </c>
      <c r="J9" s="57">
        <f t="shared" si="4"/>
        <v>3</v>
      </c>
      <c r="K9" s="25"/>
      <c r="L9" s="25"/>
      <c r="M9" s="25"/>
      <c r="N9" s="25"/>
      <c r="O9" s="40"/>
      <c r="P9" s="41"/>
      <c r="Q9" s="41"/>
      <c r="R9" s="41"/>
      <c r="S9" s="41"/>
      <c r="T9" s="41"/>
    </row>
    <row r="10" spans="1:20" x14ac:dyDescent="0.25">
      <c r="A10" s="41" t="s">
        <v>34</v>
      </c>
      <c r="B10" s="43" t="s">
        <v>13</v>
      </c>
      <c r="C10" s="43">
        <v>227435</v>
      </c>
      <c r="D10" s="43">
        <v>7305</v>
      </c>
      <c r="E10" s="43">
        <v>216423</v>
      </c>
      <c r="F10" s="43">
        <v>3707</v>
      </c>
      <c r="G10" s="21">
        <f t="shared" si="1"/>
        <v>192357.44834552158</v>
      </c>
      <c r="H10" s="21">
        <f t="shared" si="2"/>
        <v>263774.29419865768</v>
      </c>
      <c r="I10" s="21">
        <f t="shared" si="3"/>
        <v>0</v>
      </c>
      <c r="J10" s="57">
        <f t="shared" si="4"/>
        <v>3</v>
      </c>
      <c r="K10" s="25">
        <f>AVERAGE(C9:C10,C12)</f>
        <v>1751612.6666666667</v>
      </c>
      <c r="L10" s="25">
        <f t="shared" ref="L10:N10" si="6">AVERAGE(D9:D10,D12)</f>
        <v>36661.333333333336</v>
      </c>
      <c r="M10" s="25">
        <f t="shared" si="6"/>
        <v>1614587.6666666667</v>
      </c>
      <c r="N10" s="25">
        <f t="shared" si="6"/>
        <v>99430.333333333328</v>
      </c>
      <c r="O10" s="40" t="s">
        <v>34</v>
      </c>
      <c r="P10" s="41"/>
      <c r="Q10" s="41"/>
      <c r="R10" s="41"/>
      <c r="S10" s="41"/>
      <c r="T10" s="41"/>
    </row>
    <row r="11" spans="1:20" x14ac:dyDescent="0.25">
      <c r="A11" s="41"/>
      <c r="B11" s="4" t="s">
        <v>14</v>
      </c>
      <c r="C11" s="43">
        <v>30737</v>
      </c>
      <c r="D11" s="43">
        <v>910</v>
      </c>
      <c r="E11" s="43">
        <v>23765</v>
      </c>
      <c r="F11" s="43">
        <v>5782</v>
      </c>
      <c r="G11" s="21">
        <f t="shared" si="1"/>
        <v>98117.708360927383</v>
      </c>
      <c r="H11" s="21">
        <f t="shared" si="2"/>
        <v>11714.627010707596</v>
      </c>
      <c r="I11" s="21">
        <f t="shared" si="3"/>
        <v>275413.16202752548</v>
      </c>
      <c r="J11" s="57">
        <f t="shared" si="4"/>
        <v>2</v>
      </c>
      <c r="K11" s="25"/>
      <c r="L11" s="25"/>
      <c r="M11" s="25"/>
      <c r="N11" s="25"/>
      <c r="O11" s="40"/>
      <c r="P11" s="41"/>
      <c r="Q11" s="41"/>
      <c r="R11" s="41"/>
      <c r="S11" s="41"/>
      <c r="T11" s="41"/>
    </row>
    <row r="12" spans="1:20" x14ac:dyDescent="0.25">
      <c r="A12" s="41"/>
      <c r="B12" s="43" t="s">
        <v>15</v>
      </c>
      <c r="C12" s="43">
        <v>650016</v>
      </c>
      <c r="D12" s="43">
        <v>10700</v>
      </c>
      <c r="E12" s="43">
        <v>637051</v>
      </c>
      <c r="F12" s="43">
        <v>2265</v>
      </c>
      <c r="G12" s="21">
        <f>SQRT(($C$3-C12)^2+($D$3-D12)^2+($E$3-E12)^2+($F$3-F12)^2)</f>
        <v>784905.73509562283</v>
      </c>
      <c r="H12" s="21">
        <f t="shared" si="2"/>
        <v>859981.27907181799</v>
      </c>
      <c r="I12" s="21">
        <f t="shared" si="3"/>
        <v>596251.81034022861</v>
      </c>
      <c r="J12" s="57">
        <f t="shared" si="4"/>
        <v>3</v>
      </c>
      <c r="K12" s="25"/>
      <c r="L12" s="25"/>
      <c r="M12" s="25"/>
      <c r="N12" s="25"/>
      <c r="O12" s="59"/>
      <c r="P12" s="41"/>
      <c r="Q12" s="41"/>
      <c r="R12" s="41"/>
      <c r="S12" s="41"/>
      <c r="T12" s="41"/>
    </row>
    <row r="13" spans="1:20" x14ac:dyDescent="0.2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20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x14ac:dyDescent="0.25">
      <c r="A15" s="41"/>
      <c r="B15" s="41" t="s">
        <v>23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 x14ac:dyDescent="0.25">
      <c r="A16" s="41"/>
      <c r="B16" s="39" t="s">
        <v>16</v>
      </c>
      <c r="C16" s="54" t="s">
        <v>0</v>
      </c>
      <c r="D16" s="54" t="s">
        <v>1</v>
      </c>
      <c r="E16" s="54" t="s">
        <v>2</v>
      </c>
      <c r="F16" s="54" t="s">
        <v>3</v>
      </c>
      <c r="G16" s="56" t="s">
        <v>20</v>
      </c>
      <c r="H16" s="56" t="s">
        <v>21</v>
      </c>
      <c r="I16" s="56" t="s">
        <v>35</v>
      </c>
      <c r="J16" s="21"/>
      <c r="K16" s="55" t="s">
        <v>22</v>
      </c>
      <c r="L16" s="55"/>
      <c r="M16" s="55"/>
      <c r="N16" s="55"/>
      <c r="O16" s="41"/>
      <c r="P16" s="41"/>
      <c r="Q16" s="41"/>
      <c r="R16" s="41"/>
      <c r="S16" s="41"/>
      <c r="T16" s="41"/>
    </row>
    <row r="17" spans="1:20" x14ac:dyDescent="0.25">
      <c r="A17" s="41"/>
      <c r="B17" s="4" t="s">
        <v>6</v>
      </c>
      <c r="C17" s="43">
        <v>111592</v>
      </c>
      <c r="D17" s="43">
        <v>7319</v>
      </c>
      <c r="E17" s="43">
        <v>67183</v>
      </c>
      <c r="F17" s="43">
        <v>39890</v>
      </c>
      <c r="G17" s="21">
        <f>SQRT(($K$3-C17)^2+($L$3-D17)^2+($M$3-E17)^2+($N$3-F17)^2)</f>
        <v>37083.420635103234</v>
      </c>
      <c r="H17" s="21">
        <f>SQRT(($K$7-C17)^2+($L$7-D17)^2+($M$7-E17)^2+($N$7-F17)^2)</f>
        <v>109832.23386317425</v>
      </c>
      <c r="I17" s="21">
        <f>SQRT(($K$10-C17)^2+($L$10-D17)^2+($M$10-E17)^2+($N$10-F17)^2)</f>
        <v>2255778.1392092719</v>
      </c>
      <c r="J17" s="57">
        <f>IF(AND(G17&lt;H17,G17&lt;I17),1,IF(AND(H17&lt;G17,H17&lt;I17),2,IF(AND(I17&lt;G17,I17&lt;H17),3)))</f>
        <v>1</v>
      </c>
      <c r="K17" s="27">
        <f>AVERAGE(C17:C19,C24,C26)</f>
        <v>251864.2</v>
      </c>
      <c r="L17" s="27">
        <f t="shared" ref="L17:N17" si="7">AVERAGE(D17:D19,D24,D26)</f>
        <v>6347.4</v>
      </c>
      <c r="M17" s="27">
        <f t="shared" si="7"/>
        <v>229302</v>
      </c>
      <c r="N17" s="27">
        <f t="shared" si="7"/>
        <v>16830.8</v>
      </c>
      <c r="O17" s="41"/>
      <c r="P17" s="41"/>
      <c r="Q17" s="41"/>
      <c r="R17" s="41"/>
      <c r="S17" s="41"/>
      <c r="T17" s="41"/>
    </row>
    <row r="18" spans="1:20" x14ac:dyDescent="0.25">
      <c r="A18" s="41"/>
      <c r="B18" s="43" t="s">
        <v>7</v>
      </c>
      <c r="C18" s="43">
        <v>132506</v>
      </c>
      <c r="D18" s="43">
        <v>2735</v>
      </c>
      <c r="E18" s="43">
        <v>129975</v>
      </c>
      <c r="F18" s="43">
        <v>76</v>
      </c>
      <c r="G18" s="21">
        <f t="shared" ref="G18:G25" si="8">SQRT(($K$3-C18)^2+($L$3-D18)^2+($M$3-E18)^2+($N$3-F18)^2)</f>
        <v>41819.336396775434</v>
      </c>
      <c r="H18" s="21">
        <f t="shared" ref="H18:H25" si="9">SQRT(($K$7-C18)^2+($L$7-D18)^2+($M$7-E18)^2+($N$7-F18)^2)</f>
        <v>158144.25199600204</v>
      </c>
      <c r="I18" s="21">
        <f t="shared" ref="I18:I26" si="10">SQRT(($K$10-C18)^2+($L$10-D18)^2+($M$10-E18)^2+($N$10-F18)^2)</f>
        <v>2199227.9208206483</v>
      </c>
      <c r="J18" s="57">
        <f t="shared" ref="J18:J26" si="11">IF(AND(G18&lt;H18,G18&lt;I18),1,IF(AND(H18&lt;G18,H18&lt;I18),2,IF(AND(I18&lt;G18,I18&lt;H18),3)))</f>
        <v>1</v>
      </c>
      <c r="K18" s="27"/>
      <c r="L18" s="27"/>
      <c r="M18" s="27"/>
      <c r="N18" s="27"/>
      <c r="O18" s="41"/>
      <c r="P18" s="41"/>
      <c r="Q18" s="41"/>
      <c r="R18" s="41"/>
      <c r="S18" s="41"/>
      <c r="T18" s="41"/>
    </row>
    <row r="19" spans="1:20" x14ac:dyDescent="0.25">
      <c r="A19" s="41"/>
      <c r="B19" s="4" t="s">
        <v>8</v>
      </c>
      <c r="C19" s="43">
        <v>137772</v>
      </c>
      <c r="D19" s="43">
        <v>3678</v>
      </c>
      <c r="E19" s="43">
        <v>95878</v>
      </c>
      <c r="F19" s="43">
        <v>38216</v>
      </c>
      <c r="G19" s="21">
        <f t="shared" si="8"/>
        <v>16176.391851501783</v>
      </c>
      <c r="H19" s="21">
        <f t="shared" si="9"/>
        <v>144867.47603024979</v>
      </c>
      <c r="I19" s="21">
        <f t="shared" si="10"/>
        <v>2217159.4087699493</v>
      </c>
      <c r="J19" s="57">
        <f t="shared" si="11"/>
        <v>1</v>
      </c>
      <c r="K19" s="27"/>
      <c r="L19" s="27"/>
      <c r="M19" s="27"/>
      <c r="N19" s="27"/>
      <c r="O19" s="41"/>
      <c r="P19" s="41"/>
      <c r="Q19" s="41"/>
      <c r="R19" s="41"/>
      <c r="S19" s="41"/>
      <c r="T19" s="41"/>
    </row>
    <row r="20" spans="1:20" x14ac:dyDescent="0.25">
      <c r="A20" s="41"/>
      <c r="B20" s="43" t="s">
        <v>9</v>
      </c>
      <c r="C20" s="43">
        <v>13882</v>
      </c>
      <c r="D20" s="43">
        <v>127</v>
      </c>
      <c r="E20" s="43">
        <v>13697</v>
      </c>
      <c r="F20" s="43">
        <v>58</v>
      </c>
      <c r="G20" s="21">
        <f t="shared" si="8"/>
        <v>143562.66555294476</v>
      </c>
      <c r="H20" s="21">
        <f t="shared" si="9"/>
        <v>8694.64929568755</v>
      </c>
      <c r="I20" s="21">
        <f t="shared" si="10"/>
        <v>2365114.8840253926</v>
      </c>
      <c r="J20" s="57">
        <f t="shared" si="11"/>
        <v>2</v>
      </c>
      <c r="K20" s="27"/>
      <c r="L20" s="27"/>
      <c r="M20" s="27"/>
      <c r="N20" s="27"/>
      <c r="O20" s="41"/>
      <c r="P20" s="41"/>
      <c r="Q20" s="41"/>
      <c r="R20" s="41"/>
      <c r="S20" s="41"/>
      <c r="T20" s="41"/>
    </row>
    <row r="21" spans="1:20" x14ac:dyDescent="0.25">
      <c r="A21" s="41"/>
      <c r="B21" s="4" t="s">
        <v>10</v>
      </c>
      <c r="C21" s="43">
        <v>38371</v>
      </c>
      <c r="D21" s="43">
        <v>883</v>
      </c>
      <c r="E21" s="43">
        <v>32605</v>
      </c>
      <c r="F21" s="43">
        <v>4883</v>
      </c>
      <c r="G21" s="21">
        <f t="shared" si="8"/>
        <v>112264.47487369577</v>
      </c>
      <c r="H21" s="21">
        <f t="shared" si="9"/>
        <v>22871.363325674312</v>
      </c>
      <c r="I21" s="21">
        <f t="shared" si="10"/>
        <v>2334113.4191407906</v>
      </c>
      <c r="J21" s="57">
        <f t="shared" si="11"/>
        <v>2</v>
      </c>
      <c r="K21" s="25">
        <f>AVERAGE(C20:C22,C25)</f>
        <v>21063.25</v>
      </c>
      <c r="L21" s="25">
        <f t="shared" ref="L21:N21" si="12">AVERAGE(D20:D22,D25)</f>
        <v>490.5</v>
      </c>
      <c r="M21" s="25">
        <f t="shared" si="12"/>
        <v>17822</v>
      </c>
      <c r="N21" s="25">
        <f t="shared" si="12"/>
        <v>2680.75</v>
      </c>
      <c r="O21" s="41"/>
      <c r="P21" s="41"/>
      <c r="Q21" s="41"/>
      <c r="R21" s="41"/>
      <c r="S21" s="41"/>
      <c r="T21" s="41"/>
    </row>
    <row r="22" spans="1:20" x14ac:dyDescent="0.25">
      <c r="A22" s="41"/>
      <c r="B22" s="43" t="s">
        <v>11</v>
      </c>
      <c r="C22" s="43">
        <v>1263</v>
      </c>
      <c r="D22" s="43">
        <v>42</v>
      </c>
      <c r="E22" s="43">
        <v>1221</v>
      </c>
      <c r="F22" s="43">
        <v>0</v>
      </c>
      <c r="G22" s="21">
        <f t="shared" si="8"/>
        <v>160893.17506759983</v>
      </c>
      <c r="H22" s="21">
        <f t="shared" si="9"/>
        <v>25981.352425826488</v>
      </c>
      <c r="I22" s="21">
        <f t="shared" si="10"/>
        <v>2382835.1439979598</v>
      </c>
      <c r="J22" s="57">
        <f t="shared" si="11"/>
        <v>2</v>
      </c>
      <c r="K22" s="25"/>
      <c r="L22" s="25"/>
      <c r="M22" s="25"/>
      <c r="N22" s="25"/>
      <c r="O22" s="41"/>
      <c r="P22" s="41"/>
      <c r="Q22" s="41"/>
      <c r="R22" s="41"/>
      <c r="S22" s="41"/>
      <c r="T22" s="41"/>
    </row>
    <row r="23" spans="1:20" x14ac:dyDescent="0.25">
      <c r="A23" s="41"/>
      <c r="B23" s="4" t="s">
        <v>12</v>
      </c>
      <c r="C23" s="43">
        <v>4377387</v>
      </c>
      <c r="D23" s="43">
        <v>91979</v>
      </c>
      <c r="E23" s="43">
        <v>3990289</v>
      </c>
      <c r="F23" s="43">
        <v>292319</v>
      </c>
      <c r="G23" s="21">
        <f t="shared" si="8"/>
        <v>5770118.9128117627</v>
      </c>
      <c r="H23" s="21">
        <f t="shared" si="9"/>
        <v>5903415.2100625932</v>
      </c>
      <c r="I23" s="21">
        <f t="shared" si="10"/>
        <v>3546676.4381273598</v>
      </c>
      <c r="J23" s="57">
        <f t="shared" si="11"/>
        <v>3</v>
      </c>
      <c r="K23" s="25"/>
      <c r="L23" s="25"/>
      <c r="M23" s="25"/>
      <c r="N23" s="25"/>
      <c r="O23" s="41"/>
      <c r="P23" s="41"/>
      <c r="Q23" s="41"/>
      <c r="R23" s="41"/>
      <c r="S23" s="41"/>
      <c r="T23" s="41"/>
    </row>
    <row r="24" spans="1:20" x14ac:dyDescent="0.25">
      <c r="A24" s="41"/>
      <c r="B24" s="43" t="s">
        <v>13</v>
      </c>
      <c r="C24" s="43">
        <v>227435</v>
      </c>
      <c r="D24" s="43">
        <v>7305</v>
      </c>
      <c r="E24" s="43">
        <v>216423</v>
      </c>
      <c r="F24" s="43">
        <v>3707</v>
      </c>
      <c r="G24" s="21">
        <f t="shared" si="8"/>
        <v>156959.75376722106</v>
      </c>
      <c r="H24" s="21">
        <f t="shared" si="9"/>
        <v>286494.58458821697</v>
      </c>
      <c r="I24" s="21">
        <f t="shared" si="10"/>
        <v>2070750.2856529511</v>
      </c>
      <c r="J24" s="57">
        <f t="shared" si="11"/>
        <v>1</v>
      </c>
      <c r="K24" s="25">
        <f>AVERAGE(C23)</f>
        <v>4377387</v>
      </c>
      <c r="L24" s="25">
        <f t="shared" ref="L24:N24" si="13">AVERAGE(D23)</f>
        <v>91979</v>
      </c>
      <c r="M24" s="25">
        <f t="shared" si="13"/>
        <v>3990289</v>
      </c>
      <c r="N24" s="25">
        <f t="shared" si="13"/>
        <v>292319</v>
      </c>
      <c r="O24" s="41"/>
      <c r="P24" s="41"/>
      <c r="Q24" s="41"/>
      <c r="R24" s="41"/>
      <c r="S24" s="41"/>
      <c r="T24" s="41"/>
    </row>
    <row r="25" spans="1:20" x14ac:dyDescent="0.25">
      <c r="A25" s="41"/>
      <c r="B25" s="4" t="s">
        <v>14</v>
      </c>
      <c r="C25" s="43">
        <v>30737</v>
      </c>
      <c r="D25" s="43">
        <v>910</v>
      </c>
      <c r="E25" s="43">
        <v>23765</v>
      </c>
      <c r="F25" s="43">
        <v>5782</v>
      </c>
      <c r="G25" s="21">
        <f t="shared" si="8"/>
        <v>123330.3919748359</v>
      </c>
      <c r="H25" s="21">
        <f t="shared" si="9"/>
        <v>11776.859508162606</v>
      </c>
      <c r="I25" s="21">
        <f t="shared" si="10"/>
        <v>2345672.1819293317</v>
      </c>
      <c r="J25" s="57">
        <f t="shared" si="11"/>
        <v>2</v>
      </c>
      <c r="K25" s="25"/>
      <c r="L25" s="25"/>
      <c r="M25" s="25"/>
      <c r="N25" s="25"/>
      <c r="O25" s="41"/>
      <c r="P25" s="41"/>
      <c r="Q25" s="41"/>
      <c r="R25" s="41"/>
      <c r="S25" s="41"/>
      <c r="T25" s="41"/>
    </row>
    <row r="26" spans="1:20" x14ac:dyDescent="0.25">
      <c r="A26" s="41"/>
      <c r="B26" s="43" t="s">
        <v>15</v>
      </c>
      <c r="C26" s="43">
        <v>650016</v>
      </c>
      <c r="D26" s="43">
        <v>10700</v>
      </c>
      <c r="E26" s="43">
        <v>637051</v>
      </c>
      <c r="F26" s="43">
        <v>2265</v>
      </c>
      <c r="G26" s="21">
        <f>SQRT(($K$3-C26)^2+($L$3-D26)^2+($M$3-E26)^2+($N$3-F26)^2)</f>
        <v>751510.94858336332</v>
      </c>
      <c r="H26" s="21">
        <f>SQRT(($K$7-C26)^2+($L$7-D26)^2+($M$7-E26)^2+($N$7-F26)^2)</f>
        <v>882683.70490899798</v>
      </c>
      <c r="I26" s="21">
        <f t="shared" si="10"/>
        <v>1476214.1590972196</v>
      </c>
      <c r="J26" s="57">
        <f t="shared" si="11"/>
        <v>1</v>
      </c>
      <c r="K26" s="25"/>
      <c r="L26" s="25"/>
      <c r="M26" s="25"/>
      <c r="N26" s="25"/>
      <c r="O26" s="41"/>
      <c r="P26" s="41"/>
      <c r="Q26" s="41"/>
      <c r="R26" s="41"/>
      <c r="S26" s="41"/>
      <c r="T26" s="41"/>
    </row>
    <row r="27" spans="1:20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</row>
    <row r="28" spans="1:20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</row>
    <row r="29" spans="1:20" x14ac:dyDescent="0.25">
      <c r="A29" s="41"/>
      <c r="B29" s="41" t="s">
        <v>32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</row>
    <row r="30" spans="1:20" x14ac:dyDescent="0.25">
      <c r="A30" s="41"/>
      <c r="B30" s="39" t="s">
        <v>16</v>
      </c>
      <c r="C30" s="54" t="s">
        <v>0</v>
      </c>
      <c r="D30" s="54" t="s">
        <v>1</v>
      </c>
      <c r="E30" s="54" t="s">
        <v>2</v>
      </c>
      <c r="F30" s="54" t="s">
        <v>3</v>
      </c>
      <c r="G30" s="56" t="s">
        <v>20</v>
      </c>
      <c r="H30" s="56" t="s">
        <v>21</v>
      </c>
      <c r="I30" s="56" t="s">
        <v>35</v>
      </c>
      <c r="J30" s="21"/>
      <c r="K30" s="55" t="s">
        <v>22</v>
      </c>
      <c r="L30" s="55"/>
      <c r="M30" s="55"/>
      <c r="N30" s="55"/>
      <c r="O30" s="41"/>
      <c r="P30" s="41"/>
      <c r="Q30" s="41"/>
      <c r="R30" s="41"/>
      <c r="S30" s="41"/>
      <c r="T30" s="41"/>
    </row>
    <row r="31" spans="1:20" x14ac:dyDescent="0.25">
      <c r="A31" s="41"/>
      <c r="B31" s="4" t="s">
        <v>6</v>
      </c>
      <c r="C31" s="43">
        <v>111592</v>
      </c>
      <c r="D31" s="43">
        <v>7319</v>
      </c>
      <c r="E31" s="43">
        <v>67183</v>
      </c>
      <c r="F31" s="43">
        <v>39890</v>
      </c>
      <c r="G31" s="21">
        <f>SQRT(($K$17-C31)^2+($L$17-D31)^2+($M$17-E31)^2+($N$17-F31)^2)</f>
        <v>215618.94852966891</v>
      </c>
      <c r="H31" s="21">
        <f>SQRT(($K$21-C31)^2+($L$21-D31)^2+($M$21-E31)^2+($N$21-F31)^2)</f>
        <v>109832.23386317425</v>
      </c>
      <c r="I31" s="21">
        <f>SQRT(($K$24-C31)^2+($L$24-D31)^2+($M$24-E31)^2+($N$24-F31)^2)</f>
        <v>5801607.9999343287</v>
      </c>
      <c r="J31" s="57">
        <f>IF(AND(G31&lt;H31,G31&lt;I31),1,IF(AND(H31&lt;G31,H31&lt;I31),2,IF(AND(I31&lt;G31,I31&lt;H31),3)))</f>
        <v>2</v>
      </c>
      <c r="K31" s="27">
        <f>AVERAGE(C32,C38,C40)</f>
        <v>336652.33333333331</v>
      </c>
      <c r="L31" s="27">
        <f t="shared" ref="L31:N31" si="14">AVERAGE(D32,D38,D40)</f>
        <v>6913.333333333333</v>
      </c>
      <c r="M31" s="27">
        <f t="shared" si="14"/>
        <v>327816.33333333331</v>
      </c>
      <c r="N31" s="27">
        <f t="shared" si="14"/>
        <v>2016</v>
      </c>
      <c r="O31" s="41"/>
      <c r="P31" s="41"/>
      <c r="Q31" s="41"/>
      <c r="R31" s="41"/>
      <c r="S31" s="41"/>
      <c r="T31" s="41"/>
    </row>
    <row r="32" spans="1:20" x14ac:dyDescent="0.25">
      <c r="A32" s="41"/>
      <c r="B32" s="43" t="s">
        <v>7</v>
      </c>
      <c r="C32" s="43">
        <v>132506</v>
      </c>
      <c r="D32" s="43">
        <v>2735</v>
      </c>
      <c r="E32" s="43">
        <v>129975</v>
      </c>
      <c r="F32" s="43">
        <v>76</v>
      </c>
      <c r="G32" s="21">
        <f t="shared" ref="G32:G40" si="15">SQRT(($K$17-C32)^2+($L$17-D32)^2+($M$17-E32)^2+($N$17-F32)^2)</f>
        <v>156224.21577028322</v>
      </c>
      <c r="H32" s="21">
        <f t="shared" ref="H32:H39" si="16">SQRT(($K$21-C32)^2+($L$21-D32)^2+($M$21-E32)^2+($N$21-F32)^2)</f>
        <v>158144.25199600204</v>
      </c>
      <c r="I32" s="21">
        <f t="shared" ref="I32:I40" si="17">SQRT(($K$24-C32)^2+($L$24-D32)^2+($M$24-E32)^2+($N$24-F32)^2)</f>
        <v>5745816.6821907917</v>
      </c>
      <c r="J32" s="57">
        <f t="shared" ref="J32:J40" si="18">IF(AND(G32&lt;H32,G32&lt;I32),1,IF(AND(H32&lt;G32,H32&lt;I32),2,IF(AND(I32&lt;G32,I32&lt;H32),3)))</f>
        <v>1</v>
      </c>
      <c r="K32" s="27"/>
      <c r="L32" s="27"/>
      <c r="M32" s="27"/>
      <c r="N32" s="27"/>
      <c r="O32" s="41"/>
      <c r="P32" s="41"/>
      <c r="Q32" s="41"/>
      <c r="R32" s="41"/>
      <c r="S32" s="41"/>
      <c r="T32" s="41"/>
    </row>
    <row r="33" spans="1:20" x14ac:dyDescent="0.25">
      <c r="A33" s="41"/>
      <c r="B33" s="4" t="s">
        <v>8</v>
      </c>
      <c r="C33" s="43">
        <v>137772</v>
      </c>
      <c r="D33" s="43">
        <v>3678</v>
      </c>
      <c r="E33" s="43">
        <v>95878</v>
      </c>
      <c r="F33" s="43">
        <v>38216</v>
      </c>
      <c r="G33" s="21">
        <f t="shared" si="15"/>
        <v>176871.27056772111</v>
      </c>
      <c r="H33" s="21">
        <f t="shared" si="16"/>
        <v>144867.47603024979</v>
      </c>
      <c r="I33" s="21">
        <f t="shared" si="17"/>
        <v>5763084.0516476939</v>
      </c>
      <c r="J33" s="57">
        <f t="shared" si="18"/>
        <v>2</v>
      </c>
      <c r="K33" s="27"/>
      <c r="L33" s="27"/>
      <c r="M33" s="27"/>
      <c r="N33" s="27"/>
      <c r="O33" s="41"/>
      <c r="P33" s="41"/>
      <c r="Q33" s="41"/>
      <c r="R33" s="41"/>
      <c r="S33" s="41"/>
      <c r="T33" s="41"/>
    </row>
    <row r="34" spans="1:20" x14ac:dyDescent="0.25">
      <c r="A34" s="41"/>
      <c r="B34" s="43" t="s">
        <v>9</v>
      </c>
      <c r="C34" s="43">
        <v>13882</v>
      </c>
      <c r="D34" s="43">
        <v>127</v>
      </c>
      <c r="E34" s="43">
        <v>13697</v>
      </c>
      <c r="F34" s="43">
        <v>58</v>
      </c>
      <c r="G34" s="21">
        <f t="shared" si="15"/>
        <v>321622.54855317593</v>
      </c>
      <c r="H34" s="21">
        <f t="shared" si="16"/>
        <v>8694.64929568755</v>
      </c>
      <c r="I34" s="21">
        <f t="shared" si="17"/>
        <v>5911625.2504293602</v>
      </c>
      <c r="J34" s="57">
        <f t="shared" si="18"/>
        <v>2</v>
      </c>
      <c r="K34" s="27"/>
      <c r="L34" s="27"/>
      <c r="M34" s="27"/>
      <c r="N34" s="27"/>
      <c r="O34" s="41"/>
      <c r="P34" s="41"/>
      <c r="Q34" s="41"/>
      <c r="R34" s="41"/>
      <c r="S34" s="41"/>
      <c r="T34" s="41"/>
    </row>
    <row r="35" spans="1:20" x14ac:dyDescent="0.25">
      <c r="A35" s="41"/>
      <c r="B35" s="4" t="s">
        <v>10</v>
      </c>
      <c r="C35" s="43">
        <v>38371</v>
      </c>
      <c r="D35" s="43">
        <v>883</v>
      </c>
      <c r="E35" s="43">
        <v>32605</v>
      </c>
      <c r="F35" s="43">
        <v>4883</v>
      </c>
      <c r="G35" s="21">
        <f t="shared" si="15"/>
        <v>290588.48195935087</v>
      </c>
      <c r="H35" s="21">
        <f t="shared" si="16"/>
        <v>22871.363325674312</v>
      </c>
      <c r="I35" s="21">
        <f t="shared" si="17"/>
        <v>5880581.6402311772</v>
      </c>
      <c r="J35" s="57">
        <f t="shared" si="18"/>
        <v>2</v>
      </c>
      <c r="K35" s="25">
        <f>AVERAGE(C31,C33:C36,C39)</f>
        <v>55602.833333333336</v>
      </c>
      <c r="L35" s="25">
        <f t="shared" ref="L35:N35" si="19">AVERAGE(D31,D33:D36,D39)</f>
        <v>2159.8333333333335</v>
      </c>
      <c r="M35" s="25">
        <f t="shared" si="19"/>
        <v>39058.166666666664</v>
      </c>
      <c r="N35" s="25">
        <f t="shared" si="19"/>
        <v>14804.833333333334</v>
      </c>
      <c r="O35" s="41"/>
      <c r="P35" s="41"/>
      <c r="Q35" s="41"/>
      <c r="R35" s="41"/>
      <c r="S35" s="41"/>
      <c r="T35" s="41"/>
    </row>
    <row r="36" spans="1:20" x14ac:dyDescent="0.25">
      <c r="A36" s="41"/>
      <c r="B36" s="43" t="s">
        <v>11</v>
      </c>
      <c r="C36" s="43">
        <v>1263</v>
      </c>
      <c r="D36" s="43">
        <v>42</v>
      </c>
      <c r="E36" s="43">
        <v>1221</v>
      </c>
      <c r="F36" s="43">
        <v>0</v>
      </c>
      <c r="G36" s="21">
        <f t="shared" si="15"/>
        <v>339330.13114110572</v>
      </c>
      <c r="H36" s="21">
        <f t="shared" si="16"/>
        <v>25981.352425826488</v>
      </c>
      <c r="I36" s="21">
        <f t="shared" si="17"/>
        <v>5929336.1839020392</v>
      </c>
      <c r="J36" s="57">
        <f t="shared" si="18"/>
        <v>2</v>
      </c>
      <c r="K36" s="25"/>
      <c r="L36" s="25"/>
      <c r="M36" s="25"/>
      <c r="N36" s="25"/>
      <c r="O36" s="41"/>
      <c r="P36" s="41"/>
      <c r="Q36" s="41"/>
      <c r="R36" s="41"/>
      <c r="S36" s="41"/>
      <c r="T36" s="41"/>
    </row>
    <row r="37" spans="1:20" x14ac:dyDescent="0.25">
      <c r="A37" s="41"/>
      <c r="B37" s="4" t="s">
        <v>12</v>
      </c>
      <c r="C37" s="43">
        <v>4377387</v>
      </c>
      <c r="D37" s="43">
        <v>91979</v>
      </c>
      <c r="E37" s="43">
        <v>3990289</v>
      </c>
      <c r="F37" s="43">
        <v>292319</v>
      </c>
      <c r="G37" s="21">
        <f t="shared" si="15"/>
        <v>5590007.8807410132</v>
      </c>
      <c r="H37" s="21">
        <f t="shared" si="16"/>
        <v>5903415.2100625932</v>
      </c>
      <c r="I37" s="21">
        <f t="shared" si="17"/>
        <v>0</v>
      </c>
      <c r="J37" s="57">
        <f t="shared" si="18"/>
        <v>3</v>
      </c>
      <c r="K37" s="25"/>
      <c r="L37" s="25"/>
      <c r="M37" s="25"/>
      <c r="N37" s="25"/>
      <c r="O37" s="41"/>
      <c r="P37" s="41"/>
      <c r="Q37" s="41"/>
      <c r="R37" s="41"/>
      <c r="S37" s="41"/>
      <c r="T37" s="41"/>
    </row>
    <row r="38" spans="1:20" x14ac:dyDescent="0.25">
      <c r="A38" s="41"/>
      <c r="B38" s="43" t="s">
        <v>13</v>
      </c>
      <c r="C38" s="43">
        <v>227435</v>
      </c>
      <c r="D38" s="43">
        <v>7305</v>
      </c>
      <c r="E38" s="43">
        <v>216423</v>
      </c>
      <c r="F38" s="43">
        <v>3707</v>
      </c>
      <c r="G38" s="21">
        <f t="shared" si="15"/>
        <v>30590.939472987757</v>
      </c>
      <c r="H38" s="21">
        <f t="shared" si="16"/>
        <v>286494.58458821697</v>
      </c>
      <c r="I38" s="21">
        <f t="shared" si="17"/>
        <v>5617351.044850233</v>
      </c>
      <c r="J38" s="57">
        <f t="shared" si="18"/>
        <v>1</v>
      </c>
      <c r="K38" s="25">
        <f>AVERAGE(C37)</f>
        <v>4377387</v>
      </c>
      <c r="L38" s="25">
        <f t="shared" ref="L38:N38" si="20">AVERAGE(D37)</f>
        <v>91979</v>
      </c>
      <c r="M38" s="25">
        <f t="shared" si="20"/>
        <v>3990289</v>
      </c>
      <c r="N38" s="25">
        <f t="shared" si="20"/>
        <v>292319</v>
      </c>
      <c r="O38" s="41"/>
      <c r="P38" s="41"/>
      <c r="Q38" s="41"/>
      <c r="R38" s="41"/>
      <c r="S38" s="41"/>
      <c r="T38" s="41"/>
    </row>
    <row r="39" spans="1:20" x14ac:dyDescent="0.25">
      <c r="A39" s="41"/>
      <c r="B39" s="4" t="s">
        <v>14</v>
      </c>
      <c r="C39" s="43">
        <v>30737</v>
      </c>
      <c r="D39" s="43">
        <v>910</v>
      </c>
      <c r="E39" s="43">
        <v>23765</v>
      </c>
      <c r="F39" s="43">
        <v>5782</v>
      </c>
      <c r="G39" s="21">
        <f t="shared" si="15"/>
        <v>302149.52961909439</v>
      </c>
      <c r="H39" s="21">
        <f t="shared" si="16"/>
        <v>11776.859508162606</v>
      </c>
      <c r="I39" s="21">
        <f t="shared" si="17"/>
        <v>5892119.8121054871</v>
      </c>
      <c r="J39" s="57">
        <f t="shared" si="18"/>
        <v>2</v>
      </c>
      <c r="K39" s="25"/>
      <c r="L39" s="25"/>
      <c r="M39" s="25"/>
      <c r="N39" s="25"/>
      <c r="O39" s="41"/>
      <c r="P39" s="41"/>
      <c r="Q39" s="41"/>
      <c r="R39" s="41"/>
      <c r="S39" s="41"/>
      <c r="T39" s="41"/>
    </row>
    <row r="40" spans="1:20" x14ac:dyDescent="0.25">
      <c r="A40" s="41"/>
      <c r="B40" s="43" t="s">
        <v>15</v>
      </c>
      <c r="C40" s="43">
        <v>650016</v>
      </c>
      <c r="D40" s="43">
        <v>10700</v>
      </c>
      <c r="E40" s="43">
        <v>637051</v>
      </c>
      <c r="F40" s="43">
        <v>2265</v>
      </c>
      <c r="G40" s="21">
        <f t="shared" si="15"/>
        <v>570101.05288504774</v>
      </c>
      <c r="H40" s="21">
        <f>SQRT(($K$21-C40)^2+($L$21-D40)^2+($M$21-E40)^2+($N$21-F40)^2)</f>
        <v>882683.70490899798</v>
      </c>
      <c r="I40" s="21">
        <f t="shared" si="17"/>
        <v>5022771.8696992397</v>
      </c>
      <c r="J40" s="57">
        <f t="shared" si="18"/>
        <v>1</v>
      </c>
      <c r="K40" s="25"/>
      <c r="L40" s="25"/>
      <c r="M40" s="25"/>
      <c r="N40" s="25"/>
      <c r="O40" s="41"/>
      <c r="P40" s="41"/>
      <c r="Q40" s="41"/>
      <c r="R40" s="41"/>
      <c r="S40" s="41"/>
      <c r="T40" s="41"/>
    </row>
    <row r="41" spans="1:20" x14ac:dyDescent="0.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</row>
    <row r="42" spans="1:20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</row>
    <row r="43" spans="1:20" x14ac:dyDescent="0.25">
      <c r="A43" s="41"/>
      <c r="B43" s="41" t="s">
        <v>33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</row>
    <row r="44" spans="1:20" x14ac:dyDescent="0.25">
      <c r="A44" s="41"/>
      <c r="B44" s="39" t="s">
        <v>16</v>
      </c>
      <c r="C44" s="54" t="s">
        <v>0</v>
      </c>
      <c r="D44" s="54" t="s">
        <v>1</v>
      </c>
      <c r="E44" s="54" t="s">
        <v>2</v>
      </c>
      <c r="F44" s="54" t="s">
        <v>3</v>
      </c>
      <c r="G44" s="56" t="s">
        <v>20</v>
      </c>
      <c r="H44" s="56" t="s">
        <v>21</v>
      </c>
      <c r="I44" s="56" t="s">
        <v>35</v>
      </c>
      <c r="J44" s="21"/>
      <c r="K44" s="55" t="s">
        <v>22</v>
      </c>
      <c r="L44" s="55"/>
      <c r="M44" s="55"/>
      <c r="N44" s="55"/>
      <c r="O44" s="41"/>
      <c r="P44" s="41"/>
      <c r="Q44" s="41"/>
      <c r="R44" s="41"/>
      <c r="S44" s="41"/>
      <c r="T44" s="41"/>
    </row>
    <row r="45" spans="1:20" x14ac:dyDescent="0.25">
      <c r="A45" s="41"/>
      <c r="B45" s="4" t="s">
        <v>6</v>
      </c>
      <c r="C45" s="43">
        <v>111592</v>
      </c>
      <c r="D45" s="43">
        <v>7319</v>
      </c>
      <c r="E45" s="43">
        <v>67183</v>
      </c>
      <c r="F45" s="43">
        <v>39890</v>
      </c>
      <c r="G45" s="21">
        <f>SQRT(($K$31-C73)^2+($L$31-D73)^2+($M$31-E73)^2+($N$31-F73)^2)</f>
        <v>346433.96560672275</v>
      </c>
      <c r="H45" s="21">
        <f>SQRT(($K$35-C73)^2+($L$35-D73)^2+($M$35-E73)^2+($N$35-F73)^2)</f>
        <v>67688.075917730472</v>
      </c>
      <c r="I45" s="21">
        <f>SQRT(($K$38-C73)^2+($L$38-D73)^2+($M$38-E73)^2+($N$38-F73)^2)</f>
        <v>5801607.9999343287</v>
      </c>
      <c r="J45" s="57">
        <f>IF(AND(G73&lt;H73,G73&lt;I73),1,IF(AND(H73&lt;G73,H73&lt;I73),2,IF(AND(I73&lt;G73,I73&lt;H73),3)))</f>
        <v>2</v>
      </c>
      <c r="K45" s="27">
        <f>AVERAGE(C52,C54)</f>
        <v>438725.5</v>
      </c>
      <c r="L45" s="27">
        <f t="shared" ref="L45:N45" si="21">AVERAGE(D52,D54)</f>
        <v>9002.5</v>
      </c>
      <c r="M45" s="27">
        <f t="shared" si="21"/>
        <v>426737</v>
      </c>
      <c r="N45" s="27">
        <f t="shared" si="21"/>
        <v>2986</v>
      </c>
      <c r="O45" s="41"/>
      <c r="P45" s="41"/>
      <c r="Q45" s="41"/>
      <c r="R45" s="41"/>
      <c r="S45" s="41"/>
      <c r="T45" s="41"/>
    </row>
    <row r="46" spans="1:20" x14ac:dyDescent="0.25">
      <c r="A46" s="41"/>
      <c r="B46" s="43" t="s">
        <v>7</v>
      </c>
      <c r="C46" s="43">
        <v>132506</v>
      </c>
      <c r="D46" s="43">
        <v>2735</v>
      </c>
      <c r="E46" s="43">
        <v>129975</v>
      </c>
      <c r="F46" s="43">
        <v>76</v>
      </c>
      <c r="G46" s="21">
        <f>SQRT(($K$31-C74)^2+($L$31-D74)^2+($M$31-E74)^2+($N$31-F74)^2)</f>
        <v>284320.48933905549</v>
      </c>
      <c r="H46" s="21">
        <f>SQRT(($K$35-C74)^2+($L$35-D74)^2+($M$35-E74)^2+($N$35-F74)^2)</f>
        <v>119988.48684260411</v>
      </c>
      <c r="I46" s="21">
        <f>SQRT(($K$38-C74)^2+($L$38-D74)^2+($M$38-E74)^2+($N$38-F74)^2)</f>
        <v>5745816.6821907917</v>
      </c>
      <c r="J46" s="57">
        <f>IF(AND(G74&lt;H74,G74&lt;I74),1,IF(AND(H74&lt;G74,H74&lt;I74),2,IF(AND(I74&lt;G74,I74&lt;H74),3)))</f>
        <v>2</v>
      </c>
      <c r="K46" s="27"/>
      <c r="L46" s="27"/>
      <c r="M46" s="27"/>
      <c r="N46" s="27"/>
      <c r="O46" s="41"/>
      <c r="P46" s="41"/>
      <c r="Q46" s="41"/>
      <c r="R46" s="41"/>
      <c r="S46" s="41"/>
      <c r="T46" s="41"/>
    </row>
    <row r="47" spans="1:20" x14ac:dyDescent="0.25">
      <c r="A47" s="41"/>
      <c r="B47" s="4" t="s">
        <v>8</v>
      </c>
      <c r="C47" s="43">
        <v>137772</v>
      </c>
      <c r="D47" s="43">
        <v>3678</v>
      </c>
      <c r="E47" s="43">
        <v>95878</v>
      </c>
      <c r="F47" s="43">
        <v>38216</v>
      </c>
      <c r="G47" s="21">
        <f t="shared" ref="G47:G54" si="22">SQRT(($K$31-C47)^2+($L$31-D47)^2+($M$31-E47)^2+($N$31-F47)^2)</f>
        <v>307684.39160607412</v>
      </c>
      <c r="H47" s="21">
        <f t="shared" ref="H47:H54" si="23">SQRT(($K$35-C47)^2+($L$35-D47)^2+($M$35-E47)^2+($N$35-F47)^2)</f>
        <v>102618.96981281991</v>
      </c>
      <c r="I47" s="21">
        <f t="shared" ref="I47:I54" si="24">SQRT(($K$38-C47)^2+($L$38-D47)^2+($M$38-E47)^2+($N$38-F47)^2)</f>
        <v>5763084.0516476939</v>
      </c>
      <c r="J47" s="57">
        <f t="shared" ref="J47:J54" si="25">IF(AND(G47&lt;H47,G47&lt;I47),1,IF(AND(H47&lt;G47,H47&lt;I47),2,IF(AND(I47&lt;G47,I47&lt;H47),3)))</f>
        <v>2</v>
      </c>
      <c r="K47" s="27"/>
      <c r="L47" s="27"/>
      <c r="M47" s="27"/>
      <c r="N47" s="27"/>
      <c r="O47" s="41"/>
      <c r="P47" s="41"/>
      <c r="Q47" s="41"/>
      <c r="R47" s="41"/>
      <c r="S47" s="41"/>
      <c r="T47" s="41"/>
    </row>
    <row r="48" spans="1:20" x14ac:dyDescent="0.25">
      <c r="A48" s="41"/>
      <c r="B48" s="43" t="s">
        <v>9</v>
      </c>
      <c r="C48" s="43">
        <v>13882</v>
      </c>
      <c r="D48" s="43">
        <v>127</v>
      </c>
      <c r="E48" s="43">
        <v>13697</v>
      </c>
      <c r="F48" s="43">
        <v>58</v>
      </c>
      <c r="G48" s="21">
        <f t="shared" si="22"/>
        <v>450445.92543167708</v>
      </c>
      <c r="H48" s="21">
        <f t="shared" si="23"/>
        <v>51043.297438982569</v>
      </c>
      <c r="I48" s="21">
        <f t="shared" si="24"/>
        <v>5911625.2504293602</v>
      </c>
      <c r="J48" s="57">
        <f t="shared" si="25"/>
        <v>2</v>
      </c>
      <c r="K48" s="27"/>
      <c r="L48" s="27"/>
      <c r="M48" s="27"/>
      <c r="N48" s="27"/>
      <c r="O48" s="41"/>
      <c r="P48" s="41"/>
      <c r="Q48" s="41"/>
      <c r="R48" s="41"/>
      <c r="S48" s="41"/>
      <c r="T48" s="41"/>
    </row>
    <row r="49" spans="1:20" x14ac:dyDescent="0.25">
      <c r="A49" s="41"/>
      <c r="B49" s="4" t="s">
        <v>10</v>
      </c>
      <c r="C49" s="43">
        <v>38371</v>
      </c>
      <c r="D49" s="43">
        <v>883</v>
      </c>
      <c r="E49" s="43">
        <v>32605</v>
      </c>
      <c r="F49" s="43">
        <v>4883</v>
      </c>
      <c r="G49" s="21">
        <f t="shared" si="22"/>
        <v>419721.4192207334</v>
      </c>
      <c r="H49" s="21">
        <f t="shared" si="23"/>
        <v>20944.033043115436</v>
      </c>
      <c r="I49" s="21">
        <f t="shared" si="24"/>
        <v>5880581.6402311772</v>
      </c>
      <c r="J49" s="57">
        <f t="shared" si="25"/>
        <v>2</v>
      </c>
      <c r="K49" s="25">
        <f>AVERAGE(C50:C73,C53)</f>
        <v>655889.8823529412</v>
      </c>
      <c r="L49" s="25">
        <f>AVERAGE(D50:D73,D53)</f>
        <v>14402.529411764706</v>
      </c>
      <c r="M49" s="25">
        <f>AVERAGE(E50:E73,E53)</f>
        <v>598104.9411764706</v>
      </c>
      <c r="N49" s="25">
        <f>AVERAGE(F50:F73,F53)</f>
        <v>43349.470588235294</v>
      </c>
      <c r="O49" s="41"/>
      <c r="P49" s="41"/>
      <c r="Q49" s="41"/>
      <c r="R49" s="41"/>
      <c r="S49" s="41"/>
      <c r="T49" s="41"/>
    </row>
    <row r="50" spans="1:20" x14ac:dyDescent="0.25">
      <c r="A50" s="41"/>
      <c r="B50" s="43" t="s">
        <v>11</v>
      </c>
      <c r="C50" s="43">
        <v>1263</v>
      </c>
      <c r="D50" s="43">
        <v>42</v>
      </c>
      <c r="E50" s="43">
        <v>1221</v>
      </c>
      <c r="F50" s="43">
        <v>0</v>
      </c>
      <c r="G50" s="21">
        <f t="shared" si="22"/>
        <v>468189.91461442935</v>
      </c>
      <c r="H50" s="21">
        <f t="shared" si="23"/>
        <v>67883.259910754947</v>
      </c>
      <c r="I50" s="21">
        <f t="shared" si="24"/>
        <v>5929336.1839020392</v>
      </c>
      <c r="J50" s="57">
        <f t="shared" si="25"/>
        <v>2</v>
      </c>
      <c r="K50" s="25"/>
      <c r="L50" s="25"/>
      <c r="M50" s="25"/>
      <c r="N50" s="25"/>
      <c r="O50" s="41"/>
      <c r="P50" s="41"/>
      <c r="Q50" s="41"/>
      <c r="R50" s="41"/>
      <c r="S50" s="41"/>
      <c r="T50" s="41"/>
    </row>
    <row r="51" spans="1:20" x14ac:dyDescent="0.25">
      <c r="A51" s="41"/>
      <c r="B51" s="4" t="s">
        <v>12</v>
      </c>
      <c r="C51" s="43">
        <v>4377387</v>
      </c>
      <c r="D51" s="43">
        <v>91979</v>
      </c>
      <c r="E51" s="43">
        <v>3990289</v>
      </c>
      <c r="F51" s="43">
        <v>292319</v>
      </c>
      <c r="G51" s="21">
        <f t="shared" si="22"/>
        <v>5461936.89820165</v>
      </c>
      <c r="H51" s="21">
        <f t="shared" si="23"/>
        <v>5863030.3663665364</v>
      </c>
      <c r="I51" s="21">
        <f t="shared" si="24"/>
        <v>0</v>
      </c>
      <c r="J51" s="57">
        <f t="shared" si="25"/>
        <v>3</v>
      </c>
      <c r="K51" s="25"/>
      <c r="L51" s="25"/>
      <c r="M51" s="25"/>
      <c r="N51" s="25"/>
      <c r="O51" s="41"/>
      <c r="P51" s="41"/>
      <c r="Q51" s="41"/>
      <c r="R51" s="41"/>
      <c r="S51" s="41"/>
      <c r="T51" s="41"/>
    </row>
    <row r="52" spans="1:20" x14ac:dyDescent="0.25">
      <c r="A52" s="41"/>
      <c r="B52" s="43" t="s">
        <v>13</v>
      </c>
      <c r="C52" s="43">
        <v>227435</v>
      </c>
      <c r="D52" s="43">
        <v>7305</v>
      </c>
      <c r="E52" s="43">
        <v>216423</v>
      </c>
      <c r="F52" s="43">
        <v>3707</v>
      </c>
      <c r="G52" s="21">
        <f t="shared" si="22"/>
        <v>156012.54275004086</v>
      </c>
      <c r="H52" s="21">
        <f t="shared" si="23"/>
        <v>247253.33617454881</v>
      </c>
      <c r="I52" s="21">
        <f t="shared" si="24"/>
        <v>5617351.044850233</v>
      </c>
      <c r="J52" s="57">
        <f t="shared" si="25"/>
        <v>1</v>
      </c>
      <c r="K52" s="25">
        <f>AVERAGE(C51)</f>
        <v>4377387</v>
      </c>
      <c r="L52" s="25">
        <f t="shared" ref="L52" si="26">AVERAGE(D51)</f>
        <v>91979</v>
      </c>
      <c r="M52" s="25">
        <f t="shared" ref="M52" si="27">AVERAGE(E51)</f>
        <v>3990289</v>
      </c>
      <c r="N52" s="25">
        <f t="shared" ref="N52" si="28">AVERAGE(F51)</f>
        <v>292319</v>
      </c>
      <c r="O52" s="41"/>
      <c r="P52" s="41"/>
      <c r="Q52" s="41"/>
      <c r="R52" s="41"/>
      <c r="S52" s="41"/>
      <c r="T52" s="41"/>
    </row>
    <row r="53" spans="1:20" x14ac:dyDescent="0.25">
      <c r="A53" s="41"/>
      <c r="B53" s="4" t="s">
        <v>14</v>
      </c>
      <c r="C53" s="43">
        <v>30737</v>
      </c>
      <c r="D53" s="43">
        <v>910</v>
      </c>
      <c r="E53" s="43">
        <v>23765</v>
      </c>
      <c r="F53" s="43">
        <v>5782</v>
      </c>
      <c r="G53" s="21">
        <f t="shared" si="22"/>
        <v>431371.79698878474</v>
      </c>
      <c r="H53" s="21">
        <f t="shared" si="23"/>
        <v>30580.454849098925</v>
      </c>
      <c r="I53" s="21">
        <f t="shared" si="24"/>
        <v>5892119.8121054871</v>
      </c>
      <c r="J53" s="57">
        <f t="shared" si="25"/>
        <v>2</v>
      </c>
      <c r="K53" s="25"/>
      <c r="L53" s="25"/>
      <c r="M53" s="25"/>
      <c r="N53" s="25"/>
      <c r="O53" s="41"/>
      <c r="P53" s="41"/>
      <c r="Q53" s="41"/>
      <c r="R53" s="41"/>
      <c r="S53" s="41"/>
      <c r="T53" s="41"/>
    </row>
    <row r="54" spans="1:20" x14ac:dyDescent="0.25">
      <c r="A54" s="41"/>
      <c r="B54" s="43" t="s">
        <v>15</v>
      </c>
      <c r="C54" s="43">
        <v>650016</v>
      </c>
      <c r="D54" s="43">
        <v>10700</v>
      </c>
      <c r="E54" s="43">
        <v>637051</v>
      </c>
      <c r="F54" s="43">
        <v>2265</v>
      </c>
      <c r="G54" s="21">
        <f t="shared" si="22"/>
        <v>440269.53960121598</v>
      </c>
      <c r="H54" s="21">
        <f t="shared" si="23"/>
        <v>843298.6560474555</v>
      </c>
      <c r="I54" s="21">
        <f t="shared" si="24"/>
        <v>5022771.8696992397</v>
      </c>
      <c r="J54" s="57">
        <f t="shared" si="25"/>
        <v>1</v>
      </c>
      <c r="K54" s="25"/>
      <c r="L54" s="25"/>
      <c r="M54" s="25"/>
      <c r="N54" s="25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 t="s">
        <v>36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39" t="s">
        <v>16</v>
      </c>
      <c r="C58" s="54" t="s">
        <v>0</v>
      </c>
      <c r="D58" s="54" t="s">
        <v>1</v>
      </c>
      <c r="E58" s="54" t="s">
        <v>2</v>
      </c>
      <c r="F58" s="54" t="s">
        <v>3</v>
      </c>
      <c r="G58" s="56" t="s">
        <v>20</v>
      </c>
      <c r="H58" s="56" t="s">
        <v>21</v>
      </c>
      <c r="I58" s="56" t="s">
        <v>35</v>
      </c>
      <c r="J58" s="21"/>
      <c r="K58" s="55" t="s">
        <v>22</v>
      </c>
      <c r="L58" s="55"/>
      <c r="M58" s="55"/>
      <c r="N58" s="55"/>
      <c r="O58" s="41"/>
      <c r="P58" s="41"/>
      <c r="Q58" s="41"/>
      <c r="R58" s="41"/>
      <c r="S58" s="41"/>
      <c r="T58" s="41"/>
    </row>
    <row r="59" spans="1:20" x14ac:dyDescent="0.25">
      <c r="A59" s="41"/>
      <c r="B59" s="4" t="s">
        <v>6</v>
      </c>
      <c r="C59" s="43">
        <v>111592</v>
      </c>
      <c r="D59" s="43">
        <v>7319</v>
      </c>
      <c r="E59" s="43">
        <v>67183</v>
      </c>
      <c r="F59" s="43">
        <v>39890</v>
      </c>
      <c r="G59" s="21">
        <f t="shared" ref="G59:G68" si="29">SQRT(($K$73-C59)^2+($L$73-D59)^2+($M$73-E59)^2+($N$73-F59)^2)</f>
        <v>784905.73509562283</v>
      </c>
      <c r="H59" s="21">
        <f>SQRT(($K$49-C59)^2+($L$49-D59)^2+($M$49-E59)^2+($N$49-F59)^2)</f>
        <v>760394.92152575962</v>
      </c>
      <c r="I59" s="21">
        <f>SQRT(($K$52-C59)^2+($L$52-D59)^2+($M$52-E59)^2+($N$52-F59)^2)</f>
        <v>5801607.9999343287</v>
      </c>
      <c r="J59" s="57">
        <f>IF(AND(G59&lt;H59,G59&lt;I59),1,IF(AND(H59&lt;G59,H59&lt;I59),2,IF(AND(I59&lt;G59,I59&lt;H59),3)))</f>
        <v>2</v>
      </c>
      <c r="K59" s="27">
        <f>AVERAGE(C68)</f>
        <v>650016</v>
      </c>
      <c r="L59" s="27">
        <f t="shared" ref="L59:N59" si="30">AVERAGE(D68)</f>
        <v>10700</v>
      </c>
      <c r="M59" s="27">
        <f t="shared" si="30"/>
        <v>637051</v>
      </c>
      <c r="N59" s="27">
        <f t="shared" si="30"/>
        <v>2265</v>
      </c>
      <c r="O59" s="41"/>
      <c r="P59" s="41"/>
      <c r="Q59" s="41"/>
      <c r="R59" s="41"/>
      <c r="S59" s="41"/>
      <c r="T59" s="41"/>
    </row>
    <row r="60" spans="1:20" x14ac:dyDescent="0.25">
      <c r="A60" s="41"/>
      <c r="B60" s="43" t="s">
        <v>7</v>
      </c>
      <c r="C60" s="43">
        <v>132506</v>
      </c>
      <c r="D60" s="43">
        <v>2735</v>
      </c>
      <c r="E60" s="43">
        <v>129975</v>
      </c>
      <c r="F60" s="43">
        <v>76</v>
      </c>
      <c r="G60" s="21">
        <f t="shared" si="29"/>
        <v>724576.36093237263</v>
      </c>
      <c r="H60" s="21">
        <f t="shared" ref="H60:H68" si="31">SQRT(($K$49-C60)^2+($L$49-D60)^2+($M$49-E60)^2+($N$49-F60)^2)</f>
        <v>703622.80707211909</v>
      </c>
      <c r="I60" s="21">
        <f t="shared" ref="I60:I68" si="32">SQRT(($K$52-C60)^2+($L$52-D60)^2+($M$52-E60)^2+($N$52-F60)^2)</f>
        <v>5745816.6821907917</v>
      </c>
      <c r="J60" s="57">
        <f t="shared" ref="J60:J68" si="33">IF(AND(G60&lt;H60,G60&lt;I60),1,IF(AND(H60&lt;G60,H60&lt;I60),2,IF(AND(I60&lt;G60,I60&lt;H60),3)))</f>
        <v>2</v>
      </c>
      <c r="K60" s="27"/>
      <c r="L60" s="27"/>
      <c r="M60" s="27"/>
      <c r="N60" s="27"/>
      <c r="O60" s="41"/>
      <c r="P60" s="41"/>
      <c r="Q60" s="41"/>
      <c r="R60" s="41"/>
      <c r="S60" s="41"/>
      <c r="T60" s="41"/>
    </row>
    <row r="61" spans="1:20" x14ac:dyDescent="0.25">
      <c r="A61" s="41"/>
      <c r="B61" s="4" t="s">
        <v>8</v>
      </c>
      <c r="C61" s="43">
        <v>137772</v>
      </c>
      <c r="D61" s="43">
        <v>3678</v>
      </c>
      <c r="E61" s="43">
        <v>95878</v>
      </c>
      <c r="F61" s="43">
        <v>38216</v>
      </c>
      <c r="G61" s="21">
        <f t="shared" si="29"/>
        <v>746058.92150017212</v>
      </c>
      <c r="H61" s="21">
        <f t="shared" si="31"/>
        <v>721678.18902108609</v>
      </c>
      <c r="I61" s="21">
        <f t="shared" si="32"/>
        <v>5763084.0516476939</v>
      </c>
      <c r="J61" s="57">
        <f t="shared" si="33"/>
        <v>2</v>
      </c>
      <c r="K61" s="27"/>
      <c r="L61" s="27"/>
      <c r="M61" s="27"/>
      <c r="N61" s="27"/>
      <c r="O61" s="41"/>
      <c r="P61" s="41"/>
      <c r="Q61" s="41"/>
      <c r="R61" s="41"/>
      <c r="S61" s="41"/>
      <c r="T61" s="41"/>
    </row>
    <row r="62" spans="1:20" x14ac:dyDescent="0.25">
      <c r="A62" s="41"/>
      <c r="B62" s="43" t="s">
        <v>9</v>
      </c>
      <c r="C62" s="43">
        <v>13882</v>
      </c>
      <c r="D62" s="43">
        <v>127</v>
      </c>
      <c r="E62" s="43">
        <v>13697</v>
      </c>
      <c r="F62" s="43">
        <v>58</v>
      </c>
      <c r="G62" s="21">
        <f t="shared" si="29"/>
        <v>890703.84216640715</v>
      </c>
      <c r="H62" s="21">
        <f t="shared" si="31"/>
        <v>869358.78949896595</v>
      </c>
      <c r="I62" s="21">
        <f t="shared" si="32"/>
        <v>5911625.2504293602</v>
      </c>
      <c r="J62" s="57">
        <f t="shared" si="33"/>
        <v>2</v>
      </c>
      <c r="K62" s="27"/>
      <c r="L62" s="27"/>
      <c r="M62" s="27"/>
      <c r="N62" s="27"/>
      <c r="O62" s="41"/>
      <c r="P62" s="41"/>
      <c r="Q62" s="41"/>
      <c r="R62" s="41"/>
      <c r="S62" s="41"/>
      <c r="T62" s="41"/>
    </row>
    <row r="63" spans="1:20" x14ac:dyDescent="0.25">
      <c r="A63" s="41"/>
      <c r="B63" s="4" t="s">
        <v>10</v>
      </c>
      <c r="C63" s="43">
        <v>38371</v>
      </c>
      <c r="D63" s="43">
        <v>883</v>
      </c>
      <c r="E63" s="43">
        <v>32605</v>
      </c>
      <c r="F63" s="43">
        <v>4883</v>
      </c>
      <c r="G63" s="21">
        <f t="shared" si="29"/>
        <v>859981.27907181799</v>
      </c>
      <c r="H63" s="21">
        <f t="shared" si="31"/>
        <v>838321.06055380031</v>
      </c>
      <c r="I63" s="21">
        <f t="shared" si="32"/>
        <v>5880581.6402311772</v>
      </c>
      <c r="J63" s="57">
        <f t="shared" si="33"/>
        <v>2</v>
      </c>
      <c r="K63" s="25">
        <f>AVERAGE(C59:C64,C66:C67)</f>
        <v>86694.75</v>
      </c>
      <c r="L63" s="25">
        <f t="shared" ref="L63:N63" si="34">AVERAGE(D59:D64,D66:D67)</f>
        <v>2874.875</v>
      </c>
      <c r="M63" s="25">
        <f t="shared" si="34"/>
        <v>72593.375</v>
      </c>
      <c r="N63" s="25">
        <f t="shared" si="34"/>
        <v>11576.5</v>
      </c>
      <c r="O63" s="41"/>
      <c r="P63" s="41"/>
      <c r="Q63" s="41"/>
      <c r="R63" s="41"/>
      <c r="S63" s="41"/>
      <c r="T63" s="41"/>
    </row>
    <row r="64" spans="1:20" x14ac:dyDescent="0.25">
      <c r="A64" s="41"/>
      <c r="B64" s="43" t="s">
        <v>11</v>
      </c>
      <c r="C64" s="43">
        <v>1263</v>
      </c>
      <c r="D64" s="43">
        <v>42</v>
      </c>
      <c r="E64" s="43">
        <v>1221</v>
      </c>
      <c r="F64" s="43">
        <v>0</v>
      </c>
      <c r="G64" s="21">
        <f t="shared" si="29"/>
        <v>908448.65958291781</v>
      </c>
      <c r="H64" s="21">
        <f t="shared" si="31"/>
        <v>887069.44245574961</v>
      </c>
      <c r="I64" s="21">
        <f t="shared" si="32"/>
        <v>5929336.1839020392</v>
      </c>
      <c r="J64" s="57">
        <f t="shared" si="33"/>
        <v>2</v>
      </c>
      <c r="K64" s="25"/>
      <c r="L64" s="25"/>
      <c r="M64" s="25"/>
      <c r="N64" s="25"/>
      <c r="O64" s="41"/>
      <c r="P64" s="41"/>
      <c r="Q64" s="41"/>
      <c r="R64" s="41"/>
      <c r="S64" s="41"/>
      <c r="T64" s="41"/>
    </row>
    <row r="65" spans="1:20" x14ac:dyDescent="0.25">
      <c r="A65" s="41"/>
      <c r="B65" s="4" t="s">
        <v>12</v>
      </c>
      <c r="C65" s="43">
        <v>4377387</v>
      </c>
      <c r="D65" s="43">
        <v>91979</v>
      </c>
      <c r="E65" s="43">
        <v>3990289</v>
      </c>
      <c r="F65" s="43">
        <v>292319</v>
      </c>
      <c r="G65" s="21">
        <f t="shared" si="29"/>
        <v>5022771.8696992397</v>
      </c>
      <c r="H65" s="21">
        <f t="shared" si="31"/>
        <v>5042267.0913941367</v>
      </c>
      <c r="I65" s="21">
        <f t="shared" si="32"/>
        <v>0</v>
      </c>
      <c r="J65" s="57">
        <f t="shared" si="33"/>
        <v>3</v>
      </c>
      <c r="K65" s="25"/>
      <c r="L65" s="25"/>
      <c r="M65" s="25"/>
      <c r="N65" s="25"/>
      <c r="O65" s="41"/>
      <c r="P65" s="41"/>
      <c r="Q65" s="41"/>
      <c r="R65" s="41"/>
      <c r="S65" s="41"/>
      <c r="T65" s="41"/>
    </row>
    <row r="66" spans="1:20" x14ac:dyDescent="0.25">
      <c r="A66" s="41"/>
      <c r="B66" s="43" t="s">
        <v>13</v>
      </c>
      <c r="C66" s="43">
        <v>227435</v>
      </c>
      <c r="D66" s="43">
        <v>7305</v>
      </c>
      <c r="E66" s="43">
        <v>216423</v>
      </c>
      <c r="F66" s="43">
        <v>3707</v>
      </c>
      <c r="G66" s="21">
        <f t="shared" si="29"/>
        <v>596251.81034022861</v>
      </c>
      <c r="H66" s="21">
        <f t="shared" si="31"/>
        <v>575218.73303153249</v>
      </c>
      <c r="I66" s="21">
        <f t="shared" si="32"/>
        <v>5617351.044850233</v>
      </c>
      <c r="J66" s="57">
        <f t="shared" si="33"/>
        <v>2</v>
      </c>
      <c r="K66" s="25">
        <f>AVERAGE(C65)</f>
        <v>4377387</v>
      </c>
      <c r="L66" s="25">
        <f t="shared" ref="L66" si="35">AVERAGE(D65)</f>
        <v>91979</v>
      </c>
      <c r="M66" s="25">
        <f t="shared" ref="M66" si="36">AVERAGE(E65)</f>
        <v>3990289</v>
      </c>
      <c r="N66" s="25">
        <f t="shared" ref="N66" si="37">AVERAGE(F65)</f>
        <v>292319</v>
      </c>
      <c r="O66" s="41"/>
      <c r="P66" s="41"/>
      <c r="Q66" s="41"/>
      <c r="R66" s="41"/>
      <c r="S66" s="41"/>
      <c r="T66" s="41"/>
    </row>
    <row r="67" spans="1:20" x14ac:dyDescent="0.25">
      <c r="A67" s="41"/>
      <c r="B67" s="4" t="s">
        <v>14</v>
      </c>
      <c r="C67" s="43">
        <v>30737</v>
      </c>
      <c r="D67" s="43">
        <v>910</v>
      </c>
      <c r="E67" s="43">
        <v>23765</v>
      </c>
      <c r="F67" s="43">
        <v>5782</v>
      </c>
      <c r="G67" s="21">
        <f t="shared" si="29"/>
        <v>871627.44967445813</v>
      </c>
      <c r="H67" s="21">
        <f t="shared" si="31"/>
        <v>849868.14126728359</v>
      </c>
      <c r="I67" s="21">
        <f t="shared" si="32"/>
        <v>5892119.8121054871</v>
      </c>
      <c r="J67" s="57">
        <f t="shared" si="33"/>
        <v>2</v>
      </c>
      <c r="K67" s="25"/>
      <c r="L67" s="25"/>
      <c r="M67" s="25"/>
      <c r="N67" s="25"/>
      <c r="O67" s="41"/>
      <c r="P67" s="41"/>
      <c r="Q67" s="41"/>
      <c r="R67" s="41"/>
      <c r="S67" s="41"/>
      <c r="T67" s="41"/>
    </row>
    <row r="68" spans="1:20" x14ac:dyDescent="0.25">
      <c r="A68" s="41"/>
      <c r="B68" s="43" t="s">
        <v>15</v>
      </c>
      <c r="C68" s="43">
        <v>650016</v>
      </c>
      <c r="D68" s="43">
        <v>10700</v>
      </c>
      <c r="E68" s="43">
        <v>637051</v>
      </c>
      <c r="F68" s="43">
        <v>2265</v>
      </c>
      <c r="G68" s="21">
        <f t="shared" si="29"/>
        <v>0</v>
      </c>
      <c r="H68" s="21">
        <f t="shared" si="31"/>
        <v>57034.554783416694</v>
      </c>
      <c r="I68" s="21">
        <f t="shared" si="32"/>
        <v>5022771.8696992397</v>
      </c>
      <c r="J68" s="57">
        <f t="shared" si="33"/>
        <v>1</v>
      </c>
      <c r="K68" s="25"/>
      <c r="L68" s="25"/>
      <c r="M68" s="25"/>
      <c r="N68" s="25"/>
      <c r="O68" s="41"/>
      <c r="P68" s="41"/>
      <c r="Q68" s="41"/>
      <c r="R68" s="41"/>
      <c r="S68" s="41"/>
      <c r="T68" s="41"/>
    </row>
    <row r="69" spans="1:20" x14ac:dyDescent="0.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</row>
    <row r="70" spans="1:20" x14ac:dyDescent="0.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</row>
    <row r="71" spans="1:20" x14ac:dyDescent="0.25">
      <c r="A71" s="41"/>
      <c r="B71" s="41" t="s">
        <v>37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</row>
    <row r="72" spans="1:20" x14ac:dyDescent="0.25">
      <c r="A72" s="41"/>
      <c r="B72" s="39" t="s">
        <v>16</v>
      </c>
      <c r="C72" s="54" t="s">
        <v>0</v>
      </c>
      <c r="D72" s="54" t="s">
        <v>1</v>
      </c>
      <c r="E72" s="54" t="s">
        <v>2</v>
      </c>
      <c r="F72" s="54" t="s">
        <v>3</v>
      </c>
      <c r="G72" s="56" t="s">
        <v>20</v>
      </c>
      <c r="H72" s="56" t="s">
        <v>21</v>
      </c>
      <c r="I72" s="56" t="s">
        <v>35</v>
      </c>
      <c r="J72" s="21"/>
      <c r="K72" s="55" t="s">
        <v>22</v>
      </c>
      <c r="L72" s="55"/>
      <c r="M72" s="55"/>
      <c r="N72" s="55"/>
      <c r="O72" s="58" t="s">
        <v>24</v>
      </c>
      <c r="P72" s="45" t="s">
        <v>27</v>
      </c>
      <c r="Q72" s="45" t="s">
        <v>28</v>
      </c>
      <c r="R72" s="45" t="s">
        <v>38</v>
      </c>
      <c r="S72" s="48" t="s">
        <v>25</v>
      </c>
      <c r="T72" s="46" t="s">
        <v>26</v>
      </c>
    </row>
    <row r="73" spans="1:20" x14ac:dyDescent="0.25">
      <c r="A73" s="41"/>
      <c r="B73" s="4" t="s">
        <v>6</v>
      </c>
      <c r="C73" s="43">
        <v>111592</v>
      </c>
      <c r="D73" s="43">
        <v>7319</v>
      </c>
      <c r="E73" s="43">
        <v>67183</v>
      </c>
      <c r="F73" s="43">
        <v>39890</v>
      </c>
      <c r="G73" s="21">
        <f>SQRT(($K$59-C73)^2+($L$59-D73)^2+($M$59-E73)^2+($N$59-F73)^2)</f>
        <v>784905.73509562283</v>
      </c>
      <c r="H73" s="21">
        <f>SQRT(($K$63-C73)^2+($L$63-D73)^2+($M$63-E73)^2+($N$63-F73)^2)</f>
        <v>38347.747580121963</v>
      </c>
      <c r="I73" s="21">
        <f>SQRT(($K$66-C73)^2+($L$66-D73)^2+($M$66-E73)^2+($N$66-F73)^2)</f>
        <v>5801607.9999343287</v>
      </c>
      <c r="J73" s="57">
        <f>IF(AND(G73&lt;H73,G73&lt;I73),1,IF(AND(H73&lt;G73,H73&lt;I73),2,IF(AND(I73&lt;G73,I73&lt;H73),3)))</f>
        <v>2</v>
      </c>
      <c r="K73" s="27">
        <f>AVERAGE(C82)</f>
        <v>650016</v>
      </c>
      <c r="L73" s="27">
        <f t="shared" ref="L73" si="38">AVERAGE(D82)</f>
        <v>10700</v>
      </c>
      <c r="M73" s="27">
        <f t="shared" ref="M73" si="39">AVERAGE(E82)</f>
        <v>637051</v>
      </c>
      <c r="N73" s="27">
        <f t="shared" ref="N73" si="40">AVERAGE(F82)</f>
        <v>2265</v>
      </c>
      <c r="O73" s="21">
        <f>SQRT((C73-$C$74)^2+(D73-$D$74)^2+(E73-$E$74)^2+(F73-$F$74)^2)+SQRT((C73-$C$75)^2+(D73-$D$75)^2+(E73-$E$75)^2+(F73-$F$75)^2)+SQRT((C73-$C$76)^2+(D73-$D$76)^2+(E73-$E$76)^2+(F73-$F$76)^2)+SQRT((C73-$C$77)^2+(D73-$D$77)^2+(E73-$E$77)^2+(F73-$F$77)^2)+SQRT((C73-$C$78)^2+(D73-$D$78)^2+(E73-$E$78)^2+(F73-$F$78)^2)+SQRT((C73-$C$80)^2+(D73-$D$80)^2+(E73-$E$80)^2+(F73-$F$80)^2)+SQRT((C73-$C$81)^2+(D73-$D$81)^2+(E73-$E$81)^2+(F73-$F$81)^2)/7</f>
        <v>664552.60069869692</v>
      </c>
      <c r="P73" s="21">
        <f>SQRT((C73-$C$82)^2+(D73-$D$82)^2+(E73-$E$82)^2+(F73-$F$82)^2)/1</f>
        <v>784905.73509562283</v>
      </c>
      <c r="Q73" s="21" t="s">
        <v>29</v>
      </c>
      <c r="R73" s="21">
        <f>SQRT((C73-$C$79)^2+(D73-$D$79)^2+(E73-$E$79)^2+(F73-$F$79)^2)/1</f>
        <v>5801607.9999343287</v>
      </c>
      <c r="S73" s="21">
        <f>MIN(P73:R73)</f>
        <v>784905.73509562283</v>
      </c>
      <c r="T73" s="21">
        <f>(S73-O73)/MAX(O73,S73)</f>
        <v>0.15333450759187489</v>
      </c>
    </row>
    <row r="74" spans="1:20" x14ac:dyDescent="0.25">
      <c r="A74" s="41"/>
      <c r="B74" s="43" t="s">
        <v>7</v>
      </c>
      <c r="C74" s="43">
        <v>132506</v>
      </c>
      <c r="D74" s="43">
        <v>2735</v>
      </c>
      <c r="E74" s="43">
        <v>129975</v>
      </c>
      <c r="F74" s="43">
        <v>76</v>
      </c>
      <c r="G74" s="21">
        <f t="shared" ref="G74:G82" si="41">SQRT(($K$59-C74)^2+($L$59-D74)^2+($M$59-E74)^2+($N$59-F74)^2)</f>
        <v>724576.36093237263</v>
      </c>
      <c r="H74" s="21">
        <f t="shared" ref="H74:H82" si="42">SQRT(($K$63-C74)^2+($L$63-D74)^2+($M$63-E74)^2+($N$63-F74)^2)</f>
        <v>74320.943074403665</v>
      </c>
      <c r="I74" s="21">
        <f t="shared" ref="I74:I82" si="43">SQRT(($K$66-C74)^2+($L$66-D74)^2+($M$66-E74)^2+($N$66-F74)^2)</f>
        <v>5745816.6821907917</v>
      </c>
      <c r="J74" s="57">
        <f t="shared" ref="J74:J82" si="44">IF(AND(G74&lt;H74,G74&lt;I74),1,IF(AND(H74&lt;G74,H74&lt;I74),2,IF(AND(I74&lt;G74,I74&lt;H74),3)))</f>
        <v>2</v>
      </c>
      <c r="K74" s="27"/>
      <c r="L74" s="27"/>
      <c r="M74" s="27"/>
      <c r="N74" s="27"/>
      <c r="O74" s="21">
        <f>SQRT((C74-$C$73)^2+(D74-$D$73)^2+(E74-$E$73)^2+(F74-$F$73)^2)+SQRT((C74-$C$75)^2+(D74-$D$75)^2+(E74-$E$75)^2+(F74-$F$75)^2)+SQRT((C74-$C$76)^2+(D74-$D$76)^2+(E74-$E$76)^2+(F74-$F$76)^2)+SQRT((C74-$C$77)^2+(D74-$D$77)^2+(E74-$E$77)^2+(F74-$F$77)^2)+SQRT((C74-$C$78)^2+(D74-$D$78)^2+(E74-$E$78)^2+(F74-$F$78)^2)+SQRT((C74-$C$80)^2+(D74-$D$80)^2+(E74-$E$80)^2+(F74-$F$80)^2)+SQRT((C74-$C$81)^2+(D74-$D$81)^2+(E74-$E$81)^2+(F74-$F$81)^2)/7</f>
        <v>763901.98509661458</v>
      </c>
      <c r="P74" s="21">
        <f t="shared" ref="P73:R81" si="45">SQRT((C74-$C$82)^2+(D74-$D$82)^2+(E74-$E$82)^2+(F74-$F$82)^2)/1</f>
        <v>724576.36093237263</v>
      </c>
      <c r="Q74" s="21" t="s">
        <v>29</v>
      </c>
      <c r="R74" s="21">
        <f t="shared" ref="R74:R80" si="46">SQRT((C74-$C$79)^2+(D74-$D$79)^2+(E74-$E$79)^2+(F74-$F$79)^2)/1</f>
        <v>5745816.6821907917</v>
      </c>
      <c r="S74" s="21">
        <f t="shared" ref="S74:S82" si="47">MIN(P74:R74)</f>
        <v>724576.36093237263</v>
      </c>
      <c r="T74" s="21">
        <f t="shared" ref="T74:T82" si="48">(S74-O74)/MAX(O74,S74)</f>
        <v>-5.1479934509226645E-2</v>
      </c>
    </row>
    <row r="75" spans="1:20" x14ac:dyDescent="0.25">
      <c r="A75" s="41"/>
      <c r="B75" s="4" t="s">
        <v>8</v>
      </c>
      <c r="C75" s="43">
        <v>137772</v>
      </c>
      <c r="D75" s="43">
        <v>3678</v>
      </c>
      <c r="E75" s="43">
        <v>95878</v>
      </c>
      <c r="F75" s="43">
        <v>38216</v>
      </c>
      <c r="G75" s="21">
        <f t="shared" si="41"/>
        <v>746058.92150017212</v>
      </c>
      <c r="H75" s="21">
        <f t="shared" si="42"/>
        <v>62139.900216919807</v>
      </c>
      <c r="I75" s="21">
        <f t="shared" si="43"/>
        <v>5763084.0516476939</v>
      </c>
      <c r="J75" s="57">
        <f t="shared" si="44"/>
        <v>2</v>
      </c>
      <c r="K75" s="27"/>
      <c r="L75" s="27"/>
      <c r="M75" s="27"/>
      <c r="N75" s="27"/>
      <c r="O75" s="21">
        <f>SQRT((C75-$C$73)^2+(D75-$D$73)^2+(E75-$E$73)^2+(F75-$F$73)^2)+SQRT((C75-$C$74)^2+(D75-$D$74)^2+(E75-$E$74)^2+(F75-$F$74)^2)+SQRT((C75-$C$76)^2+(D75-$D$76)^2+(E75-$E$76)^2+(F75-$F$76)^2)+SQRT((C75-$C$77)^2+(D75-$D$77)^2+(E75-$E$77)^2+(F75-$F$77)^2)+SQRT((C75-$C$78)^2+(D75-$D$78)^2+(E75-$E$78)^2+(F75-$F$78)^2)+SQRT((C75-$C$80)^2+(D75-$D$80)^2+(E75-$E$80)^2+(F75-$F$80)^2)+SQRT((C75-$C$81)^2+(D75-$D$81)^2+(E75-$E$81)^2+(F75-$F$81)^2)/7</f>
        <v>710201.97796438949</v>
      </c>
      <c r="P75" s="21">
        <f t="shared" si="45"/>
        <v>746058.92150017212</v>
      </c>
      <c r="Q75" s="21" t="s">
        <v>29</v>
      </c>
      <c r="R75" s="21">
        <f t="shared" si="46"/>
        <v>5763084.0516476939</v>
      </c>
      <c r="S75" s="21">
        <f t="shared" si="47"/>
        <v>746058.92150017212</v>
      </c>
      <c r="T75" s="21">
        <f t="shared" si="48"/>
        <v>4.8061811878988912E-2</v>
      </c>
    </row>
    <row r="76" spans="1:20" x14ac:dyDescent="0.25">
      <c r="A76" s="41"/>
      <c r="B76" s="43" t="s">
        <v>9</v>
      </c>
      <c r="C76" s="43">
        <v>13882</v>
      </c>
      <c r="D76" s="43">
        <v>127</v>
      </c>
      <c r="E76" s="43">
        <v>13697</v>
      </c>
      <c r="F76" s="43">
        <v>58</v>
      </c>
      <c r="G76" s="21">
        <f t="shared" si="41"/>
        <v>890703.84216640715</v>
      </c>
      <c r="H76" s="21">
        <f t="shared" si="42"/>
        <v>94396.537065555269</v>
      </c>
      <c r="I76" s="21">
        <f t="shared" si="43"/>
        <v>5911625.2504293602</v>
      </c>
      <c r="J76" s="57">
        <f t="shared" si="44"/>
        <v>2</v>
      </c>
      <c r="K76" s="27"/>
      <c r="L76" s="27"/>
      <c r="M76" s="27"/>
      <c r="N76" s="27"/>
      <c r="O76" s="21">
        <f>SQRT((C76-$C$73)^2+(D76-$D$73)^2+(E76-$E$73)^2+(F76-$F$73)^2)+SQRT((C76-$C$74)^2+(D76-$D$74)^2+(E76-$E$74)^2+(F76-$F$74)^2)+SQRT((C76-$C$75)^2+(D76-$D$75)^2+(E76-$E$75)^2+(F76-$F$75)^2)+SQRT((C76-$C$77)^2+(D76-$D$77)^2+(E76-$E$77)^2+(F76-$F$77)^2)+SQRT((C76-$C$78)^2+(D76-$D$78)^2+(E76-$E$78)^2+(F76-$F$78)^2)+SQRT((C76-$C$80)^2+(D76-$D$80)^2+(E76-$E$80)^2+(F76-$F$80)^2)+SQRT((C76-$C$81)^2+(D76-$D$81)^2+(E76-$E$81)^2+(F76-$F$81)^2)/7</f>
        <v>784729.99427233275</v>
      </c>
      <c r="P76" s="21">
        <f t="shared" si="45"/>
        <v>890703.84216640715</v>
      </c>
      <c r="Q76" s="21" t="s">
        <v>29</v>
      </c>
      <c r="R76" s="21">
        <f t="shared" si="46"/>
        <v>5911625.2504293602</v>
      </c>
      <c r="S76" s="21">
        <f t="shared" si="47"/>
        <v>890703.84216640715</v>
      </c>
      <c r="T76" s="21">
        <f t="shared" si="48"/>
        <v>0.11897764765033501</v>
      </c>
    </row>
    <row r="77" spans="1:20" x14ac:dyDescent="0.25">
      <c r="A77" s="41"/>
      <c r="B77" s="4" t="s">
        <v>10</v>
      </c>
      <c r="C77" s="43">
        <v>38371</v>
      </c>
      <c r="D77" s="43">
        <v>883</v>
      </c>
      <c r="E77" s="43">
        <v>32605</v>
      </c>
      <c r="F77" s="43">
        <v>4883</v>
      </c>
      <c r="G77" s="21">
        <f t="shared" si="41"/>
        <v>859981.27907181799</v>
      </c>
      <c r="H77" s="21">
        <f t="shared" si="42"/>
        <v>63111.214989641499</v>
      </c>
      <c r="I77" s="21">
        <f t="shared" si="43"/>
        <v>5880581.6402311772</v>
      </c>
      <c r="J77" s="57">
        <f t="shared" si="44"/>
        <v>2</v>
      </c>
      <c r="K77" s="25">
        <f>AVERAGE(C73:C78,C80:C81)</f>
        <v>86694.75</v>
      </c>
      <c r="L77" s="25">
        <f t="shared" ref="L77" si="49">AVERAGE(D73:D78,D80:D81)</f>
        <v>2874.875</v>
      </c>
      <c r="M77" s="25">
        <f t="shared" ref="M77" si="50">AVERAGE(E73:E78,E80:E81)</f>
        <v>72593.375</v>
      </c>
      <c r="N77" s="25">
        <f t="shared" ref="N77" si="51">AVERAGE(F73:F78,F80:F81)</f>
        <v>11576.5</v>
      </c>
      <c r="O77" s="21">
        <f>SQRT((C77-$C$73)^2+(D77-$D$73)^2+(E77-$E$73)^2+(F77-$F$73)^2)+SQRT((C77-$C$74)^2+(D77-$D$74)^2+(E77-$E$74)^2+(F77-$F$74)^2)+SQRT((C77-$C$75)^2+(D77-$D$75)^2+(E77-$E$75)^2+(F77-$F$75)^2)+SQRT((C77-$C$76)^2+(D77-$D$76)^2+(E77-$E$76)^2+(F77-$F$76)^2)+SQRT((C77-$C$78)^2+(D77-$D$78)^2+(E77-$E$78)^2+(F77-$F$78)^2)+SQRT((C77-$C$80)^2+(D77-$D$80)^2+(E77-$E$80)^2+(F77-$F$80)^2)+SQRT((C77-$C$81)^2+(D77-$D$81)^2+(E77-$E$81)^2+(F77-$F$81)^2)/7</f>
        <v>692092.67228668102</v>
      </c>
      <c r="P77" s="21">
        <f t="shared" si="45"/>
        <v>859981.27907181799</v>
      </c>
      <c r="Q77" s="21" t="s">
        <v>29</v>
      </c>
      <c r="R77" s="21">
        <f t="shared" si="46"/>
        <v>5880581.6402311772</v>
      </c>
      <c r="S77" s="21">
        <f t="shared" si="47"/>
        <v>859981.27907181799</v>
      </c>
      <c r="T77" s="21">
        <f t="shared" si="48"/>
        <v>0.19522355994346757</v>
      </c>
    </row>
    <row r="78" spans="1:20" x14ac:dyDescent="0.25">
      <c r="A78" s="41"/>
      <c r="B78" s="43" t="s">
        <v>11</v>
      </c>
      <c r="C78" s="43">
        <v>1263</v>
      </c>
      <c r="D78" s="43">
        <v>42</v>
      </c>
      <c r="E78" s="43">
        <v>1221</v>
      </c>
      <c r="F78" s="43">
        <v>0</v>
      </c>
      <c r="G78" s="21">
        <f t="shared" si="41"/>
        <v>908448.65958291781</v>
      </c>
      <c r="H78" s="21">
        <f t="shared" si="42"/>
        <v>111958.20806988093</v>
      </c>
      <c r="I78" s="21">
        <f t="shared" si="43"/>
        <v>5929336.1839020392</v>
      </c>
      <c r="J78" s="57">
        <f t="shared" si="44"/>
        <v>2</v>
      </c>
      <c r="K78" s="25"/>
      <c r="L78" s="25"/>
      <c r="M78" s="25"/>
      <c r="N78" s="25"/>
      <c r="O78" s="21">
        <f>SQRT((C78-$C$73)^2+(D78-$D$73)^2+(E78-$E$73)^2+(F78-$F$73)^2)+SQRT((C78-$C$74)^2+(D78-$D$74)^2+(E78-$E$74)^2+(F78-$F$74)^2)+SQRT((C78-$C$75)^2+(D78-$D$75)^2+(E78-$E$75)^2+(F78-$F$75)^2)+SQRT((C78-$C$76)^2+(D78-$D$76)^2+(E78-$E$76)^2+(F78-$F$76)^2)+SQRT((C78-$C$77)^2+(D78-$D$77)^2+(E78-$E$77)^2+(F78-$F$77)^2)+SQRT((C78-$C$80)^2+(D78-$D$80)^2+(E78-$E$80)^2+(F78-$F$80)^2)+SQRT((C78-$C$81)^2+(D78-$D$81)^2+(E78-$E$81)^2+(F78-$F$81)^2)/7</f>
        <v>873420.77871405962</v>
      </c>
      <c r="P78" s="21">
        <f t="shared" si="45"/>
        <v>908448.65958291781</v>
      </c>
      <c r="Q78" s="21" t="s">
        <v>29</v>
      </c>
      <c r="R78" s="21">
        <f t="shared" si="46"/>
        <v>5929336.1839020392</v>
      </c>
      <c r="S78" s="21">
        <f t="shared" si="47"/>
        <v>908448.65958291781</v>
      </c>
      <c r="T78" s="21">
        <f t="shared" si="48"/>
        <v>3.8557909133731354E-2</v>
      </c>
    </row>
    <row r="79" spans="1:20" x14ac:dyDescent="0.25">
      <c r="A79" s="41"/>
      <c r="B79" s="4" t="s">
        <v>12</v>
      </c>
      <c r="C79" s="43">
        <v>4377387</v>
      </c>
      <c r="D79" s="43">
        <v>91979</v>
      </c>
      <c r="E79" s="43">
        <v>3990289</v>
      </c>
      <c r="F79" s="43">
        <v>292319</v>
      </c>
      <c r="G79" s="21">
        <f t="shared" si="41"/>
        <v>5022771.8696992397</v>
      </c>
      <c r="H79" s="21">
        <f t="shared" si="42"/>
        <v>5817657.1651097201</v>
      </c>
      <c r="I79" s="21">
        <f t="shared" si="43"/>
        <v>0</v>
      </c>
      <c r="J79" s="57">
        <f t="shared" si="44"/>
        <v>3</v>
      </c>
      <c r="K79" s="25"/>
      <c r="L79" s="25"/>
      <c r="M79" s="25"/>
      <c r="N79" s="25"/>
      <c r="O79" s="21">
        <f>SQRT((C79-0)^2+(D79-0)^2+(E79-0)^2+(F79-0)^2)/1</f>
        <v>5931090.4381481148</v>
      </c>
      <c r="P79" s="21">
        <f t="shared" si="45"/>
        <v>5022771.8696992397</v>
      </c>
      <c r="Q79" s="21">
        <f>SQRT((C79-$C$73)^2+(D79-$D$73)^2+(E79-$E$73)^2+(F79-$F$73)^2)+SQRT((C79-$C$74)^2+(D79-$D$74)^2+(E79-$E$74)^2+(F79-$F$74)^2)+SQRT((C79-$C$75)^2+(D79-$D$75)^2+(E79-$E$75)^2+(F79-$F$75)^2)+SQRT((C79-$C$76)^2+(D79-$D$76)^2+(E79-$E$76)^2+(F79-$F$76)^2)+SQRT((C79-$C$77)^2+(D79-$D$77)^2+(E79-$E$77)^2+(F79-$F$77)^2)+SQRT((C79-$C$78)^2+(D79-$D$78)^2+(E79-$E$78)^2+(F79-$F$78)^2)+SQRT((C79-$C$80)^2+(D79-$D$80)^2+(E79-$E$80)^2+(F79-$F$80)^2)+SQRT((C79-$C$81)^2+(D79-$D$81)^2+(E79-$E$81)^2+(F79-$F$81)^2)/8</f>
        <v>41385917.829698808</v>
      </c>
      <c r="R79" s="21" t="s">
        <v>29</v>
      </c>
      <c r="S79" s="21">
        <f t="shared" si="47"/>
        <v>5022771.8696992397</v>
      </c>
      <c r="T79" s="21">
        <f t="shared" si="48"/>
        <v>-0.15314529055343196</v>
      </c>
    </row>
    <row r="80" spans="1:20" x14ac:dyDescent="0.25">
      <c r="A80" s="41"/>
      <c r="B80" s="43" t="s">
        <v>13</v>
      </c>
      <c r="C80" s="43">
        <v>227435</v>
      </c>
      <c r="D80" s="43">
        <v>7305</v>
      </c>
      <c r="E80" s="43">
        <v>216423</v>
      </c>
      <c r="F80" s="43">
        <v>3707</v>
      </c>
      <c r="G80" s="21">
        <f t="shared" si="41"/>
        <v>596251.81034022861</v>
      </c>
      <c r="H80" s="21">
        <f t="shared" si="42"/>
        <v>201435.6821307207</v>
      </c>
      <c r="I80" s="21">
        <f t="shared" si="43"/>
        <v>5617351.044850233</v>
      </c>
      <c r="J80" s="57">
        <f t="shared" si="44"/>
        <v>2</v>
      </c>
      <c r="K80" s="25">
        <f>AVERAGE(C79)</f>
        <v>4377387</v>
      </c>
      <c r="L80" s="25">
        <f t="shared" ref="L80" si="52">AVERAGE(D79)</f>
        <v>91979</v>
      </c>
      <c r="M80" s="25">
        <f t="shared" ref="M80" si="53">AVERAGE(E79)</f>
        <v>3990289</v>
      </c>
      <c r="N80" s="25">
        <f t="shared" ref="N80" si="54">AVERAGE(F79)</f>
        <v>292319</v>
      </c>
      <c r="O80" s="21">
        <f>SQRT((C80-$C$73)^2+(D80-$D$73)^2+(E80-$E$73)^2+(F80-$F$73)^2)+SQRT((C80-$C$74)^2+(D80-$D$74)^2+(E80-$E$74)^2+(F80-$F$74)^2)+SQRT((C80-$C$75)^2+(D80-$D$75)^2+(E80-$E$75)^2+(F80-$F$75)^2)+SQRT((C80-$C$76)^2+(D80-$D$76)^2+(E80-$E$76)^2+(F80-$F$76)^2)+SQRT((C80-$C$77)^2+(D80-$D$77)^2+(E80-$E$77)^2+(F80-$F$77)^2)+SQRT((C80-$C$78)^2+(D80-$D$78)^2+(E80-$E$78)^2+(F80-$F$78)^2)+SQRT((C80-$C$81)^2+(D80-$D$81)^2+(E80-$E$81)^2+(F80-$F$81)^2)/7</f>
        <v>1385056.9217270666</v>
      </c>
      <c r="P80" s="21">
        <f t="shared" si="45"/>
        <v>596251.81034022861</v>
      </c>
      <c r="Q80" s="21" t="s">
        <v>29</v>
      </c>
      <c r="R80" s="21">
        <f>SQRT((C80-$C$79)^2+(D80-$D$79)^2+(E80-$E$79)^2+(F80-$F$79)^2)/1</f>
        <v>5617351.044850233</v>
      </c>
      <c r="S80" s="21">
        <f t="shared" si="47"/>
        <v>596251.81034022861</v>
      </c>
      <c r="T80" s="21">
        <f t="shared" si="48"/>
        <v>-0.56951097028074094</v>
      </c>
    </row>
    <row r="81" spans="1:20" x14ac:dyDescent="0.25">
      <c r="A81" s="41"/>
      <c r="B81" s="4" t="s">
        <v>14</v>
      </c>
      <c r="C81" s="43">
        <v>30737</v>
      </c>
      <c r="D81" s="43">
        <v>910</v>
      </c>
      <c r="E81" s="43">
        <v>23765</v>
      </c>
      <c r="F81" s="43">
        <v>5782</v>
      </c>
      <c r="G81" s="21">
        <f t="shared" si="41"/>
        <v>871627.44967445813</v>
      </c>
      <c r="H81" s="21">
        <f t="shared" si="42"/>
        <v>74517.896871951176</v>
      </c>
      <c r="I81" s="21">
        <f t="shared" si="43"/>
        <v>5892119.8121054871</v>
      </c>
      <c r="J81" s="57">
        <f t="shared" si="44"/>
        <v>2</v>
      </c>
      <c r="K81" s="25"/>
      <c r="L81" s="25"/>
      <c r="M81" s="25"/>
      <c r="N81" s="25"/>
      <c r="O81" s="21">
        <f>SQRT((C81-$C$73)^2+(D81-$D$73)^2+(E81-$E$73)^2+(F81-$F$73)^2)+SQRT((C81-$C$74)^2+(D81-$D$74)^2+(E81-$E$74)^2+(F81-$F$74)^2)+SQRT((C81-$C$75)^2+(D81-$D$75)^2+(E81-$E$75)^2+(F81-$F$75)^2)+SQRT((C81-$C$76)^2+(D81-$D$76)^2+(E81-$E$76)^2+(F81-$F$76)^2)+SQRT((C81-$C$77)^2+(D81-$D$77)^2+(E81-$E$77)^2+(F81-$F$77)^2)+SQRT((C81-$C$78)^2+(D81-$D$78)^2+(E81-$E$78)^2+(F81-$F$78)^2)+SQRT((C81-$C$80)^2+(D81-$D$80)^2+(E81-$E$80)^2+(F81-$F$80)^2)/7</f>
        <v>487529.33936952055</v>
      </c>
      <c r="P81" s="21">
        <f t="shared" si="45"/>
        <v>871627.44967445813</v>
      </c>
      <c r="Q81" s="21" t="s">
        <v>29</v>
      </c>
      <c r="R81" s="21">
        <f t="shared" ref="R81:R82" si="55">SQRT((C81-$C$79)^2+(D81-$D$79)^2+(E81-$E$79)^2+(F81-$F$79)^2)/1</f>
        <v>5892119.8121054871</v>
      </c>
      <c r="S81" s="21">
        <f t="shared" si="47"/>
        <v>871627.44967445813</v>
      </c>
      <c r="T81" s="21">
        <f t="shared" si="48"/>
        <v>0.44066775369269678</v>
      </c>
    </row>
    <row r="82" spans="1:20" x14ac:dyDescent="0.25">
      <c r="A82" s="41"/>
      <c r="B82" s="43" t="s">
        <v>15</v>
      </c>
      <c r="C82" s="43">
        <v>650016</v>
      </c>
      <c r="D82" s="43">
        <v>10700</v>
      </c>
      <c r="E82" s="43">
        <v>637051</v>
      </c>
      <c r="F82" s="43">
        <v>2265</v>
      </c>
      <c r="G82" s="21">
        <f t="shared" si="41"/>
        <v>0</v>
      </c>
      <c r="H82" s="21">
        <f t="shared" si="42"/>
        <v>797553.24445187906</v>
      </c>
      <c r="I82" s="21">
        <f t="shared" si="43"/>
        <v>5022771.8696992397</v>
      </c>
      <c r="J82" s="57">
        <f t="shared" si="44"/>
        <v>1</v>
      </c>
      <c r="K82" s="25"/>
      <c r="L82" s="25"/>
      <c r="M82" s="25"/>
      <c r="N82" s="25"/>
      <c r="O82" s="21">
        <f>SQRT((C82-0)^2+(D82-0)^2+(E82-0)^2+(F82-0)^2)/1</f>
        <v>910205.68943618448</v>
      </c>
      <c r="P82" s="21" t="s">
        <v>29</v>
      </c>
      <c r="Q82" s="21">
        <f>SQRT((C82-$C$73)^2+(D82-$D$73)^2+(E82-$E$73)^2+(F82-$F$73)^2)+SQRT((C82-$C$74)^2+(D82-$D$74)^2+(E82-$E$74)^2+(F82-$F$74)^2)+SQRT((C82-$C$75)^2+(D82-$D$75)^2+(E82-$E$75)^2+(F82-$F$75)^2)+SQRT((C82-$C$76)^2+(D82-$D$76)^2+(E82-$E$76)^2+(F82-$F$76)^2)+SQRT((C82-$C$77)^2+(D82-$D$77)^2+(E82-$E$77)^2+(F82-$F$77)^2)+SQRT((C82-$C$78)^2+(D82-$D$78)^2+(E82-$E$78)^2+(F82-$F$78)^2)+SQRT((C82-$C$80)^2+(D82-$D$80)^2+(E82-$E$80)^2+(F82-$F$80)^2)+SQRT((C82-$C$81)^2+(D82-$D$81)^2+(E82-$E$81)^2+(F82-$F$81)^2)/8</f>
        <v>5619880.0398988463</v>
      </c>
      <c r="R82" s="21">
        <f t="shared" si="55"/>
        <v>5022771.8696992397</v>
      </c>
      <c r="S82" s="21">
        <f t="shared" si="47"/>
        <v>5022771.8696992397</v>
      </c>
      <c r="T82" s="21">
        <f t="shared" si="48"/>
        <v>0.81878418669038877</v>
      </c>
    </row>
    <row r="83" spans="1:20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50" t="s">
        <v>30</v>
      </c>
      <c r="P83" s="50"/>
      <c r="Q83" s="50"/>
      <c r="R83" s="50"/>
      <c r="S83" s="50"/>
      <c r="T83" s="18">
        <f>SUM(T73:T82)</f>
        <v>1.0394711812380837</v>
      </c>
    </row>
    <row r="84" spans="1:20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50" t="s">
        <v>31</v>
      </c>
      <c r="P84" s="50"/>
      <c r="Q84" s="50"/>
      <c r="R84" s="50"/>
      <c r="S84" s="50"/>
      <c r="T84" s="18">
        <f>AVERAGE(T73:T82)</f>
        <v>0.10394711812380837</v>
      </c>
    </row>
    <row r="85" spans="1:20" x14ac:dyDescent="0.25">
      <c r="B85"/>
    </row>
    <row r="86" spans="1:20" x14ac:dyDescent="0.25">
      <c r="B86"/>
    </row>
    <row r="87" spans="1:20" x14ac:dyDescent="0.25">
      <c r="B87"/>
    </row>
    <row r="88" spans="1:20" x14ac:dyDescent="0.25">
      <c r="B88"/>
    </row>
    <row r="89" spans="1:20" x14ac:dyDescent="0.25">
      <c r="B89"/>
    </row>
    <row r="90" spans="1:20" x14ac:dyDescent="0.25">
      <c r="B90"/>
    </row>
    <row r="91" spans="1:20" x14ac:dyDescent="0.25">
      <c r="B91"/>
    </row>
    <row r="92" spans="1:20" x14ac:dyDescent="0.25">
      <c r="B92"/>
    </row>
    <row r="93" spans="1:20" x14ac:dyDescent="0.25">
      <c r="B93"/>
    </row>
    <row r="94" spans="1:20" x14ac:dyDescent="0.25">
      <c r="B94"/>
    </row>
    <row r="95" spans="1:20" x14ac:dyDescent="0.25">
      <c r="B95"/>
    </row>
    <row r="96" spans="1:20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ht="29.25" customHeight="1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ht="48" customHeight="1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</sheetData>
  <mergeCells count="80">
    <mergeCell ref="K80:K82"/>
    <mergeCell ref="L80:L82"/>
    <mergeCell ref="M80:M82"/>
    <mergeCell ref="N80:N82"/>
    <mergeCell ref="K72:N72"/>
    <mergeCell ref="K73:K76"/>
    <mergeCell ref="L73:L76"/>
    <mergeCell ref="M73:M76"/>
    <mergeCell ref="N73:N76"/>
    <mergeCell ref="K77:K79"/>
    <mergeCell ref="L77:L79"/>
    <mergeCell ref="M77:M79"/>
    <mergeCell ref="N77:N79"/>
    <mergeCell ref="K63:K65"/>
    <mergeCell ref="L63:L65"/>
    <mergeCell ref="M63:M65"/>
    <mergeCell ref="N63:N65"/>
    <mergeCell ref="K66:K68"/>
    <mergeCell ref="L66:L68"/>
    <mergeCell ref="M66:M68"/>
    <mergeCell ref="N66:N68"/>
    <mergeCell ref="L38:L40"/>
    <mergeCell ref="M38:M40"/>
    <mergeCell ref="N38:N40"/>
    <mergeCell ref="N49:N51"/>
    <mergeCell ref="L24:L26"/>
    <mergeCell ref="M24:M26"/>
    <mergeCell ref="N24:N26"/>
    <mergeCell ref="L49:L51"/>
    <mergeCell ref="M49:M51"/>
    <mergeCell ref="K35:K37"/>
    <mergeCell ref="L35:L37"/>
    <mergeCell ref="M35:M37"/>
    <mergeCell ref="N35:N37"/>
    <mergeCell ref="K10:K12"/>
    <mergeCell ref="L10:L12"/>
    <mergeCell ref="M10:M12"/>
    <mergeCell ref="N10:N12"/>
    <mergeCell ref="K21:K23"/>
    <mergeCell ref="L21:L23"/>
    <mergeCell ref="M21:M23"/>
    <mergeCell ref="N21:N23"/>
    <mergeCell ref="K24:K26"/>
    <mergeCell ref="K7:K9"/>
    <mergeCell ref="L7:L9"/>
    <mergeCell ref="M7:M9"/>
    <mergeCell ref="N7:N9"/>
    <mergeCell ref="O83:S83"/>
    <mergeCell ref="K30:N30"/>
    <mergeCell ref="K31:K34"/>
    <mergeCell ref="L31:L34"/>
    <mergeCell ref="M31:M34"/>
    <mergeCell ref="N31:N34"/>
    <mergeCell ref="K38:K40"/>
    <mergeCell ref="K16:N16"/>
    <mergeCell ref="K17:K20"/>
    <mergeCell ref="L17:L20"/>
    <mergeCell ref="M17:M20"/>
    <mergeCell ref="N17:N20"/>
    <mergeCell ref="O84:S84"/>
    <mergeCell ref="K44:N44"/>
    <mergeCell ref="K45:K48"/>
    <mergeCell ref="L45:L48"/>
    <mergeCell ref="M45:M48"/>
    <mergeCell ref="N45:N48"/>
    <mergeCell ref="K59:K62"/>
    <mergeCell ref="L59:L62"/>
    <mergeCell ref="M59:M62"/>
    <mergeCell ref="N59:N62"/>
    <mergeCell ref="K49:K51"/>
    <mergeCell ref="K52:K54"/>
    <mergeCell ref="L52:L54"/>
    <mergeCell ref="M52:M54"/>
    <mergeCell ref="N52:N54"/>
    <mergeCell ref="K58:N58"/>
    <mergeCell ref="K2:N2"/>
    <mergeCell ref="K3:K6"/>
    <mergeCell ref="L3:L6"/>
    <mergeCell ref="M3:M6"/>
    <mergeCell ref="N3:N6"/>
  </mergeCells>
  <pageMargins left="0.7" right="0.7" top="0.75" bottom="0.75" header="0.3" footer="0.3"/>
  <pageSetup paperSize="9" orientation="portrait" horizontalDpi="0" verticalDpi="0" r:id="rId1"/>
  <ignoredErrors>
    <ignoredError sqref="L3:N3" formulaRange="1"/>
    <ignoredError sqref="P7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opLeftCell="A37" workbookViewId="0">
      <selection activeCell="L59" sqref="L59"/>
    </sheetView>
  </sheetViews>
  <sheetFormatPr defaultRowHeight="15" x14ac:dyDescent="0.25"/>
  <cols>
    <col min="1" max="1" width="2.5703125" bestFit="1" customWidth="1"/>
    <col min="2" max="2" width="7.140625" style="3" bestFit="1" customWidth="1"/>
    <col min="3" max="3" width="10.42578125" bestFit="1" customWidth="1"/>
    <col min="4" max="4" width="7.140625" bestFit="1" customWidth="1"/>
    <col min="5" max="5" width="10.42578125" bestFit="1" customWidth="1"/>
    <col min="6" max="6" width="7" bestFit="1" customWidth="1"/>
    <col min="7" max="8" width="10.42578125" bestFit="1" customWidth="1"/>
    <col min="9" max="9" width="8.28515625" customWidth="1"/>
    <col min="10" max="13" width="7" bestFit="1" customWidth="1"/>
    <col min="14" max="14" width="14.42578125" customWidth="1"/>
    <col min="15" max="15" width="11" bestFit="1" customWidth="1"/>
  </cols>
  <sheetData>
    <row r="1" spans="1:14" x14ac:dyDescent="0.25">
      <c r="B1" t="s">
        <v>19</v>
      </c>
    </row>
    <row r="2" spans="1:14" x14ac:dyDescent="0.25">
      <c r="B2" s="1" t="s">
        <v>16</v>
      </c>
      <c r="C2" s="1" t="s">
        <v>0</v>
      </c>
      <c r="D2" s="1" t="s">
        <v>1</v>
      </c>
      <c r="E2" s="1" t="s">
        <v>2</v>
      </c>
      <c r="F2" s="1" t="s">
        <v>3</v>
      </c>
      <c r="G2" s="17" t="s">
        <v>20</v>
      </c>
      <c r="H2" s="18" t="s">
        <v>21</v>
      </c>
      <c r="I2" s="16"/>
      <c r="J2" s="23" t="s">
        <v>22</v>
      </c>
      <c r="K2" s="23"/>
      <c r="L2" s="23"/>
      <c r="M2" s="23"/>
      <c r="N2" s="6"/>
    </row>
    <row r="3" spans="1:14" x14ac:dyDescent="0.25">
      <c r="A3" s="14" t="s">
        <v>17</v>
      </c>
      <c r="B3" s="4" t="s">
        <v>6</v>
      </c>
      <c r="C3" s="2">
        <v>111592</v>
      </c>
      <c r="D3" s="2">
        <v>4519</v>
      </c>
      <c r="E3" s="2">
        <v>67183</v>
      </c>
      <c r="F3" s="2">
        <v>39890</v>
      </c>
      <c r="G3" s="11">
        <f>SQRT(($C$3-C3)^2+($D$3-D3)^2+($E$3-E3)^2+($F$3-F3)^2)</f>
        <v>0</v>
      </c>
      <c r="H3" s="11">
        <f>SQRT(($C$7-C3)^2+($D$7-D3)^2+($E$7-E3)^2+($F$7-F3)^2)</f>
        <v>88293.054483351065</v>
      </c>
      <c r="I3" s="11">
        <f>IF(G3&lt;H3,1,2)</f>
        <v>1</v>
      </c>
      <c r="J3" s="27">
        <f>AVERAGE(C3:C5,C9:C10,C12)</f>
        <v>938518</v>
      </c>
      <c r="K3" s="27">
        <f>AVERAGE(D3:D5,D9:D10,D12)</f>
        <v>19639.333333333332</v>
      </c>
      <c r="L3" s="27">
        <f>AVERAGE(E3:E5,E9:E10,E12)</f>
        <v>856133.16666666663</v>
      </c>
      <c r="M3" s="27">
        <f>AVERAGE(F3:F5,F9:F10,F12)</f>
        <v>62745.5</v>
      </c>
      <c r="N3" s="14" t="s">
        <v>17</v>
      </c>
    </row>
    <row r="4" spans="1:14" x14ac:dyDescent="0.25">
      <c r="A4" s="14"/>
      <c r="B4" s="5" t="s">
        <v>7</v>
      </c>
      <c r="C4" s="2">
        <v>132506</v>
      </c>
      <c r="D4" s="2">
        <v>2455</v>
      </c>
      <c r="E4" s="2">
        <v>129975</v>
      </c>
      <c r="F4" s="2">
        <v>76</v>
      </c>
      <c r="G4" s="11">
        <f t="shared" ref="G4:G12" si="0">SQRT(($C$3-C4)^2+($D$3-D4)^2+($E$3-E4)^2+($F$3-F4)^2)</f>
        <v>77263.480066587726</v>
      </c>
      <c r="H4" s="11">
        <f t="shared" ref="H4:H12" si="1">SQRT(($C$7-C4)^2+($D$7-D4)^2+($E$7-E4)^2+($F$7-F4)^2)</f>
        <v>135528.20207617307</v>
      </c>
      <c r="I4" s="11">
        <f t="shared" ref="I4:I12" si="2">IF(G4&lt;H4,1,2)</f>
        <v>1</v>
      </c>
      <c r="J4" s="27"/>
      <c r="K4" s="27"/>
      <c r="L4" s="27"/>
      <c r="M4" s="27"/>
      <c r="N4" s="14"/>
    </row>
    <row r="5" spans="1:14" x14ac:dyDescent="0.25">
      <c r="A5" s="14"/>
      <c r="B5" s="4" t="s">
        <v>8</v>
      </c>
      <c r="C5" s="2">
        <v>137772</v>
      </c>
      <c r="D5" s="2">
        <v>3678</v>
      </c>
      <c r="E5" s="2">
        <v>95878</v>
      </c>
      <c r="F5" s="2">
        <v>38216</v>
      </c>
      <c r="G5" s="11">
        <f t="shared" si="0"/>
        <v>38888.365638067124</v>
      </c>
      <c r="H5" s="11">
        <f t="shared" si="1"/>
        <v>122486.45739019477</v>
      </c>
      <c r="I5" s="11">
        <f t="shared" si="2"/>
        <v>1</v>
      </c>
      <c r="J5" s="27"/>
      <c r="K5" s="27"/>
      <c r="L5" s="27"/>
      <c r="M5" s="27"/>
      <c r="N5" s="14"/>
    </row>
    <row r="6" spans="1:14" x14ac:dyDescent="0.25">
      <c r="A6" s="14"/>
      <c r="B6" s="5" t="s">
        <v>9</v>
      </c>
      <c r="C6" s="2">
        <v>13882</v>
      </c>
      <c r="D6" s="2">
        <v>127</v>
      </c>
      <c r="E6" s="2">
        <v>13697</v>
      </c>
      <c r="F6" s="2">
        <v>58</v>
      </c>
      <c r="G6" s="11">
        <f t="shared" si="0"/>
        <v>118380.21027181867</v>
      </c>
      <c r="H6" s="11">
        <f t="shared" si="1"/>
        <v>31322.12869522121</v>
      </c>
      <c r="I6" s="11">
        <f t="shared" si="2"/>
        <v>2</v>
      </c>
      <c r="J6" s="27"/>
      <c r="K6" s="27"/>
      <c r="L6" s="27"/>
      <c r="M6" s="27"/>
      <c r="N6" s="14"/>
    </row>
    <row r="7" spans="1:14" x14ac:dyDescent="0.25">
      <c r="A7" s="14" t="s">
        <v>18</v>
      </c>
      <c r="B7" s="4" t="s">
        <v>10</v>
      </c>
      <c r="C7" s="2">
        <v>38371</v>
      </c>
      <c r="D7" s="2">
        <v>883</v>
      </c>
      <c r="E7" s="2">
        <v>32605</v>
      </c>
      <c r="F7" s="2">
        <v>4883</v>
      </c>
      <c r="G7" s="11">
        <f t="shared" si="0"/>
        <v>88293.054483351065</v>
      </c>
      <c r="H7" s="11">
        <f t="shared" si="1"/>
        <v>0</v>
      </c>
      <c r="I7" s="11">
        <f t="shared" si="2"/>
        <v>2</v>
      </c>
      <c r="J7" s="25">
        <f>AVERAGE(C6:C8,C11)</f>
        <v>20993.25</v>
      </c>
      <c r="K7" s="25">
        <f>AVERAGE(D6:D8,D11)</f>
        <v>490.5</v>
      </c>
      <c r="L7" s="25">
        <f t="shared" ref="L7:M7" si="3">AVERAGE(E6:E8,E11)</f>
        <v>17822</v>
      </c>
      <c r="M7" s="25">
        <f t="shared" si="3"/>
        <v>2680.75</v>
      </c>
      <c r="N7" s="14" t="s">
        <v>18</v>
      </c>
    </row>
    <row r="8" spans="1:14" x14ac:dyDescent="0.25">
      <c r="B8" s="5" t="s">
        <v>11</v>
      </c>
      <c r="C8" s="2">
        <v>1263</v>
      </c>
      <c r="D8" s="2">
        <v>42</v>
      </c>
      <c r="E8" s="2">
        <v>1221</v>
      </c>
      <c r="F8" s="2">
        <v>0</v>
      </c>
      <c r="G8" s="11">
        <f t="shared" si="0"/>
        <v>134665.24909567428</v>
      </c>
      <c r="H8" s="11">
        <f t="shared" si="1"/>
        <v>48851.920023679726</v>
      </c>
      <c r="I8" s="11">
        <f t="shared" si="2"/>
        <v>2</v>
      </c>
      <c r="J8" s="25"/>
      <c r="K8" s="25"/>
      <c r="L8" s="25"/>
      <c r="M8" s="25"/>
      <c r="N8" s="6"/>
    </row>
    <row r="9" spans="1:14" x14ac:dyDescent="0.25">
      <c r="B9" s="4" t="s">
        <v>12</v>
      </c>
      <c r="C9" s="2">
        <v>4374587</v>
      </c>
      <c r="D9" s="2">
        <v>91979</v>
      </c>
      <c r="E9" s="2">
        <v>3990289</v>
      </c>
      <c r="F9" s="2">
        <v>292319</v>
      </c>
      <c r="G9" s="11">
        <f t="shared" si="0"/>
        <v>5799591.0811799485</v>
      </c>
      <c r="H9" s="11">
        <f t="shared" si="1"/>
        <v>5878515.950290856</v>
      </c>
      <c r="I9" s="11">
        <f t="shared" si="2"/>
        <v>1</v>
      </c>
      <c r="J9" s="25"/>
      <c r="K9" s="25"/>
      <c r="L9" s="25"/>
      <c r="M9" s="25"/>
      <c r="N9" s="6"/>
    </row>
    <row r="10" spans="1:14" x14ac:dyDescent="0.25">
      <c r="B10" s="5" t="s">
        <v>13</v>
      </c>
      <c r="C10" s="2">
        <v>224635</v>
      </c>
      <c r="D10" s="2">
        <v>4505</v>
      </c>
      <c r="E10" s="2">
        <v>216423</v>
      </c>
      <c r="F10" s="2">
        <v>3707</v>
      </c>
      <c r="G10" s="11">
        <f t="shared" si="0"/>
        <v>190684.31276326851</v>
      </c>
      <c r="H10" s="11">
        <f t="shared" si="1"/>
        <v>261720.91372299616</v>
      </c>
      <c r="I10" s="11">
        <f t="shared" si="2"/>
        <v>1</v>
      </c>
      <c r="J10" s="25"/>
      <c r="K10" s="25"/>
      <c r="L10" s="25"/>
      <c r="M10" s="25"/>
      <c r="N10" s="6"/>
    </row>
    <row r="11" spans="1:14" x14ac:dyDescent="0.25">
      <c r="B11" s="4" t="s">
        <v>14</v>
      </c>
      <c r="C11" s="2">
        <v>30457</v>
      </c>
      <c r="D11" s="2">
        <v>910</v>
      </c>
      <c r="E11" s="2">
        <v>23765</v>
      </c>
      <c r="F11" s="2">
        <v>5782</v>
      </c>
      <c r="G11" s="11">
        <f t="shared" si="0"/>
        <v>98205.862829059246</v>
      </c>
      <c r="H11" s="11">
        <f t="shared" si="1"/>
        <v>11898.988444401482</v>
      </c>
      <c r="I11" s="11">
        <f t="shared" si="2"/>
        <v>2</v>
      </c>
      <c r="J11" s="25"/>
      <c r="K11" s="25"/>
      <c r="L11" s="25"/>
      <c r="M11" s="25"/>
      <c r="N11" s="6"/>
    </row>
    <row r="12" spans="1:14" x14ac:dyDescent="0.25">
      <c r="B12" s="5" t="s">
        <v>15</v>
      </c>
      <c r="C12" s="2">
        <v>650016</v>
      </c>
      <c r="D12" s="2">
        <v>10700</v>
      </c>
      <c r="E12" s="2">
        <v>637051</v>
      </c>
      <c r="F12" s="2">
        <v>2265</v>
      </c>
      <c r="G12" s="11">
        <f t="shared" si="0"/>
        <v>784922.79020678205</v>
      </c>
      <c r="H12" s="11">
        <f t="shared" si="1"/>
        <v>859981.27907181799</v>
      </c>
      <c r="I12" s="11">
        <f t="shared" si="2"/>
        <v>1</v>
      </c>
      <c r="J12" s="25"/>
      <c r="K12" s="25"/>
      <c r="L12" s="25"/>
      <c r="M12" s="25"/>
      <c r="N12" s="6"/>
    </row>
    <row r="15" spans="1:14" x14ac:dyDescent="0.25">
      <c r="B15" s="14" t="s">
        <v>23</v>
      </c>
    </row>
    <row r="16" spans="1:14" x14ac:dyDescent="0.25">
      <c r="B16" s="7" t="s">
        <v>16</v>
      </c>
      <c r="C16" s="7" t="s">
        <v>0</v>
      </c>
      <c r="D16" s="7" t="s">
        <v>1</v>
      </c>
      <c r="E16" s="7" t="s">
        <v>2</v>
      </c>
      <c r="F16" s="7" t="s">
        <v>3</v>
      </c>
      <c r="G16" s="17" t="s">
        <v>20</v>
      </c>
      <c r="H16" s="18" t="s">
        <v>21</v>
      </c>
      <c r="I16" s="16"/>
      <c r="J16" s="23" t="s">
        <v>22</v>
      </c>
      <c r="K16" s="23"/>
      <c r="L16" s="23"/>
      <c r="M16" s="23"/>
    </row>
    <row r="17" spans="2:13" x14ac:dyDescent="0.25">
      <c r="B17" s="4" t="s">
        <v>6</v>
      </c>
      <c r="C17" s="8">
        <v>111592</v>
      </c>
      <c r="D17" s="8">
        <v>4519</v>
      </c>
      <c r="E17" s="8">
        <v>67183</v>
      </c>
      <c r="F17" s="8">
        <v>39890</v>
      </c>
      <c r="G17" s="11">
        <f>SQRT(($J$3-C17)^2+($K$3-D17)^2+($L$3-E17)^2+($M$3-F17)^2)</f>
        <v>1143240.9952935218</v>
      </c>
      <c r="H17" s="11">
        <f>SQRT(($J$7-C17)^2+($K$7-D17)^2+($L$7-E17)^2+($M$7-F17)^2)</f>
        <v>109751.53265615474</v>
      </c>
      <c r="I17" s="11">
        <f>IF(G17&lt;H17,1,2)</f>
        <v>2</v>
      </c>
      <c r="J17" s="27">
        <f>AVERAGE(C17:C22,C24:C25)</f>
        <v>86309.75</v>
      </c>
      <c r="K17" s="27">
        <f t="shared" ref="K17:L17" si="4">AVERAGE(D17:D22,D24:D25)</f>
        <v>2139.875</v>
      </c>
      <c r="L17" s="27">
        <f t="shared" si="4"/>
        <v>72593.375</v>
      </c>
      <c r="M17" s="27">
        <f>AVERAGE(F17:F22,F24:F25)</f>
        <v>11576.5</v>
      </c>
    </row>
    <row r="18" spans="2:13" x14ac:dyDescent="0.25">
      <c r="B18" s="5" t="s">
        <v>7</v>
      </c>
      <c r="C18" s="8">
        <v>132506</v>
      </c>
      <c r="D18" s="8">
        <v>2455</v>
      </c>
      <c r="E18" s="8">
        <v>129975</v>
      </c>
      <c r="F18" s="8">
        <v>76</v>
      </c>
      <c r="G18" s="11">
        <f t="shared" ref="G18:G26" si="5">SQRT(($J$3-C18)^2+($K$3-D18)^2+($L$3-E18)^2+($M$3-F18)^2)</f>
        <v>1086822.7982072586</v>
      </c>
      <c r="H18" s="11">
        <f t="shared" ref="H18:H25" si="6">SQRT(($J$7-C18)^2+($K$7-D18)^2+($L$7-E18)^2+($M$7-F18)^2)</f>
        <v>158189.86315303203</v>
      </c>
      <c r="I18" s="11">
        <f t="shared" ref="I18:I26" si="7">IF(G18&lt;H18,1,2)</f>
        <v>2</v>
      </c>
      <c r="J18" s="27"/>
      <c r="K18" s="27"/>
      <c r="L18" s="27"/>
      <c r="M18" s="27"/>
    </row>
    <row r="19" spans="2:13" x14ac:dyDescent="0.25">
      <c r="B19" s="4" t="s">
        <v>8</v>
      </c>
      <c r="C19" s="8">
        <v>137772</v>
      </c>
      <c r="D19" s="8">
        <v>3678</v>
      </c>
      <c r="E19" s="8">
        <v>95878</v>
      </c>
      <c r="F19" s="8">
        <v>38216</v>
      </c>
      <c r="G19" s="11">
        <f t="shared" si="5"/>
        <v>1104553.5457782883</v>
      </c>
      <c r="H19" s="11">
        <f t="shared" si="6"/>
        <v>144923.87566020651</v>
      </c>
      <c r="I19" s="11">
        <f t="shared" si="7"/>
        <v>2</v>
      </c>
      <c r="J19" s="27"/>
      <c r="K19" s="27"/>
      <c r="L19" s="27"/>
      <c r="M19" s="27"/>
    </row>
    <row r="20" spans="2:13" x14ac:dyDescent="0.25">
      <c r="B20" s="5" t="s">
        <v>9</v>
      </c>
      <c r="C20" s="8">
        <v>13882</v>
      </c>
      <c r="D20" s="8">
        <v>127</v>
      </c>
      <c r="E20" s="8">
        <v>13697</v>
      </c>
      <c r="F20" s="8">
        <v>58</v>
      </c>
      <c r="G20" s="11">
        <f t="shared" si="5"/>
        <v>1252581.6864429994</v>
      </c>
      <c r="H20" s="11">
        <f t="shared" si="6"/>
        <v>8636.9237217310183</v>
      </c>
      <c r="I20" s="11">
        <f t="shared" si="7"/>
        <v>2</v>
      </c>
      <c r="J20" s="27"/>
      <c r="K20" s="27"/>
      <c r="L20" s="27"/>
      <c r="M20" s="27"/>
    </row>
    <row r="21" spans="2:13" x14ac:dyDescent="0.25">
      <c r="B21" s="4" t="s">
        <v>10</v>
      </c>
      <c r="C21" s="8">
        <v>38371</v>
      </c>
      <c r="D21" s="8">
        <v>883</v>
      </c>
      <c r="E21" s="8">
        <v>32605</v>
      </c>
      <c r="F21" s="8">
        <v>4883</v>
      </c>
      <c r="G21" s="11">
        <f t="shared" si="5"/>
        <v>1221541.2935503745</v>
      </c>
      <c r="H21" s="11">
        <f t="shared" si="6"/>
        <v>22924.381024904469</v>
      </c>
      <c r="I21" s="11">
        <f t="shared" si="7"/>
        <v>2</v>
      </c>
      <c r="J21" s="25">
        <f>AVERAGE(C23,C26)</f>
        <v>2512301.5</v>
      </c>
      <c r="K21" s="25">
        <f t="shared" ref="K21:M21" si="8">AVERAGE(D23,D26)</f>
        <v>51339.5</v>
      </c>
      <c r="L21" s="25">
        <f>AVERAGE(E23,E26)</f>
        <v>2313670</v>
      </c>
      <c r="M21" s="25">
        <f t="shared" si="8"/>
        <v>147292</v>
      </c>
    </row>
    <row r="22" spans="2:13" x14ac:dyDescent="0.25">
      <c r="B22" s="5" t="s">
        <v>11</v>
      </c>
      <c r="C22" s="8">
        <v>1263</v>
      </c>
      <c r="D22" s="8">
        <v>42</v>
      </c>
      <c r="E22" s="8">
        <v>1221</v>
      </c>
      <c r="F22" s="8">
        <v>0</v>
      </c>
      <c r="G22" s="11">
        <f t="shared" si="5"/>
        <v>1270292.4076698727</v>
      </c>
      <c r="H22" s="11">
        <f t="shared" si="6"/>
        <v>25928.045411773714</v>
      </c>
      <c r="I22" s="11">
        <f t="shared" si="7"/>
        <v>2</v>
      </c>
      <c r="J22" s="25"/>
      <c r="K22" s="25"/>
      <c r="L22" s="25"/>
      <c r="M22" s="25"/>
    </row>
    <row r="23" spans="2:13" x14ac:dyDescent="0.25">
      <c r="B23" s="4" t="s">
        <v>12</v>
      </c>
      <c r="C23" s="8">
        <v>4374587</v>
      </c>
      <c r="D23" s="8">
        <v>91979</v>
      </c>
      <c r="E23" s="8">
        <v>3990289</v>
      </c>
      <c r="F23" s="8">
        <v>292319</v>
      </c>
      <c r="G23" s="11">
        <f t="shared" si="5"/>
        <v>4656977.5584228504</v>
      </c>
      <c r="H23" s="11">
        <f t="shared" si="6"/>
        <v>5901400.9411006281</v>
      </c>
      <c r="I23" s="11">
        <f t="shared" si="7"/>
        <v>1</v>
      </c>
      <c r="J23" s="25"/>
      <c r="K23" s="25"/>
      <c r="L23" s="25"/>
      <c r="M23" s="25"/>
    </row>
    <row r="24" spans="2:13" x14ac:dyDescent="0.25">
      <c r="B24" s="5" t="s">
        <v>13</v>
      </c>
      <c r="C24" s="8">
        <v>224635</v>
      </c>
      <c r="D24" s="8">
        <v>4505</v>
      </c>
      <c r="E24" s="8">
        <v>216423</v>
      </c>
      <c r="F24" s="8">
        <v>3707</v>
      </c>
      <c r="G24" s="11">
        <f t="shared" si="5"/>
        <v>960506.44326490024</v>
      </c>
      <c r="H24" s="11">
        <f t="shared" si="6"/>
        <v>284481.08714530565</v>
      </c>
      <c r="I24" s="11">
        <f t="shared" si="7"/>
        <v>2</v>
      </c>
      <c r="J24" s="25"/>
      <c r="K24" s="25"/>
      <c r="L24" s="25"/>
      <c r="M24" s="25"/>
    </row>
    <row r="25" spans="2:13" x14ac:dyDescent="0.25">
      <c r="B25" s="4" t="s">
        <v>14</v>
      </c>
      <c r="C25" s="8">
        <v>30457</v>
      </c>
      <c r="D25" s="8">
        <v>910</v>
      </c>
      <c r="E25" s="8">
        <v>23765</v>
      </c>
      <c r="F25" s="8">
        <v>5782</v>
      </c>
      <c r="G25" s="11">
        <f t="shared" si="5"/>
        <v>1233291.1954848249</v>
      </c>
      <c r="H25" s="11">
        <f t="shared" si="6"/>
        <v>11604.979313854894</v>
      </c>
      <c r="I25" s="11">
        <f t="shared" si="7"/>
        <v>2</v>
      </c>
      <c r="J25" s="25"/>
      <c r="K25" s="25"/>
      <c r="L25" s="25"/>
      <c r="M25" s="25"/>
    </row>
    <row r="26" spans="2:13" x14ac:dyDescent="0.25">
      <c r="B26" s="5" t="s">
        <v>15</v>
      </c>
      <c r="C26" s="8">
        <v>650016</v>
      </c>
      <c r="D26" s="8">
        <v>10700</v>
      </c>
      <c r="E26" s="8">
        <v>637051</v>
      </c>
      <c r="F26" s="8">
        <v>2265</v>
      </c>
      <c r="G26" s="11">
        <f t="shared" si="5"/>
        <v>367380.18770213443</v>
      </c>
      <c r="H26" s="11">
        <f>SQRT(($J$7-C26)^2+($K$7-D26)^2+($L$7-E26)^2+($M$7-F26)^2)</f>
        <v>882733.58449584036</v>
      </c>
      <c r="I26" s="11">
        <f t="shared" si="7"/>
        <v>1</v>
      </c>
      <c r="J26" s="25"/>
      <c r="K26" s="25"/>
      <c r="L26" s="25"/>
      <c r="M26" s="25"/>
    </row>
    <row r="27" spans="2:13" x14ac:dyDescent="0.25">
      <c r="B27"/>
    </row>
    <row r="28" spans="2:13" x14ac:dyDescent="0.25">
      <c r="B28"/>
    </row>
    <row r="29" spans="2:13" x14ac:dyDescent="0.25">
      <c r="B29" s="14" t="s">
        <v>32</v>
      </c>
    </row>
    <row r="30" spans="2:13" x14ac:dyDescent="0.25">
      <c r="B30" s="7" t="s">
        <v>16</v>
      </c>
      <c r="C30" s="7" t="s">
        <v>0</v>
      </c>
      <c r="D30" s="7" t="s">
        <v>1</v>
      </c>
      <c r="E30" s="7" t="s">
        <v>2</v>
      </c>
      <c r="F30" s="7" t="s">
        <v>3</v>
      </c>
      <c r="G30" s="17" t="s">
        <v>20</v>
      </c>
      <c r="H30" s="18" t="s">
        <v>21</v>
      </c>
      <c r="I30" s="16"/>
      <c r="J30" s="23" t="s">
        <v>22</v>
      </c>
      <c r="K30" s="23"/>
      <c r="L30" s="23"/>
      <c r="M30" s="23"/>
    </row>
    <row r="31" spans="2:13" x14ac:dyDescent="0.25">
      <c r="B31" s="4" t="s">
        <v>6</v>
      </c>
      <c r="C31" s="8">
        <v>111592</v>
      </c>
      <c r="D31" s="8">
        <v>4519</v>
      </c>
      <c r="E31" s="8">
        <v>67183</v>
      </c>
      <c r="F31" s="8">
        <v>39890</v>
      </c>
      <c r="G31" s="11">
        <f>SQRT(($J$17-C31)^2+($K$17-D31)^2+($L$17-E31)^2+($M$17-F31)^2)</f>
        <v>38415.867043693681</v>
      </c>
      <c r="H31" s="11">
        <f>SQRT(($J$21-C31)^2+($K$21-D31)^2+($L$21-E31)^2+($M$21-F31)^2)</f>
        <v>3289960.0747400415</v>
      </c>
      <c r="I31" s="11">
        <f>IF(G31&lt;H31,1,2)</f>
        <v>1</v>
      </c>
      <c r="J31" s="27">
        <f>AVERAGE(C31:C36,C38:C40)</f>
        <v>148943.77777777778</v>
      </c>
      <c r="K31" s="27">
        <f t="shared" ref="K31:L31" si="9">AVERAGE(D31:D36,D38:D40)</f>
        <v>3091</v>
      </c>
      <c r="L31" s="27">
        <f t="shared" si="9"/>
        <v>135310.88888888888</v>
      </c>
      <c r="M31" s="27">
        <f>AVERAGE(F31:F36,F38:F40)</f>
        <v>10541.888888888889</v>
      </c>
    </row>
    <row r="32" spans="2:13" x14ac:dyDescent="0.25">
      <c r="B32" s="5" t="s">
        <v>7</v>
      </c>
      <c r="C32" s="8">
        <v>132506</v>
      </c>
      <c r="D32" s="8">
        <v>2455</v>
      </c>
      <c r="E32" s="8">
        <v>129975</v>
      </c>
      <c r="F32" s="8">
        <v>76</v>
      </c>
      <c r="G32" s="11">
        <f t="shared" ref="G32:G39" si="10">SQRT(($J$17-C32)^2+($K$17-D32)^2+($L$17-E32)^2+($M$17-F32)^2)</f>
        <v>74559.407224834809</v>
      </c>
      <c r="H32" s="11">
        <f t="shared" ref="H32:H39" si="11">SQRT(($J$21-C32)^2+($K$21-D32)^2+($L$21-E32)^2+($M$21-F32)^2)</f>
        <v>3233575.841052982</v>
      </c>
      <c r="I32" s="11">
        <f t="shared" ref="I32:I40" si="12">IF(G32&lt;H32,1,2)</f>
        <v>1</v>
      </c>
      <c r="J32" s="27"/>
      <c r="K32" s="27"/>
      <c r="L32" s="27"/>
      <c r="M32" s="27"/>
    </row>
    <row r="33" spans="2:18" x14ac:dyDescent="0.25">
      <c r="B33" s="4" t="s">
        <v>8</v>
      </c>
      <c r="C33" s="8">
        <v>137772</v>
      </c>
      <c r="D33" s="8">
        <v>3678</v>
      </c>
      <c r="E33" s="8">
        <v>95878</v>
      </c>
      <c r="F33" s="8">
        <v>38216</v>
      </c>
      <c r="G33" s="11">
        <f t="shared" si="10"/>
        <v>62470.518848643718</v>
      </c>
      <c r="H33" s="11">
        <f t="shared" si="11"/>
        <v>3251332.1722014961</v>
      </c>
      <c r="I33" s="11">
        <f t="shared" si="12"/>
        <v>1</v>
      </c>
      <c r="J33" s="27"/>
      <c r="K33" s="27"/>
      <c r="L33" s="27"/>
      <c r="M33" s="27"/>
    </row>
    <row r="34" spans="2:18" x14ac:dyDescent="0.25">
      <c r="B34" s="5" t="s">
        <v>9</v>
      </c>
      <c r="C34" s="8">
        <v>13882</v>
      </c>
      <c r="D34" s="8">
        <v>127</v>
      </c>
      <c r="E34" s="8">
        <v>13697</v>
      </c>
      <c r="F34" s="8">
        <v>58</v>
      </c>
      <c r="G34" s="11">
        <f t="shared" si="10"/>
        <v>94081.291797140788</v>
      </c>
      <c r="H34" s="11">
        <f t="shared" si="11"/>
        <v>3399452.3631934454</v>
      </c>
      <c r="I34" s="11">
        <f t="shared" si="12"/>
        <v>1</v>
      </c>
      <c r="J34" s="27"/>
      <c r="K34" s="27"/>
      <c r="L34" s="27"/>
      <c r="M34" s="27"/>
    </row>
    <row r="35" spans="2:18" x14ac:dyDescent="0.25">
      <c r="B35" s="4" t="s">
        <v>10</v>
      </c>
      <c r="C35" s="8">
        <v>38371</v>
      </c>
      <c r="D35" s="8">
        <v>883</v>
      </c>
      <c r="E35" s="8">
        <v>32605</v>
      </c>
      <c r="F35" s="8">
        <v>4883</v>
      </c>
      <c r="G35" s="11">
        <f t="shared" si="10"/>
        <v>62797.90254235208</v>
      </c>
      <c r="H35" s="11">
        <f t="shared" si="11"/>
        <v>3368444.126704271</v>
      </c>
      <c r="I35" s="11">
        <f t="shared" si="12"/>
        <v>1</v>
      </c>
      <c r="J35" s="25">
        <f>AVERAGE(C37)</f>
        <v>4374587</v>
      </c>
      <c r="K35" s="25">
        <f t="shared" ref="K35:M35" si="13">AVERAGE(D37)</f>
        <v>91979</v>
      </c>
      <c r="L35" s="25">
        <f t="shared" si="13"/>
        <v>3990289</v>
      </c>
      <c r="M35" s="25">
        <f t="shared" si="13"/>
        <v>292319</v>
      </c>
    </row>
    <row r="36" spans="2:18" x14ac:dyDescent="0.25">
      <c r="B36" s="5" t="s">
        <v>11</v>
      </c>
      <c r="C36" s="8">
        <v>1263</v>
      </c>
      <c r="D36" s="8">
        <v>42</v>
      </c>
      <c r="E36" s="8">
        <v>1221</v>
      </c>
      <c r="F36" s="8">
        <v>0</v>
      </c>
      <c r="G36" s="11">
        <f t="shared" si="10"/>
        <v>111648.47527158062</v>
      </c>
      <c r="H36" s="11">
        <f t="shared" si="11"/>
        <v>3417171.5047467984</v>
      </c>
      <c r="I36" s="11">
        <f t="shared" si="12"/>
        <v>1</v>
      </c>
      <c r="J36" s="25"/>
      <c r="K36" s="25"/>
      <c r="L36" s="25"/>
      <c r="M36" s="25"/>
    </row>
    <row r="37" spans="2:18" x14ac:dyDescent="0.25">
      <c r="B37" s="4" t="s">
        <v>12</v>
      </c>
      <c r="C37" s="8">
        <v>4374587</v>
      </c>
      <c r="D37" s="8">
        <v>91979</v>
      </c>
      <c r="E37" s="8">
        <v>3990289</v>
      </c>
      <c r="F37" s="8">
        <v>292319</v>
      </c>
      <c r="G37" s="11">
        <f t="shared" si="10"/>
        <v>5815887.5679210583</v>
      </c>
      <c r="H37" s="11">
        <f t="shared" si="11"/>
        <v>2510347.1780533665</v>
      </c>
      <c r="I37" s="11">
        <f t="shared" si="12"/>
        <v>2</v>
      </c>
      <c r="J37" s="25"/>
      <c r="K37" s="25"/>
      <c r="L37" s="25"/>
      <c r="M37" s="25"/>
    </row>
    <row r="38" spans="2:18" x14ac:dyDescent="0.25">
      <c r="B38" s="5" t="s">
        <v>13</v>
      </c>
      <c r="C38" s="8">
        <v>224635</v>
      </c>
      <c r="D38" s="8">
        <v>4505</v>
      </c>
      <c r="E38" s="8">
        <v>216423</v>
      </c>
      <c r="F38" s="8">
        <v>3707</v>
      </c>
      <c r="G38" s="11">
        <f t="shared" si="10"/>
        <v>199720.70163535565</v>
      </c>
      <c r="H38" s="11">
        <f t="shared" si="11"/>
        <v>3107196.9871326955</v>
      </c>
      <c r="I38" s="11">
        <f t="shared" si="12"/>
        <v>1</v>
      </c>
      <c r="J38" s="25"/>
      <c r="K38" s="25"/>
      <c r="L38" s="25"/>
      <c r="M38" s="25"/>
    </row>
    <row r="39" spans="2:18" x14ac:dyDescent="0.25">
      <c r="B39" s="4" t="s">
        <v>14</v>
      </c>
      <c r="C39" s="8">
        <v>30457</v>
      </c>
      <c r="D39" s="8">
        <v>910</v>
      </c>
      <c r="E39" s="8">
        <v>23765</v>
      </c>
      <c r="F39" s="8">
        <v>5782</v>
      </c>
      <c r="G39" s="11">
        <f t="shared" si="10"/>
        <v>74423.307575441373</v>
      </c>
      <c r="H39" s="11">
        <f t="shared" si="11"/>
        <v>3380204.9118027594</v>
      </c>
      <c r="I39" s="11">
        <f t="shared" si="12"/>
        <v>1</v>
      </c>
      <c r="J39" s="25"/>
      <c r="K39" s="25"/>
      <c r="L39" s="25"/>
      <c r="M39" s="25"/>
    </row>
    <row r="40" spans="2:18" x14ac:dyDescent="0.25">
      <c r="B40" s="5" t="s">
        <v>15</v>
      </c>
      <c r="C40" s="8">
        <v>650016</v>
      </c>
      <c r="D40" s="8">
        <v>10700</v>
      </c>
      <c r="E40" s="8">
        <v>637051</v>
      </c>
      <c r="F40" s="8">
        <v>2265</v>
      </c>
      <c r="G40" s="11">
        <f>SQRT(($J$17-C40)^2+($K$17-D40)^2+($L$17-E40)^2+($M$17-F40)^2)</f>
        <v>797832.76849347865</v>
      </c>
      <c r="H40" s="11">
        <f>SQRT(($J$21-C40)^2+($K$21-D40)^2+($L$21-E40)^2+($M$21-F40)^2)</f>
        <v>2510347.1780533665</v>
      </c>
      <c r="I40" s="11">
        <f t="shared" si="12"/>
        <v>1</v>
      </c>
      <c r="J40" s="25"/>
      <c r="K40" s="25"/>
      <c r="L40" s="25"/>
      <c r="M40" s="25"/>
    </row>
    <row r="41" spans="2:18" x14ac:dyDescent="0.25">
      <c r="B41"/>
    </row>
    <row r="42" spans="2:18" x14ac:dyDescent="0.25">
      <c r="B42"/>
    </row>
    <row r="43" spans="2:18" x14ac:dyDescent="0.25">
      <c r="B43" s="14" t="s">
        <v>33</v>
      </c>
    </row>
    <row r="44" spans="2:18" x14ac:dyDescent="0.25">
      <c r="B44" s="7" t="s">
        <v>16</v>
      </c>
      <c r="C44" s="7" t="s">
        <v>0</v>
      </c>
      <c r="D44" s="7" t="s">
        <v>1</v>
      </c>
      <c r="E44" s="7" t="s">
        <v>2</v>
      </c>
      <c r="F44" s="7" t="s">
        <v>3</v>
      </c>
      <c r="G44" s="17" t="s">
        <v>20</v>
      </c>
      <c r="H44" s="18" t="s">
        <v>21</v>
      </c>
      <c r="I44" s="16"/>
      <c r="J44" s="23" t="s">
        <v>22</v>
      </c>
      <c r="K44" s="23"/>
      <c r="L44" s="23"/>
      <c r="M44" s="23"/>
      <c r="N44" s="5" t="s">
        <v>24</v>
      </c>
      <c r="O44" s="5" t="s">
        <v>27</v>
      </c>
      <c r="P44" s="5" t="s">
        <v>28</v>
      </c>
      <c r="Q44" s="5" t="s">
        <v>25</v>
      </c>
      <c r="R44" s="5" t="s">
        <v>26</v>
      </c>
    </row>
    <row r="45" spans="2:18" x14ac:dyDescent="0.25">
      <c r="B45" s="4" t="s">
        <v>6</v>
      </c>
      <c r="C45" s="8">
        <v>111592</v>
      </c>
      <c r="D45" s="8">
        <v>4519</v>
      </c>
      <c r="E45" s="8">
        <v>67183</v>
      </c>
      <c r="F45" s="8">
        <v>39890</v>
      </c>
      <c r="G45" s="11">
        <f>SQRT(($J$31-C45)^2+($K$31-D45)^2+($L$31-E45)^2+($M$31-F45)^2)</f>
        <v>83065.72913908241</v>
      </c>
      <c r="H45" s="11">
        <f>SQRT(($J$35-C45)^2+($K$35-D45)^2+($L$35-E45)^2+($M$35-F45)^2)</f>
        <v>5799591.0811799485</v>
      </c>
      <c r="I45" s="11">
        <f>IF(G45&lt;H45,1,2)</f>
        <v>1</v>
      </c>
      <c r="J45" s="27">
        <f>AVERAGE(C45:C50,C52:C54)</f>
        <v>148943.77777777778</v>
      </c>
      <c r="K45" s="27">
        <f t="shared" ref="K45:L45" si="14">AVERAGE(D45:D50,D52:D54)</f>
        <v>3091</v>
      </c>
      <c r="L45" s="27">
        <f t="shared" si="14"/>
        <v>135310.88888888888</v>
      </c>
      <c r="M45" s="27">
        <f>AVERAGE(F45:F50,F52:F54)</f>
        <v>10541.888888888889</v>
      </c>
      <c r="N45" s="11">
        <f>SQRT((C45-$C$46)^2+(D45-$D$46)^2+(E45-$E$46)^2+(F45-$F$46)^2)+SQRT((C45-$C$47)^2+(D45-$D$47)^2+(E45-$E$47)^2+(F45-$F$47)^2)+SQRT((C45-$C$48)^2+(D45-$D$48)^2+(E45-$E$48)^2+(F45-$F$48)^2)+SQRT((C45-$C$49)^2+(D45-$D$49)^2+(E45-$E$49)^2+(F45-$F$49)^2)+SQRT((C45-$C$50)^2+(D45-$D$50)^2+(E45-$E$50)^2+(F45-$F$50)^2)+SQRT((C45-$C$52)^2+(D45-$D$52)^2+(E45-$E$52)^2+(F45-$F$52)^2)+SQRT((C45-$C$53)^2+(D45-$D$53)^2+(E45-$E$53)^2+(F45-$F$53)^2)+SQRT((C45-$C$54)^2+(D45-$D$54)^2+(E45-$E$54)^2+(F45-$F$54)^2)/8</f>
        <v>844495.88392367424</v>
      </c>
      <c r="O45" s="11" t="s">
        <v>29</v>
      </c>
      <c r="P45" s="11">
        <f t="shared" ref="P45:P50" si="15">SQRT(($C$51-C45)^2)+SQRT(($D$51-D45)^2)+SQRT(($E$51-E45)^2)+SQRT(($F$51-F45)^2)/9</f>
        <v>8301608.666666667</v>
      </c>
      <c r="Q45" s="11">
        <f>MIN(O45:P45)</f>
        <v>8301608.666666667</v>
      </c>
      <c r="R45" s="11">
        <f>(Q45-N45)/MAX(N45,Q45)</f>
        <v>0.89827322416261723</v>
      </c>
    </row>
    <row r="46" spans="2:18" x14ac:dyDescent="0.25">
      <c r="B46" s="5" t="s">
        <v>7</v>
      </c>
      <c r="C46" s="8">
        <v>132506</v>
      </c>
      <c r="D46" s="8">
        <v>2455</v>
      </c>
      <c r="E46" s="8">
        <v>129975</v>
      </c>
      <c r="F46" s="8">
        <v>76</v>
      </c>
      <c r="G46" s="11">
        <f t="shared" ref="G46:G54" si="16">SQRT(($J$31-C46)^2+($K$31-D46)^2+($L$31-E46)^2+($M$31-F46)^2)</f>
        <v>20214.142938565084</v>
      </c>
      <c r="H46" s="11">
        <f t="shared" ref="H46:H54" si="17">SQRT(($J$35-C46)^2+($K$35-D46)^2+($L$35-E46)^2+($M$35-F46)^2)</f>
        <v>5743752.7720804624</v>
      </c>
      <c r="I46" s="11">
        <f t="shared" ref="I46:I54" si="18">IF(G46&lt;H46,1,2)</f>
        <v>1</v>
      </c>
      <c r="J46" s="27"/>
      <c r="K46" s="27"/>
      <c r="L46" s="27"/>
      <c r="M46" s="27"/>
      <c r="N46" s="11">
        <f>SQRT((C46-$C$45)^2+(D46-$D$45)^2+(E46-$E$45)^2+(F46-$F$45)^2)+SQRT((C46-$C$47)^2+(D46-$D$47)^2+(E46-$E$47)^2+(F46-$F$47)^2)+SQRT((C46-$C$48)^2+(D46-$D$48)^2+(E46-$E$48)^2+(F46-$F$48)^2)+SQRT((C46-$C$49)^2+(D46-$D$49)^2+(E46-$E$49)^2+(F46-$F$49)^2)+SQRT((C46-$C$50)^2+(D46-$D$50)^2+(E46-$E$50)^2+(F46-$F$50)^2)+SQRT((C46-$C$52)^2+(D46-$D$52)^2+(E46-$E$52)^2+(F46-$F$52)^2)+SQRT((C46-$C$53)^2+(D46-$D$53)^2+(E46-$E$53)^2+(F46-$F$53)^2)+SQRT((C46-$C$54)^2+(D46-$D$54)^2+(E46-$E$54)^2+(F46-$F$54)^2)/8</f>
        <v>978618.49182245287</v>
      </c>
      <c r="O46" s="11" t="s">
        <v>29</v>
      </c>
      <c r="P46" s="11">
        <f t="shared" si="15"/>
        <v>8224390.444444444</v>
      </c>
      <c r="Q46" s="11">
        <f t="shared" ref="Q46:Q54" si="19">MIN(O46:P46)</f>
        <v>8224390.444444444</v>
      </c>
      <c r="R46" s="11">
        <f t="shared" ref="R46:R54" si="20">(Q46-N46)/MAX(N46,Q46)</f>
        <v>0.88101021000486335</v>
      </c>
    </row>
    <row r="47" spans="2:18" x14ac:dyDescent="0.25">
      <c r="B47" s="4" t="s">
        <v>8</v>
      </c>
      <c r="C47" s="8">
        <v>137772</v>
      </c>
      <c r="D47" s="8">
        <v>3678</v>
      </c>
      <c r="E47" s="8">
        <v>95878</v>
      </c>
      <c r="F47" s="8">
        <v>38216</v>
      </c>
      <c r="G47" s="11">
        <f t="shared" si="16"/>
        <v>49456.67133592422</v>
      </c>
      <c r="H47" s="11">
        <f t="shared" si="17"/>
        <v>5761024.5427663298</v>
      </c>
      <c r="I47" s="11">
        <f t="shared" si="18"/>
        <v>1</v>
      </c>
      <c r="J47" s="27"/>
      <c r="K47" s="27"/>
      <c r="L47" s="27"/>
      <c r="M47" s="27"/>
      <c r="N47" s="11">
        <f>SQRT((C47-$C$45)^2+(D47-$D$45)^2+(E47-$E$45)^2+(F47-$F$45)^2)+SQRT((C47-$C$46)^2+(D47-$D$46)^2+(E47-$E$46)^2+(F47-$F$46)^2)+SQRT((C47-$C$48)^2+(D47-$D$48)^2+(E47-$E$48)^2+(F47-$F$48)^2)+SQRT((C47-$C$49)^2+(D47-$D$49)^2+(E47-$E$49)^2+(F47-$F$49)^2)+SQRT((C47-$C$50)^2+(D47-$D$50)^2+(E47-$E$50)^2+(F47-$F$50)^2)+SQRT((C47-$C$52)^2+(D47-$D$52)^2+(E47-$E$52)^2+(F47-$F$52)^2)+SQRT((C47-$C$53)^2+(D47-$D$53)^2+(E47-$E$53)^2+(F47-$F$53)^2)+SQRT((C47-$C$54)^2+(D47-$D$54)^2+(E47-$E$54)^2+(F47-$F$54)^2)/8</f>
        <v>915965.65316795511</v>
      </c>
      <c r="O47" s="11" t="s">
        <v>29</v>
      </c>
      <c r="P47" s="11">
        <f t="shared" si="15"/>
        <v>8247760.666666667</v>
      </c>
      <c r="Q47" s="11">
        <f t="shared" si="19"/>
        <v>8247760.666666667</v>
      </c>
      <c r="R47" s="11">
        <f t="shared" si="20"/>
        <v>0.88894371573246167</v>
      </c>
    </row>
    <row r="48" spans="2:18" x14ac:dyDescent="0.25">
      <c r="B48" s="5" t="s">
        <v>9</v>
      </c>
      <c r="C48" s="8">
        <v>13882</v>
      </c>
      <c r="D48" s="8">
        <v>127</v>
      </c>
      <c r="E48" s="8">
        <v>13697</v>
      </c>
      <c r="F48" s="8">
        <v>58</v>
      </c>
      <c r="G48" s="11">
        <f t="shared" si="16"/>
        <v>182072.29061394106</v>
      </c>
      <c r="H48" s="11">
        <f t="shared" si="17"/>
        <v>5909558.8087025583</v>
      </c>
      <c r="I48" s="11">
        <f t="shared" si="18"/>
        <v>1</v>
      </c>
      <c r="J48" s="27"/>
      <c r="K48" s="27"/>
      <c r="L48" s="27"/>
      <c r="M48" s="27"/>
      <c r="N48" s="11">
        <f>SQRT((C48-$C$45)^2+(D48-$D$45)^2+(E48-$E$45)^2+(F48-$F$45)^2)+SQRT((C48-$C$46)^2+(D48-$D$46)^2+(E48-$E$46)^2+(F48-$F$46)^2)+SQRT((C48-$C$47)^2+(D48-$D$47)^2+(E48-$E$47)^2+(F48-$F$47)^2)+SQRT((C48-$C$49)^2+(D48-$D$49)^2+(E48-$E$49)^2+(F48-$F$49)^2)+SQRT((C48-$C$50)^2+(D48-$D$50)^2+(E48-$E$50)^2+(F48-$F$50)^2)+SQRT((C48-$C$52)^2+(D48-$D$52)^2+(E48-$E$52)^2+(F48-$F$52)^2)+SQRT((C48-$C$53)^2+(D48-$D$53)^2+(E48-$E$53)^2+(F48-$F$53)^2)+SQRT((C48-$C$54)^2+(D48-$D$54)^2+(E48-$E$54)^2+(F48-$F$54)^2)/8</f>
        <v>911159.79563690722</v>
      </c>
      <c r="O48" s="11" t="s">
        <v>29</v>
      </c>
      <c r="P48" s="11">
        <f t="shared" si="15"/>
        <v>8461622.444444444</v>
      </c>
      <c r="Q48" s="11">
        <f t="shared" si="19"/>
        <v>8461622.444444444</v>
      </c>
      <c r="R48" s="11">
        <f t="shared" si="20"/>
        <v>0.89231854746306516</v>
      </c>
    </row>
    <row r="49" spans="2:18" x14ac:dyDescent="0.25">
      <c r="B49" s="4" t="s">
        <v>10</v>
      </c>
      <c r="C49" s="8">
        <v>38371</v>
      </c>
      <c r="D49" s="8">
        <v>883</v>
      </c>
      <c r="E49" s="8">
        <v>32605</v>
      </c>
      <c r="F49" s="8">
        <v>4883</v>
      </c>
      <c r="G49" s="11">
        <f t="shared" si="16"/>
        <v>151035.54907837891</v>
      </c>
      <c r="H49" s="11">
        <f t="shared" si="17"/>
        <v>5878515.950290856</v>
      </c>
      <c r="I49" s="11">
        <f t="shared" si="18"/>
        <v>1</v>
      </c>
      <c r="J49" s="25">
        <f>AVERAGE(C51)</f>
        <v>4374587</v>
      </c>
      <c r="K49" s="25">
        <f t="shared" ref="K49:M49" si="21">AVERAGE(D51)</f>
        <v>91979</v>
      </c>
      <c r="L49" s="25">
        <f t="shared" si="21"/>
        <v>3990289</v>
      </c>
      <c r="M49" s="25">
        <f t="shared" si="21"/>
        <v>292319</v>
      </c>
      <c r="N49" s="11">
        <f>SQRT((C49-$C$45)^2+(D49-$D$45)^2+(E49-$E$45)^2+(F49-$F$45)^2)+SQRT((C49-$C$46)^2+(D49-$D$46)^2+(E49-$E$46)^2+(F49-$F$46)^2)+SQRT((C49-$C$47)^2+(D49-$D$47)^2+(E49-$E$47)^2+(F49-$F$47)^2)+SQRT((C49-$C$48)^2+(D49-$D$48)^2+(E49-$E$48)^2+(F49-$F$48)^2)+SQRT((C49-$C$50)^2+(D49-$D$50)^2+(E49-$E$50)^2+(F49-$F$50)^2)+SQRT((C49-$C$52)^2+(D49-$D$52)^2+(E49-$E$52)^2+(F49-$F$52)^2)+SQRT((C49-$C$53)^2+(D49-$D$53)^2+(E49-$E$53)^2+(F49-$F$53)^2)+SQRT((C49-$C$54)^2+(D49-$D$54)^2+(E49-$E$54)^2+(F49-$F$54)^2)/8</f>
        <v>807599.32471999479</v>
      </c>
      <c r="O49" s="11" t="s">
        <v>29</v>
      </c>
      <c r="P49" s="11">
        <f t="shared" si="15"/>
        <v>8416933.333333334</v>
      </c>
      <c r="Q49" s="11">
        <f t="shared" si="19"/>
        <v>8416933.333333334</v>
      </c>
      <c r="R49" s="11">
        <f t="shared" si="20"/>
        <v>0.90405064496332843</v>
      </c>
    </row>
    <row r="50" spans="2:18" x14ac:dyDescent="0.25">
      <c r="B50" s="5" t="s">
        <v>11</v>
      </c>
      <c r="C50" s="8">
        <v>1263</v>
      </c>
      <c r="D50" s="8">
        <v>42</v>
      </c>
      <c r="E50" s="8">
        <v>1221</v>
      </c>
      <c r="F50" s="8">
        <v>0</v>
      </c>
      <c r="G50" s="11">
        <f t="shared" si="16"/>
        <v>199775.21930817552</v>
      </c>
      <c r="H50" s="11">
        <f t="shared" si="17"/>
        <v>5927269.9556650864</v>
      </c>
      <c r="I50" s="11">
        <f t="shared" si="18"/>
        <v>1</v>
      </c>
      <c r="J50" s="25"/>
      <c r="K50" s="25"/>
      <c r="L50" s="25"/>
      <c r="M50" s="25"/>
      <c r="N50" s="11">
        <f>SQRT((C50-$C$45)^2+(D50-$D$45)^2+(E50-$E$45)^2+(F50-$F$45)^2)+SQRT((C50-$C$46)^2+(D50-$D$46)^2+(E50-$E$46)^2+(F50-$F$46)^2)+SQRT((C50-$C$47)^2+(D50-$D$47)^2+(E50-$E$47)^2+(F50-$F$47)^2)+SQRT((C50-$C$48)^2+(D50-$D$48)^2+(E50-$E$48)^2+(F50-$F$48)^2)+SQRT((C50-$C$49)^2+(D50-$D$49)^2+(E50-$E$49)^2+(F50-$F$49)^2)+SQRT((C50-$C$52)^2+(D50-$D$52)^2+(E50-$E$52)^2+(F50-$F$52)^2)+SQRT((C50-$C$53)^2+(D50-$D$53)^2+(E50-$E$53)^2+(F50-$F$53)^2)+SQRT((C50-$C$54)^2+(D50-$D$54)^2+(E50-$E$54)^2+(F50-$F$54)^2)/8</f>
        <v>1016755.4704149304</v>
      </c>
      <c r="O50" s="11" t="s">
        <v>29</v>
      </c>
      <c r="P50" s="11">
        <f t="shared" si="15"/>
        <v>8486808.8888888881</v>
      </c>
      <c r="Q50" s="11">
        <f t="shared" si="19"/>
        <v>8486808.8888888881</v>
      </c>
      <c r="R50" s="11">
        <f t="shared" si="20"/>
        <v>0.88019578575098023</v>
      </c>
    </row>
    <row r="51" spans="2:18" x14ac:dyDescent="0.25">
      <c r="B51" s="4" t="s">
        <v>12</v>
      </c>
      <c r="C51" s="8">
        <v>4374587</v>
      </c>
      <c r="D51" s="8">
        <v>91979</v>
      </c>
      <c r="E51" s="8">
        <v>3990289</v>
      </c>
      <c r="F51" s="8">
        <v>292319</v>
      </c>
      <c r="G51" s="11">
        <f t="shared" si="16"/>
        <v>5727496.5120503139</v>
      </c>
      <c r="H51" s="11">
        <f t="shared" si="17"/>
        <v>0</v>
      </c>
      <c r="I51" s="11">
        <f t="shared" si="18"/>
        <v>2</v>
      </c>
      <c r="J51" s="25"/>
      <c r="K51" s="25"/>
      <c r="L51" s="25"/>
      <c r="M51" s="25"/>
      <c r="N51" s="11">
        <f>SQRT((C51-0)^2+(D51-0)^2+(E51-0)^2+(F51-0)^2)/1</f>
        <v>5929024.2248022566</v>
      </c>
      <c r="O51" s="11">
        <f>SQRT((C51-$C$45)^2+(D51-$D$45)^2+(E51-$E$45)^2+(F51-$F$45)^2)+SQRT((C51-$C$46)^2+(D51-$D$46)^2+(E51-$E$46)^2+(F51-$F$46)^2)+SQRT((C51-$C$47)^2+(D51-$D$47)^2+(E51-$E$47)^2+(F51-$F$47)^2)+SQRT((C51-$C$48)^2+(D51-$D$48)^2+(E51-$E$48)^2+(F51-$F$48)^2)+SQRT((C51-$C$49)^2+(D51-$D$49)^2+(E51-$E$49)^2+(F51-$F$49)^2)+SQRT((C51-$C$50)^2+(D51-$D$50)^2+(E51-$E$50)^2+(F51-$F$50)^2)+SQRT((C51-$C$52)^2+(D51-$D$52)^2+(E51-$E$52)^2+(F51-$F$52)^2)+SQRT((C51-$C$53)^2+(D51-$D$53)^2+(E51-$E$53)^2+(F51-$F$53)^2)+SQRT((C51-$C$54)^2+(D51-$D$54)^2+(E51-$E$54)^2+(F51-$F$54)^2)/1</f>
        <v>51548062.455142364</v>
      </c>
      <c r="P51" s="11" t="s">
        <v>29</v>
      </c>
      <c r="Q51" s="11">
        <f t="shared" si="19"/>
        <v>51548062.455142364</v>
      </c>
      <c r="R51" s="11">
        <f t="shared" si="20"/>
        <v>0.8849806580031645</v>
      </c>
    </row>
    <row r="52" spans="2:18" x14ac:dyDescent="0.25">
      <c r="B52" s="5" t="s">
        <v>13</v>
      </c>
      <c r="C52" s="8">
        <v>224635</v>
      </c>
      <c r="D52" s="8">
        <v>4505</v>
      </c>
      <c r="E52" s="8">
        <v>216423</v>
      </c>
      <c r="F52" s="8">
        <v>3707</v>
      </c>
      <c r="G52" s="11">
        <f t="shared" si="16"/>
        <v>111162.27234326636</v>
      </c>
      <c r="H52" s="11">
        <f t="shared" si="17"/>
        <v>5617393.948752393</v>
      </c>
      <c r="I52" s="11">
        <f t="shared" si="18"/>
        <v>1</v>
      </c>
      <c r="J52" s="25"/>
      <c r="K52" s="25"/>
      <c r="L52" s="25"/>
      <c r="M52" s="25"/>
      <c r="N52" s="11">
        <f>SQRT((C52-$C$45)^2+(D52-$D$45)^2+(E52-$E$45)^2+(F52-$F$45)^2)+SQRT((C52-$C$46)^2+(D52-$D$46)^2+(E52-$E$46)^2+(F52-$F$46)^2)+SQRT((C52-$C$47)^2+(D52-$D$47)^2+(E52-$E$47)^2+(F52-$F$47)^2)+SQRT((C52-$C$48)^2+(D52-$D$48)^2+(E52-$E$48)^2+(F52-$F$48)^2)+SQRT((C52-$C$49)^2+(D52-$D$49)^2+(E52-$E$49)^2+(F52-$F$49)^2)+SQRT((C52-$C$50)^2+(D52-$D$50)^2+(E52-$E$50)^2+(F52-$F$50)^2)+SQRT((C52-$C$53)^2+(D52-$D$53)^2+(E52-$E$53)^2+(F52-$F$53)^2)+SQRT((C52-$C$54)^2+(D52-$D$54)^2+(E52-$E$54)^2+(F52-$F$54)^2)/8</f>
        <v>1682410.7225983914</v>
      </c>
      <c r="O52" s="11" t="s">
        <v>29</v>
      </c>
      <c r="P52" s="11">
        <f>SQRT(($C$51-C52)^2)+SQRT(($D$51-D52)^2)+SQRT(($E$51-E52)^2)+SQRT(($F$51-F52)^2)/9</f>
        <v>8043360</v>
      </c>
      <c r="Q52" s="11">
        <f t="shared" si="19"/>
        <v>8043360</v>
      </c>
      <c r="R52" s="11">
        <f t="shared" si="20"/>
        <v>0.79083234834715943</v>
      </c>
    </row>
    <row r="53" spans="2:18" x14ac:dyDescent="0.25">
      <c r="B53" s="4" t="s">
        <v>14</v>
      </c>
      <c r="C53" s="8">
        <v>30457</v>
      </c>
      <c r="D53" s="8">
        <v>910</v>
      </c>
      <c r="E53" s="8">
        <v>23765</v>
      </c>
      <c r="F53" s="8">
        <v>5782</v>
      </c>
      <c r="G53" s="11">
        <f t="shared" si="16"/>
        <v>162815.89338700139</v>
      </c>
      <c r="H53" s="11">
        <f t="shared" si="17"/>
        <v>5890261.0395979909</v>
      </c>
      <c r="I53" s="11">
        <f t="shared" si="18"/>
        <v>1</v>
      </c>
      <c r="J53" s="25"/>
      <c r="K53" s="25"/>
      <c r="L53" s="25"/>
      <c r="M53" s="25"/>
      <c r="N53" s="11">
        <f>SQRT((C53-$C$45)^2+(D53-$D$45)^2+(E53-$E$45)^2+(F53-$F$45)^2)+SQRT((C53-$C$46)^2+(D53-$D$46)^2+(E53-$E$46)^2+(F53-$F$46)^2)+SQRT((C53-$C$47)^2+(D53-$D$47)^2+(E53-$E$47)^2+(F53-$F$47)^2)+SQRT((C53-$C$48)^2+(D53-$D$48)^2+(E53-$E$48)^2+(F53-$F$48)^2)+SQRT((C53-$C$49)^2+(D53-$D$49)^2+(E53-$E$49)^2+(F53-$F$49)^2)+SQRT((C53-$C$50)^2+(D53-$D$50)^2+(E53-$E$50)^2+(F53-$F$50)^2)+SQRT((C53-$C$52)^2+(D53-$D$52)^2+(E53-$E$52)^2+(F53-$F$52)^2)+SQRT((C53-$C$54)^2+(D53-$D$54)^2+(E53-$E$54)^2+(F53-$F$54)^2)/8</f>
        <v>830969.87546915235</v>
      </c>
      <c r="O53" s="11" t="s">
        <v>29</v>
      </c>
      <c r="P53" s="11">
        <f>SQRT(($C$51-C53)^2)+SQRT(($D$51-D53)^2)+SQRT(($E$51-E53)^2)+SQRT(($F$51-F53)^2)/9</f>
        <v>8433560.444444444</v>
      </c>
      <c r="Q53" s="11">
        <f t="shared" si="19"/>
        <v>8433560.444444444</v>
      </c>
      <c r="R53" s="11">
        <f t="shared" si="20"/>
        <v>0.90146867613706994</v>
      </c>
    </row>
    <row r="54" spans="2:18" x14ac:dyDescent="0.25">
      <c r="B54" s="5" t="s">
        <v>15</v>
      </c>
      <c r="C54" s="8">
        <v>650016</v>
      </c>
      <c r="D54" s="8">
        <v>10700</v>
      </c>
      <c r="E54" s="8">
        <v>637051</v>
      </c>
      <c r="F54" s="8">
        <v>2265</v>
      </c>
      <c r="G54" s="11">
        <f t="shared" si="16"/>
        <v>709184.68310531438</v>
      </c>
      <c r="H54" s="11">
        <f t="shared" si="17"/>
        <v>5020694.356106733</v>
      </c>
      <c r="I54" s="11">
        <f t="shared" si="18"/>
        <v>1</v>
      </c>
      <c r="J54" s="25"/>
      <c r="K54" s="25"/>
      <c r="L54" s="25"/>
      <c r="M54" s="25"/>
      <c r="N54" s="11">
        <f>SQRT((C54-$C$45)^2+(D54-$D$45)^2+(E54-$E$45)^2+(F54-$F$45)^2)+SQRT((C54-$C$46)^2+(D54-$D$46)^2+(E54-$E$46)^2+(F54-$F$46)^2)+SQRT((C54-$C$47)^2+(D54-$D$47)^2+(E54-$E$47)^2+(F54-$F$47)^2)+SQRT((C54-$C$48)^2+(D54-$D$48)^2+(E54-$E$48)^2+(F54-$F$48)^2)+SQRT((C54-$C$49)^2+(D54-$D$49)^2+(E54-$E$49)^2+(F54-$F$49)^2)+SQRT((C54-$C$50)^2+(D54-$D$50)^2+(E54-$E$50)^2+(F54-$F$50)^2)+SQRT((C54-$C$52)^2+(D54-$D$52)^2+(E54-$E$52)^2+(F54-$F$52)^2)+SQRT((C54-$C$53)^2+(D54-$D$53)^2+(E54-$E$53)^2+(F54-$F$53)^2)/8</f>
        <v>5621935.2416009307</v>
      </c>
      <c r="O54" s="11" t="s">
        <v>29</v>
      </c>
      <c r="P54" s="11">
        <f>SQRT(($C$51-C54)^2)+SQRT(($D$51-D54)^2)+SQRT(($E$51-E54)^2)+SQRT(($F$51-F54)^2)/9</f>
        <v>7191316.222222222</v>
      </c>
      <c r="Q54" s="11">
        <f t="shared" si="19"/>
        <v>7191316.222222222</v>
      </c>
      <c r="R54" s="11">
        <f t="shared" si="20"/>
        <v>0.21823278689534942</v>
      </c>
    </row>
    <row r="55" spans="2:18" x14ac:dyDescent="0.25">
      <c r="B55"/>
      <c r="N55" s="26" t="s">
        <v>30</v>
      </c>
      <c r="O55" s="26"/>
      <c r="P55" s="26"/>
      <c r="Q55" s="26"/>
      <c r="R55" s="12">
        <f>SUM(R45:R54)</f>
        <v>8.140306597460059</v>
      </c>
    </row>
    <row r="56" spans="2:18" x14ac:dyDescent="0.25">
      <c r="B56"/>
      <c r="N56" s="26" t="s">
        <v>31</v>
      </c>
      <c r="O56" s="26"/>
      <c r="P56" s="26"/>
      <c r="Q56" s="26"/>
      <c r="R56" s="12">
        <f>AVERAGE(R45:R54)</f>
        <v>0.81403065974600586</v>
      </c>
    </row>
    <row r="57" spans="2:18" x14ac:dyDescent="0.25">
      <c r="B57"/>
    </row>
    <row r="58" spans="2:18" x14ac:dyDescent="0.25">
      <c r="B58"/>
    </row>
    <row r="59" spans="2:18" x14ac:dyDescent="0.25">
      <c r="B59"/>
    </row>
    <row r="60" spans="2:18" x14ac:dyDescent="0.25">
      <c r="B60"/>
    </row>
    <row r="61" spans="2:18" x14ac:dyDescent="0.25">
      <c r="B61"/>
    </row>
    <row r="62" spans="2:18" x14ac:dyDescent="0.25">
      <c r="B62"/>
    </row>
    <row r="63" spans="2:18" x14ac:dyDescent="0.25">
      <c r="B63"/>
    </row>
    <row r="64" spans="2:1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ht="29.25" customHeight="1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ht="48" customHeight="1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</sheetData>
  <mergeCells count="38">
    <mergeCell ref="N56:Q56"/>
    <mergeCell ref="J49:J54"/>
    <mergeCell ref="K49:K54"/>
    <mergeCell ref="L49:L54"/>
    <mergeCell ref="M49:M54"/>
    <mergeCell ref="N55:Q55"/>
    <mergeCell ref="J44:M44"/>
    <mergeCell ref="J45:J48"/>
    <mergeCell ref="K45:K48"/>
    <mergeCell ref="L45:L48"/>
    <mergeCell ref="M45:M48"/>
    <mergeCell ref="J31:J34"/>
    <mergeCell ref="K31:K34"/>
    <mergeCell ref="L31:L34"/>
    <mergeCell ref="M31:M34"/>
    <mergeCell ref="J35:J40"/>
    <mergeCell ref="K35:K40"/>
    <mergeCell ref="L35:L40"/>
    <mergeCell ref="M35:M40"/>
    <mergeCell ref="J21:J26"/>
    <mergeCell ref="K21:K26"/>
    <mergeCell ref="L21:L26"/>
    <mergeCell ref="M21:M26"/>
    <mergeCell ref="J30:M30"/>
    <mergeCell ref="J16:M16"/>
    <mergeCell ref="J17:J20"/>
    <mergeCell ref="K17:K20"/>
    <mergeCell ref="L17:L20"/>
    <mergeCell ref="M17:M20"/>
    <mergeCell ref="J2:M2"/>
    <mergeCell ref="J3:J6"/>
    <mergeCell ref="M3:M6"/>
    <mergeCell ref="J7:J12"/>
    <mergeCell ref="M7:M12"/>
    <mergeCell ref="K3:K6"/>
    <mergeCell ref="L3:L6"/>
    <mergeCell ref="K7:K12"/>
    <mergeCell ref="L7:L12"/>
  </mergeCells>
  <pageMargins left="0.7" right="0.7" top="0.75" bottom="0.75" header="0.3" footer="0.3"/>
  <pageSetup paperSize="9" orientation="portrait" horizontalDpi="0" verticalDpi="0" r:id="rId1"/>
  <ignoredErrors>
    <ignoredError sqref="N46 N4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Evaluasi Latlong k=3</vt:lpstr>
      <vt:lpstr>Evaluasil Volume Cases K=3</vt:lpstr>
      <vt:lpstr>Evaluasil Volume Cases K=2</vt:lpstr>
      <vt:lpstr>'Evaluasi Latlong k=3'!time_series_covid19_confirmed_global</vt:lpstr>
      <vt:lpstr>'Evaluasil Volume Cases K=2'!time_series_covid19_confirmed_global</vt:lpstr>
      <vt:lpstr>'Evaluasil Volume Cases K=3'!time_series_covid19_confirmed_global</vt:lpstr>
      <vt:lpstr>'Evaluasil Volume Cases K=2'!time_series_covid19_confirmed_global_26</vt:lpstr>
      <vt:lpstr>'Evaluasil Volume Cases K=3'!time_series_covid19_confirmed_global_26</vt:lpstr>
      <vt:lpstr>'Evaluasil Volume Cases K=2'!time_series_covid19_confirmed_global_27</vt:lpstr>
      <vt:lpstr>'Evaluasil Volume Cases K=3'!time_series_covid19_confirmed_global_27</vt:lpstr>
      <vt:lpstr>'Evaluasil Volume Cases K=2'!time_series_covid19_confirmed_global_28</vt:lpstr>
      <vt:lpstr>'Evaluasil Volume Cases K=3'!time_series_covid19_confirmed_global_28</vt:lpstr>
      <vt:lpstr>'Evaluasi Latlong k=3'!time_series_covid19_confirmed_global_29</vt:lpstr>
      <vt:lpstr>'Evaluasil Volume Cases K=3'!time_series_covid19_confirmed_global_29</vt:lpstr>
      <vt:lpstr>'Evaluasi Latlong k=3'!time_series_covid19_confirmed_global_30</vt:lpstr>
      <vt:lpstr>'Evaluasil Volume Cases K=3'!time_series_covid19_confirmed_global_30</vt:lpstr>
      <vt:lpstr>'Evaluasi Latlong k=3'!time_series_covid19_confirmed_global_31</vt:lpstr>
      <vt:lpstr>'Evaluasil Volume Cases K=3'!time_series_covid19_confirmed_global_31</vt:lpstr>
      <vt:lpstr>'Evaluasi Latlong k=3'!time_series_covid19_confirmed_global_32</vt:lpstr>
      <vt:lpstr>'Evaluasil Volume Cases K=3'!time_series_covid19_confirmed_global_32</vt:lpstr>
      <vt:lpstr>'Evaluasi Latlong k=3'!time_series_covid19_confirmed_global_33</vt:lpstr>
      <vt:lpstr>'Evaluasil Volume Cases K=3'!time_series_covid19_confirmed_global_33</vt:lpstr>
      <vt:lpstr>'Evaluasi Latlong k=3'!time_series_covid19_confirmed_global_34</vt:lpstr>
      <vt:lpstr>'Evaluasil Volume Cases K=3'!time_series_covid19_confirmed_global_34</vt:lpstr>
      <vt:lpstr>'Evaluasil Volume Cases K=3'!time_series_covid19_confirmed_global_35</vt:lpstr>
      <vt:lpstr>'Evaluasil Volume Cases K=3'!time_series_covid19_confirmed_global_36</vt:lpstr>
      <vt:lpstr>'Evaluasil Volume Cases K=3'!time_series_covid19_confirmed_global_37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 anisa</dc:creator>
  <cp:lastModifiedBy>ASUS</cp:lastModifiedBy>
  <dcterms:created xsi:type="dcterms:W3CDTF">2021-07-02T03:28:10Z</dcterms:created>
  <dcterms:modified xsi:type="dcterms:W3CDTF">2021-08-14T18:12:34Z</dcterms:modified>
</cp:coreProperties>
</file>