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GitHub\ML_ObjectivityDetection\resources\"/>
    </mc:Choice>
  </mc:AlternateContent>
  <xr:revisionPtr revIDLastSave="0" documentId="13_ncr:1_{9E164D5E-F499-4988-8368-7EA8BDA9AB2B}" xr6:coauthVersionLast="41" xr6:coauthVersionMax="41" xr10:uidLastSave="{00000000-0000-0000-0000-000000000000}"/>
  <bookViews>
    <workbookView xWindow="20370" yWindow="-120" windowWidth="29040" windowHeight="15990" activeTab="2" xr2:uid="{5C12EFDF-3501-48C5-8BE1-2A813ACE6398}"/>
  </bookViews>
  <sheets>
    <sheet name="View 1 Results" sheetId="1" r:id="rId1"/>
    <sheet name="View 2 Results" sheetId="2" r:id="rId2"/>
    <sheet name="View 3 y 4 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3" l="1"/>
  <c r="D15" i="3"/>
  <c r="E15" i="3"/>
  <c r="F15" i="3"/>
  <c r="G15" i="3"/>
  <c r="E3" i="3" l="1"/>
  <c r="D3" i="3" s="1"/>
  <c r="H3" i="3"/>
  <c r="I3" i="3"/>
  <c r="I4" i="3"/>
  <c r="H4" i="3"/>
  <c r="D4" i="3"/>
  <c r="D5" i="3"/>
  <c r="H5" i="3"/>
  <c r="I5" i="3"/>
  <c r="H15" i="2" l="1"/>
  <c r="G15" i="2"/>
  <c r="C15" i="2"/>
  <c r="H14" i="2"/>
  <c r="G14" i="2"/>
  <c r="C14" i="2"/>
  <c r="H13" i="2"/>
  <c r="G13" i="2"/>
  <c r="C13" i="2"/>
  <c r="H12" i="2"/>
  <c r="G12" i="2"/>
  <c r="C12" i="2"/>
  <c r="H11" i="2"/>
  <c r="G11" i="2"/>
  <c r="D11" i="2"/>
  <c r="C11" i="2" s="1"/>
  <c r="H7" i="2"/>
  <c r="G7" i="2"/>
  <c r="C7" i="2"/>
  <c r="H6" i="2"/>
  <c r="G6" i="2"/>
  <c r="C6" i="2"/>
  <c r="H5" i="2"/>
  <c r="G5" i="2"/>
  <c r="C5" i="2"/>
  <c r="H4" i="2"/>
  <c r="G4" i="2"/>
  <c r="C4" i="2"/>
  <c r="H3" i="2"/>
  <c r="G3" i="2"/>
  <c r="D3" i="2"/>
  <c r="C3" i="2" s="1"/>
  <c r="H3" i="1" l="1"/>
  <c r="H4" i="1"/>
  <c r="H5" i="1"/>
  <c r="H6" i="1"/>
  <c r="H7" i="1"/>
  <c r="H8" i="1"/>
  <c r="H9" i="1"/>
  <c r="G3" i="1"/>
  <c r="G4" i="1"/>
  <c r="G5" i="1"/>
  <c r="G6" i="1"/>
  <c r="G7" i="1"/>
  <c r="G8" i="1"/>
  <c r="G9" i="1"/>
  <c r="D3" i="1"/>
  <c r="C3" i="1" s="1"/>
  <c r="C5" i="1"/>
  <c r="C9" i="1"/>
  <c r="H13" i="1"/>
  <c r="H14" i="1"/>
  <c r="H15" i="1"/>
  <c r="H16" i="1"/>
  <c r="H17" i="1"/>
  <c r="H18" i="1"/>
  <c r="H19" i="1"/>
  <c r="G13" i="1"/>
  <c r="G14" i="1"/>
  <c r="G15" i="1"/>
  <c r="G16" i="1"/>
  <c r="G17" i="1"/>
  <c r="G18" i="1"/>
  <c r="G19" i="1"/>
  <c r="C4" i="1"/>
  <c r="C6" i="1"/>
  <c r="C8" i="1"/>
  <c r="C7" i="1"/>
  <c r="D13" i="1"/>
  <c r="C13" i="1" s="1"/>
  <c r="C15" i="1"/>
  <c r="C16" i="1"/>
  <c r="C17" i="1"/>
  <c r="C18" i="1"/>
  <c r="C19" i="1"/>
  <c r="C14" i="1"/>
</calcChain>
</file>

<file path=xl/sharedStrings.xml><?xml version="1.0" encoding="utf-8"?>
<sst xmlns="http://schemas.openxmlformats.org/spreadsheetml/2006/main" count="84" uniqueCount="41">
  <si>
    <t>Bayes</t>
  </si>
  <si>
    <t>KNN</t>
  </si>
  <si>
    <t>Ada Boost</t>
  </si>
  <si>
    <t>Accuracy</t>
  </si>
  <si>
    <t>SVM Linear</t>
  </si>
  <si>
    <t>SVM Poly</t>
  </si>
  <si>
    <t>Error</t>
  </si>
  <si>
    <t>Base Line</t>
  </si>
  <si>
    <t>Model</t>
  </si>
  <si>
    <t># Objective</t>
  </si>
  <si>
    <t># Subjective</t>
  </si>
  <si>
    <t>% Objective</t>
  </si>
  <si>
    <t>% Subjective</t>
  </si>
  <si>
    <t>Decision Tree</t>
  </si>
  <si>
    <t>Random Forest 300</t>
  </si>
  <si>
    <t>Random Forest 200</t>
  </si>
  <si>
    <t>SVM Radial</t>
  </si>
  <si>
    <t>SVM Polynomial</t>
  </si>
  <si>
    <t>SVM Sigmoid</t>
  </si>
  <si>
    <t>View A</t>
  </si>
  <si>
    <t>View B</t>
  </si>
  <si>
    <t>SVM kernel Radial</t>
  </si>
  <si>
    <t>Dataset</t>
  </si>
  <si>
    <t>Dataset 1</t>
  </si>
  <si>
    <t>Dataset 2</t>
  </si>
  <si>
    <t>Error 1</t>
  </si>
  <si>
    <t>Error 2</t>
  </si>
  <si>
    <t>Error 3</t>
  </si>
  <si>
    <t>Error 4</t>
  </si>
  <si>
    <t>Error 5</t>
  </si>
  <si>
    <t>10%</t>
  </si>
  <si>
    <t>20%</t>
  </si>
  <si>
    <t>30%</t>
  </si>
  <si>
    <t>40%</t>
  </si>
  <si>
    <t>50%</t>
  </si>
  <si>
    <t>Size of Training Data</t>
  </si>
  <si>
    <t>Random Forest 200 (SL)</t>
  </si>
  <si>
    <t>Gradient Boosting (SSL)</t>
  </si>
  <si>
    <t>Global Accuracy</t>
  </si>
  <si>
    <t>Gradient Boosting with CT</t>
  </si>
  <si>
    <t>SVM Radial (SL)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</si>
</sst>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indexed="64"/>
      </patternFill>
    </fill>
  </fills>
  <borders count="7">
    <border>
      <left/>
      <right/>
      <top/>
      <bottom/>
      <diagonal/>
    </border>
    <border>
      <left style="medium">
        <color rgb="FF8EA9DB"/>
      </left>
      <right/>
      <top style="medium">
        <color rgb="FF8EA9DB"/>
      </top>
      <bottom style="medium">
        <color rgb="FF8EA9DB"/>
      </bottom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8EA9DB"/>
      </left>
      <right/>
      <top/>
      <bottom style="medium">
        <color rgb="FF8EA9DB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164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</cellXfs>
  <cellStyles count="1"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SL vs SSL for Dataset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 3 y 4 Results'!$B$15</c:f>
              <c:strCache>
                <c:ptCount val="1"/>
                <c:pt idx="0">
                  <c:v>Gradient Boosting (SSL)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'View 3 y 4 Results'!$C$11:$G$11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'View 3 y 4 Results'!$C$15:$G$15</c:f>
              <c:numCache>
                <c:formatCode>0.00</c:formatCode>
                <c:ptCount val="5"/>
                <c:pt idx="0">
                  <c:v>63</c:v>
                </c:pt>
                <c:pt idx="1">
                  <c:v>67.285709999999995</c:v>
                </c:pt>
                <c:pt idx="2">
                  <c:v>68.210260000000005</c:v>
                </c:pt>
                <c:pt idx="3">
                  <c:v>73.455759999999998</c:v>
                </c:pt>
                <c:pt idx="4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2-4A36-A43B-4B4203AB875E}"/>
            </c:ext>
          </c:extLst>
        </c:ser>
        <c:ser>
          <c:idx val="1"/>
          <c:order val="1"/>
          <c:tx>
            <c:strRef>
              <c:f>'View 3 y 4 Results'!$B$14</c:f>
              <c:strCache>
                <c:ptCount val="1"/>
                <c:pt idx="0">
                  <c:v>SVM Radial (SL)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'View 3 y 4 Results'!$C$11:$G$11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'View 3 y 4 Results'!$C$14:$G$14</c:f>
              <c:numCache>
                <c:formatCode>0.00</c:formatCode>
                <c:ptCount val="5"/>
                <c:pt idx="0">
                  <c:v>72.52</c:v>
                </c:pt>
                <c:pt idx="1">
                  <c:v>72.52</c:v>
                </c:pt>
                <c:pt idx="2">
                  <c:v>72.52</c:v>
                </c:pt>
                <c:pt idx="3">
                  <c:v>72.52</c:v>
                </c:pt>
                <c:pt idx="4">
                  <c:v>72.52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2-4A36-A43B-4B4203AB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609696"/>
        <c:axId val="478611664"/>
      </c:lineChart>
      <c:catAx>
        <c:axId val="47860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Training Data</a:t>
                </a:r>
              </a:p>
            </c:rich>
          </c:tx>
          <c:layout>
            <c:manualLayout>
              <c:xMode val="edge"/>
              <c:yMode val="edge"/>
              <c:x val="0.43043699537557806"/>
              <c:y val="0.80087747871358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11664"/>
        <c:crosses val="autoZero"/>
        <c:auto val="1"/>
        <c:lblAlgn val="ctr"/>
        <c:lblOffset val="100"/>
        <c:noMultiLvlLbl val="0"/>
      </c:catAx>
      <c:valAx>
        <c:axId val="478611664"/>
        <c:scaling>
          <c:orientation val="minMax"/>
          <c:max val="85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 Accuracy</a:t>
                </a:r>
              </a:p>
            </c:rich>
          </c:tx>
          <c:layout>
            <c:manualLayout>
              <c:xMode val="edge"/>
              <c:yMode val="edge"/>
              <c:x val="1.7777777777777778E-2"/>
              <c:y val="0.26768063170023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09696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6</xdr:col>
      <xdr:colOff>1038225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88F1EC-6FA0-43F1-B7A8-AB5C72E8A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4E87F0-53A3-4DB7-B108-F0DD2EA780B4}" name="Table1" displayName="Table1" ref="B2:H9" totalsRowShown="0" headerRowDxfId="51" dataDxfId="50">
  <autoFilter ref="B2:H9" xr:uid="{198CCD3A-33C0-47A6-A5CF-7E5EEA3DA2DF}"/>
  <tableColumns count="7">
    <tableColumn id="1" xr3:uid="{F0E11022-B526-4407-AE86-2C90484C22F1}" name="Model" dataDxfId="49"/>
    <tableColumn id="2" xr3:uid="{F274E19F-38D9-4684-9721-E25FD2FA55FE}" name="Accuracy" dataDxfId="48">
      <calculatedColumnFormula>100 - Table1[[#This Row],[Error]]</calculatedColumnFormula>
    </tableColumn>
    <tableColumn id="3" xr3:uid="{E59DC6EC-0DF9-4BDD-BCE3-27744B726672}" name="Error" dataDxfId="47"/>
    <tableColumn id="4" xr3:uid="{CC871283-9CC6-4C3F-969E-E688E2A902EF}" name="# Objective" dataDxfId="46"/>
    <tableColumn id="5" xr3:uid="{678F4A92-AD35-4404-A1AD-BDCFAED73CF7}" name="# Subjective" dataDxfId="45"/>
    <tableColumn id="6" xr3:uid="{837BF0D0-8D95-4F85-98BB-76F5EE3EAE12}" name="% Objective" dataDxfId="44">
      <calculatedColumnFormula>Table1[[#This Row],['# Objective]]/$E$3*100</calculatedColumnFormula>
    </tableColumn>
    <tableColumn id="7" xr3:uid="{E0EFB068-5663-43BE-A63C-EF239761E459}" name="% Subjective" dataDxfId="43">
      <calculatedColumnFormula>Table1[[#This Row],['# Subjective]]/$F$3*100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C57457-69C1-4E6B-9BC0-96FC48F783FD}" name="Table14" displayName="Table14" ref="B12:H19" totalsRowShown="0" headerRowDxfId="42" dataDxfId="41">
  <autoFilter ref="B12:H19" xr:uid="{784EE01D-7735-4CEB-AF0B-886AE7A46C73}"/>
  <tableColumns count="7">
    <tableColumn id="1" xr3:uid="{59DFCA8D-7602-407A-AAC0-F3AE32E31474}" name="Model" dataDxfId="40"/>
    <tableColumn id="2" xr3:uid="{B5EEBC51-940E-482D-B63B-7793EB80D4FB}" name="Accuracy" dataDxfId="39">
      <calculatedColumnFormula>100 -Table14[[#This Row],[Error]]</calculatedColumnFormula>
    </tableColumn>
    <tableColumn id="3" xr3:uid="{B15FB7C1-C4B0-4A5C-8EAF-D687F2A0B321}" name="Error" dataDxfId="38"/>
    <tableColumn id="4" xr3:uid="{4BE354BF-D325-4B18-A274-4DE7EE48D722}" name="# Objective" dataDxfId="37"/>
    <tableColumn id="5" xr3:uid="{7B7A9EA4-0469-4F81-A494-0D6871537175}" name="# Subjective" dataDxfId="36"/>
    <tableColumn id="6" xr3:uid="{EC76973A-66FB-4CA5-8AAA-7A386AC90E93}" name="% Objective" dataDxfId="35">
      <calculatedColumnFormula>Table14[[#This Row],['# Objective]]/$E$13 * 100</calculatedColumnFormula>
    </tableColumn>
    <tableColumn id="7" xr3:uid="{822E5ECE-1D9F-4FAE-B801-16496A36AFC1}" name="% Subjective" dataDxfId="34">
      <calculatedColumnFormula>Table14[[#This Row],['# Subjective]]/$F$13*100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3DE559-F65F-4229-BE80-12C1D619BE85}" name="Table13" displayName="Table13" ref="B2:H7" totalsRowShown="0" headerRowDxfId="33" dataDxfId="32">
  <autoFilter ref="B2:H7" xr:uid="{A2BBB6B8-811B-4DCF-BE89-AA07C24B86C1}"/>
  <tableColumns count="7">
    <tableColumn id="1" xr3:uid="{937D4AF9-38B9-4AA8-B34D-0137DEA08CBC}" name="Model" dataDxfId="31"/>
    <tableColumn id="2" xr3:uid="{37A137AC-99B2-4A8E-8408-1DED8C249309}" name="Accuracy" dataDxfId="30">
      <calculatedColumnFormula>100 - Table13[[#This Row],[Error]]</calculatedColumnFormula>
    </tableColumn>
    <tableColumn id="3" xr3:uid="{684489FF-02C8-4A7F-910D-3986F3AE8C11}" name="Error" dataDxfId="29"/>
    <tableColumn id="4" xr3:uid="{E0BF2135-7917-4002-8220-A9C00FF396E7}" name="# Objective" dataDxfId="28"/>
    <tableColumn id="5" xr3:uid="{09572D8B-C93B-470F-8363-4BC7D8F82A26}" name="# Subjective" dataDxfId="27"/>
    <tableColumn id="6" xr3:uid="{B450E7FD-6D40-4E42-8DB9-3B7E7AFEC208}" name="% Objective" dataDxfId="26">
      <calculatedColumnFormula>Table13[[#This Row],['# Objective]]/$E$3*100</calculatedColumnFormula>
    </tableColumn>
    <tableColumn id="7" xr3:uid="{10E494BD-5718-40EF-8DE8-AEE22ECD0BAE}" name="% Subjective" dataDxfId="25">
      <calculatedColumnFormula>Table13[[#This Row],['# Subjective]]/$F$3*100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28D051-B66F-4C09-9659-B091E90A6CBB}" name="Table136" displayName="Table136" ref="B10:H15" totalsRowShown="0" headerRowDxfId="24" dataDxfId="23">
  <autoFilter ref="B10:H15" xr:uid="{D3CABC55-04C7-40A0-A46D-16FD76CF0492}"/>
  <tableColumns count="7">
    <tableColumn id="1" xr3:uid="{A6F65357-D753-4816-BDAD-EDDA83EB2535}" name="Model" dataDxfId="22"/>
    <tableColumn id="2" xr3:uid="{9A9DE921-5DA7-4632-8428-5B5AEB95FD64}" name="Accuracy" dataDxfId="21">
      <calculatedColumnFormula>100 - Table136[[#This Row],[Error]]</calculatedColumnFormula>
    </tableColumn>
    <tableColumn id="3" xr3:uid="{4DC43CC1-A219-4C2D-8365-D582EA89B78C}" name="Error" dataDxfId="20"/>
    <tableColumn id="4" xr3:uid="{7B28D828-B8E1-4AAF-8529-76F8E83F3954}" name="# Objective" dataDxfId="19"/>
    <tableColumn id="5" xr3:uid="{10D94F50-9C51-4185-9047-8EE28A8F4A80}" name="# Subjective" dataDxfId="18"/>
    <tableColumn id="6" xr3:uid="{D2D44B9A-E6FE-4918-A421-0CBBB27FBCAB}" name="% Objective" dataDxfId="17">
      <calculatedColumnFormula>Table136[[#This Row],['# Objective]]/$E$3*100</calculatedColumnFormula>
    </tableColumn>
    <tableColumn id="7" xr3:uid="{B896F228-CFC4-47F7-955D-B050BC54966D}" name="% Subjective" dataDxfId="16">
      <calculatedColumnFormula>Table136[[#This Row],['# Subjective]]/$F$3*100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0B276C-CDB2-4764-83D8-E7A87B9DCD88}" name="Table135" displayName="Table135" ref="B2:I5" totalsRowShown="0" headerRowDxfId="15" dataDxfId="14">
  <autoFilter ref="B2:I5" xr:uid="{BBA0259E-CAF0-47A6-B79F-314C1527D4A3}"/>
  <tableColumns count="8">
    <tableColumn id="1" xr3:uid="{8CAA9C75-7B13-408B-9605-24E3871B0CFA}" name="Model" dataDxfId="13"/>
    <tableColumn id="8" xr3:uid="{ED640849-B1CA-42DF-8AFA-68264262C714}" name="Dataset"/>
    <tableColumn id="2" xr3:uid="{34CB5DFE-E3E3-403C-8CF2-032EA19185F9}" name="Accuracy" dataDxfId="12">
      <calculatedColumnFormula>100 - Table135[[#This Row],[Error]]</calculatedColumnFormula>
    </tableColumn>
    <tableColumn id="3" xr3:uid="{4789C421-D55E-4570-B58D-0F016581B2F0}" name="Error" dataDxfId="11"/>
    <tableColumn id="4" xr3:uid="{2DB8600E-E0F8-4209-8B9A-95947EC6A3BF}" name="# Objective" dataDxfId="10"/>
    <tableColumn id="5" xr3:uid="{6BB388D5-C25B-4A24-839F-7526FC26C539}" name="# Subjective" dataDxfId="9"/>
    <tableColumn id="6" xr3:uid="{993AC295-734E-4972-B758-6FC3BF2EB1EF}" name="% Objective" dataDxfId="8">
      <calculatedColumnFormula>Table135[[#This Row],['# Objective]]/$F$3*100</calculatedColumnFormula>
    </tableColumn>
    <tableColumn id="7" xr3:uid="{0F414E4B-199E-4C6D-8415-ABDD1767E08B}" name="% Subjective" dataDxfId="7">
      <calculatedColumnFormula>Table135[[#This Row],['# Subjective]]/$G$3*100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CA2B53-EA28-4119-AB3B-B082CACCCDC0}" name="Table7" displayName="Table7" ref="B19:G20" totalsRowShown="0" headerRowDxfId="6" dataDxfId="5">
  <autoFilter ref="B19:G20" xr:uid="{FC50D6EB-B579-4C7A-87D7-3B517DC6C9FB}"/>
  <tableColumns count="6">
    <tableColumn id="1" xr3:uid="{E63041DB-3BE2-4558-ACCA-5395088E8FBA}" name="Gradient Boosting with CT"/>
    <tableColumn id="2" xr3:uid="{48A9E618-1949-455B-96CC-15936F3A1A79}" name="10%" dataDxfId="4"/>
    <tableColumn id="3" xr3:uid="{AD5722BE-089C-4AC8-94AA-26B6BC8A46DE}" name="20%" dataDxfId="3"/>
    <tableColumn id="4" xr3:uid="{CCCE1F24-2D77-4546-AC96-17BB2AF2A7A3}" name="30%" dataDxfId="2"/>
    <tableColumn id="5" xr3:uid="{FEB535AC-AECB-44CC-B8B6-CD7EBA694219}" name="40%" dataDxfId="1"/>
    <tableColumn id="6" xr3:uid="{EAFA4164-1BF5-4C52-92C9-A83D185EBE7A}" name="50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BCF34-193B-4BAA-9285-0F6E220D6050}">
  <dimension ref="B1:H19"/>
  <sheetViews>
    <sheetView zoomScaleNormal="100" workbookViewId="0"/>
  </sheetViews>
  <sheetFormatPr defaultRowHeight="12.75" x14ac:dyDescent="0.2"/>
  <cols>
    <col min="1" max="1" width="2.85546875" style="4" customWidth="1"/>
    <col min="2" max="2" width="16.28515625" style="4" bestFit="1" customWidth="1"/>
    <col min="3" max="4" width="14.28515625" style="4" customWidth="1"/>
    <col min="5" max="6" width="15.7109375" style="4" bestFit="1" customWidth="1"/>
    <col min="7" max="7" width="17.140625" style="4" customWidth="1"/>
    <col min="8" max="8" width="17.42578125" style="4" bestFit="1" customWidth="1"/>
    <col min="9" max="9" width="2.85546875" style="4" customWidth="1"/>
    <col min="10" max="16384" width="9.140625" style="4"/>
  </cols>
  <sheetData>
    <row r="1" spans="2:8" ht="13.5" thickBot="1" x14ac:dyDescent="0.25"/>
    <row r="2" spans="2:8" ht="13.5" thickBot="1" x14ac:dyDescent="0.25">
      <c r="B2" s="1" t="s">
        <v>8</v>
      </c>
      <c r="C2" s="2" t="s">
        <v>3</v>
      </c>
      <c r="D2" s="2" t="s">
        <v>6</v>
      </c>
      <c r="E2" s="2" t="s">
        <v>9</v>
      </c>
      <c r="F2" s="2" t="s">
        <v>10</v>
      </c>
      <c r="G2" s="2" t="s">
        <v>11</v>
      </c>
      <c r="H2" s="3" t="s">
        <v>12</v>
      </c>
    </row>
    <row r="3" spans="2:8" x14ac:dyDescent="0.2">
      <c r="B3" s="5" t="s">
        <v>7</v>
      </c>
      <c r="C3" s="7">
        <f>100 - Table1[[#This Row],[Error]]</f>
        <v>63.5</v>
      </c>
      <c r="D3" s="7">
        <f>Table1[[#This Row],['# Subjective]]/10</f>
        <v>36.5</v>
      </c>
      <c r="E3" s="6">
        <v>635</v>
      </c>
      <c r="F3" s="6">
        <v>365</v>
      </c>
      <c r="G3" s="7">
        <f>Table1[[#This Row],['# Objective]]/$E$3*100</f>
        <v>100</v>
      </c>
      <c r="H3" s="7">
        <f>Table1[[#This Row],['# Subjective]]/$F$3*100</f>
        <v>100</v>
      </c>
    </row>
    <row r="4" spans="2:8" x14ac:dyDescent="0.2">
      <c r="B4" s="4" t="s">
        <v>4</v>
      </c>
      <c r="C4" s="9">
        <f>100 - Table1[[#This Row],[Error]]</f>
        <v>82.82</v>
      </c>
      <c r="D4" s="9">
        <v>17.18</v>
      </c>
      <c r="E4" s="8">
        <v>580.20000000000005</v>
      </c>
      <c r="F4" s="8">
        <v>248</v>
      </c>
      <c r="G4" s="9">
        <f>Table1[[#This Row],['# Objective]]/$E$3*100</f>
        <v>91.370078740157496</v>
      </c>
      <c r="H4" s="9">
        <f>Table1[[#This Row],['# Subjective]]/$F$3*100</f>
        <v>67.945205479452056</v>
      </c>
    </row>
    <row r="5" spans="2:8" x14ac:dyDescent="0.2">
      <c r="B5" s="4" t="s">
        <v>1</v>
      </c>
      <c r="C5" s="9">
        <f>100 - Table1[[#This Row],[Error]]</f>
        <v>77.56</v>
      </c>
      <c r="D5" s="9">
        <v>22.44</v>
      </c>
      <c r="E5" s="8">
        <v>535.6</v>
      </c>
      <c r="F5" s="8">
        <v>240</v>
      </c>
      <c r="G5" s="9">
        <f>Table1[[#This Row],['# Objective]]/$E$3*100</f>
        <v>84.346456692913392</v>
      </c>
      <c r="H5" s="9">
        <f>Table1[[#This Row],['# Subjective]]/$F$3*100</f>
        <v>65.753424657534239</v>
      </c>
    </row>
    <row r="6" spans="2:8" x14ac:dyDescent="0.2">
      <c r="B6" s="4" t="s">
        <v>0</v>
      </c>
      <c r="C6" s="9">
        <f>100 - Table1[[#This Row],[Error]]</f>
        <v>79.599999999999994</v>
      </c>
      <c r="D6" s="9">
        <v>20.399999999999999</v>
      </c>
      <c r="E6" s="8">
        <v>562.6</v>
      </c>
      <c r="F6" s="8">
        <v>233.4</v>
      </c>
      <c r="G6" s="9">
        <f>Table1[[#This Row],['# Objective]]/$E$3*100</f>
        <v>88.5984251968504</v>
      </c>
      <c r="H6" s="9">
        <f>Table1[[#This Row],['# Subjective]]/$F$3*100</f>
        <v>63.945205479452063</v>
      </c>
    </row>
    <row r="7" spans="2:8" x14ac:dyDescent="0.2">
      <c r="B7" s="4" t="s">
        <v>13</v>
      </c>
      <c r="C7" s="9">
        <f>100 - Table1[[#This Row],[Error]]</f>
        <v>79.58</v>
      </c>
      <c r="D7" s="9">
        <v>20.420000000000002</v>
      </c>
      <c r="E7" s="8">
        <v>552.79999999999995</v>
      </c>
      <c r="F7" s="8">
        <v>243</v>
      </c>
      <c r="G7" s="9">
        <f>Table1[[#This Row],['# Objective]]/$E$3*100</f>
        <v>87.055118110236222</v>
      </c>
      <c r="H7" s="9">
        <f>Table1[[#This Row],['# Subjective]]/$F$3*100</f>
        <v>66.575342465753423</v>
      </c>
    </row>
    <row r="8" spans="2:8" x14ac:dyDescent="0.2">
      <c r="B8" s="4" t="s">
        <v>14</v>
      </c>
      <c r="C8" s="9">
        <f>100 - Table1[[#This Row],[Error]]</f>
        <v>82.8</v>
      </c>
      <c r="D8" s="9">
        <v>17.2</v>
      </c>
      <c r="E8" s="8">
        <v>558.6</v>
      </c>
      <c r="F8" s="8">
        <v>269.39999999999998</v>
      </c>
      <c r="G8" s="9">
        <f>Table1[[#This Row],['# Objective]]/$E$3*100</f>
        <v>87.968503937007881</v>
      </c>
      <c r="H8" s="9">
        <f>Table1[[#This Row],['# Subjective]]/$F$3*100</f>
        <v>73.808219178082197</v>
      </c>
    </row>
    <row r="9" spans="2:8" x14ac:dyDescent="0.2">
      <c r="B9" s="4" t="s">
        <v>2</v>
      </c>
      <c r="C9" s="9">
        <f>100 - Table1[[#This Row],[Error]]</f>
        <v>80.84</v>
      </c>
      <c r="D9" s="9">
        <v>19.16</v>
      </c>
      <c r="E9" s="8">
        <v>549</v>
      </c>
      <c r="F9" s="8">
        <v>259.39999999999998</v>
      </c>
      <c r="G9" s="9">
        <f>Table1[[#This Row],['# Objective]]/$E$3*100</f>
        <v>86.456692913385822</v>
      </c>
      <c r="H9" s="9">
        <f>Table1[[#This Row],['# Subjective]]/$F$3*100</f>
        <v>71.06849315068493</v>
      </c>
    </row>
    <row r="11" spans="2:8" ht="13.5" thickBot="1" x14ac:dyDescent="0.25"/>
    <row r="12" spans="2:8" ht="15" customHeight="1" thickBot="1" x14ac:dyDescent="0.25">
      <c r="B12" s="1" t="s">
        <v>8</v>
      </c>
      <c r="C12" s="2" t="s">
        <v>3</v>
      </c>
      <c r="D12" s="2" t="s">
        <v>6</v>
      </c>
      <c r="E12" s="2" t="s">
        <v>9</v>
      </c>
      <c r="F12" s="2" t="s">
        <v>10</v>
      </c>
      <c r="G12" s="2" t="s">
        <v>11</v>
      </c>
      <c r="H12" s="3" t="s">
        <v>12</v>
      </c>
    </row>
    <row r="13" spans="2:8" x14ac:dyDescent="0.2">
      <c r="B13" s="17" t="s">
        <v>7</v>
      </c>
      <c r="C13" s="14">
        <f>100 -Table14[[#This Row],[Error]]</f>
        <v>63.5</v>
      </c>
      <c r="D13" s="14">
        <f>Table14[[#This Row],['# Subjective]]/10</f>
        <v>36.5</v>
      </c>
      <c r="E13" s="15">
        <v>635</v>
      </c>
      <c r="F13" s="15">
        <v>365</v>
      </c>
      <c r="G13" s="14">
        <f>Table14[[#This Row],['# Objective]]/$E$13 * 100</f>
        <v>100</v>
      </c>
      <c r="H13" s="14">
        <f>Table14[[#This Row],['# Subjective]]/$F$13*100</f>
        <v>100</v>
      </c>
    </row>
    <row r="14" spans="2:8" x14ac:dyDescent="0.2">
      <c r="B14" s="13" t="s">
        <v>0</v>
      </c>
      <c r="C14" s="14">
        <f>100 -Table14[[#This Row],[Error]]</f>
        <v>79.900000000000006</v>
      </c>
      <c r="D14" s="14">
        <v>20.100000000000001</v>
      </c>
      <c r="E14" s="15">
        <v>567</v>
      </c>
      <c r="F14" s="15">
        <v>232</v>
      </c>
      <c r="G14" s="14">
        <f>Table14[[#This Row],['# Objective]]/$E$13 * 100</f>
        <v>89.291338582677156</v>
      </c>
      <c r="H14" s="14">
        <f>Table14[[#This Row],['# Subjective]]/$F$13*100</f>
        <v>63.561643835616444</v>
      </c>
    </row>
    <row r="15" spans="2:8" x14ac:dyDescent="0.2">
      <c r="B15" s="13" t="s">
        <v>4</v>
      </c>
      <c r="C15" s="14">
        <f>100 -Table14[[#This Row],[Error]]</f>
        <v>83.4</v>
      </c>
      <c r="D15" s="14">
        <v>16.600000000000001</v>
      </c>
      <c r="E15" s="15">
        <v>582.6</v>
      </c>
      <c r="F15" s="15">
        <v>251.4</v>
      </c>
      <c r="G15" s="14">
        <f>Table14[[#This Row],['# Objective]]/$E$13 * 100</f>
        <v>91.748031496062993</v>
      </c>
      <c r="H15" s="14">
        <f>Table14[[#This Row],['# Subjective]]/$F$13*100</f>
        <v>68.876712328767127</v>
      </c>
    </row>
    <row r="16" spans="2:8" x14ac:dyDescent="0.2">
      <c r="B16" s="13" t="s">
        <v>5</v>
      </c>
      <c r="C16" s="14">
        <f>100 -Table14[[#This Row],[Error]]</f>
        <v>73.53</v>
      </c>
      <c r="D16" s="14">
        <v>26.47</v>
      </c>
      <c r="E16" s="15">
        <v>497.4</v>
      </c>
      <c r="F16" s="15">
        <v>237.9</v>
      </c>
      <c r="G16" s="14">
        <f>Table14[[#This Row],['# Objective]]/$E$13 * 100</f>
        <v>78.330708661417319</v>
      </c>
      <c r="H16" s="14">
        <f>Table14[[#This Row],['# Subjective]]/$F$13*100</f>
        <v>65.178082191780831</v>
      </c>
    </row>
    <row r="17" spans="2:8" x14ac:dyDescent="0.2">
      <c r="B17" s="12" t="s">
        <v>15</v>
      </c>
      <c r="C17" s="10">
        <f>100 -Table14[[#This Row],[Error]]</f>
        <v>82.89</v>
      </c>
      <c r="D17" s="10">
        <v>17.11</v>
      </c>
      <c r="E17" s="11">
        <v>557.4</v>
      </c>
      <c r="F17" s="11">
        <v>271.5</v>
      </c>
      <c r="G17" s="10">
        <f>Table14[[#This Row],['# Objective]]/$E$13 * 100</f>
        <v>87.779527559055111</v>
      </c>
      <c r="H17" s="10">
        <f>Table14[[#This Row],['# Subjective]]/$F$13*100</f>
        <v>74.38356164383562</v>
      </c>
    </row>
    <row r="18" spans="2:8" x14ac:dyDescent="0.2">
      <c r="B18" s="13" t="s">
        <v>14</v>
      </c>
      <c r="C18" s="14">
        <f>100 -Table14[[#This Row],[Error]]</f>
        <v>82.75</v>
      </c>
      <c r="D18" s="14">
        <v>17.25</v>
      </c>
      <c r="E18" s="15">
        <v>557.6</v>
      </c>
      <c r="F18" s="15">
        <v>269.89999999999998</v>
      </c>
      <c r="G18" s="14">
        <f>Table14[[#This Row],['# Objective]]/$E$13 * 100</f>
        <v>87.811023622047244</v>
      </c>
      <c r="H18" s="14">
        <f>Table14[[#This Row],['# Subjective]]/$F$13*100</f>
        <v>73.945205479452042</v>
      </c>
    </row>
    <row r="19" spans="2:8" x14ac:dyDescent="0.2">
      <c r="B19" s="13" t="s">
        <v>2</v>
      </c>
      <c r="C19" s="14">
        <f>100 -Table14[[#This Row],[Error]]</f>
        <v>81.039999999999992</v>
      </c>
      <c r="D19" s="14">
        <v>18.96</v>
      </c>
      <c r="E19" s="15">
        <v>545.20000000000005</v>
      </c>
      <c r="F19" s="15">
        <v>265.2</v>
      </c>
      <c r="G19" s="14">
        <f>Table14[[#This Row],['# Objective]]/$E$13 * 100</f>
        <v>85.858267716535437</v>
      </c>
      <c r="H19" s="14">
        <f>Table14[[#This Row],['# Subjective]]/$F$13*100</f>
        <v>72.657534246575338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0C2E-96E1-41B1-BB4D-A8CE5BB664E7}">
  <dimension ref="B1:H15"/>
  <sheetViews>
    <sheetView workbookViewId="0"/>
  </sheetViews>
  <sheetFormatPr defaultRowHeight="12.75" x14ac:dyDescent="0.2"/>
  <cols>
    <col min="1" max="1" width="2.85546875" style="4" customWidth="1"/>
    <col min="2" max="2" width="16.28515625" style="4" bestFit="1" customWidth="1"/>
    <col min="3" max="4" width="14.28515625" style="4" customWidth="1"/>
    <col min="5" max="6" width="15.7109375" style="4" bestFit="1" customWidth="1"/>
    <col min="7" max="7" width="17.140625" style="4" customWidth="1"/>
    <col min="8" max="8" width="17.42578125" style="4" bestFit="1" customWidth="1"/>
    <col min="9" max="9" width="2.85546875" style="4" customWidth="1"/>
    <col min="10" max="16384" width="9.140625" style="4"/>
  </cols>
  <sheetData>
    <row r="1" spans="2:8" ht="13.5" thickBot="1" x14ac:dyDescent="0.25"/>
    <row r="2" spans="2:8" ht="13.5" thickBot="1" x14ac:dyDescent="0.25">
      <c r="B2" s="1" t="s">
        <v>8</v>
      </c>
      <c r="C2" s="2" t="s">
        <v>3</v>
      </c>
      <c r="D2" s="2" t="s">
        <v>6</v>
      </c>
      <c r="E2" s="2" t="s">
        <v>9</v>
      </c>
      <c r="F2" s="2" t="s">
        <v>10</v>
      </c>
      <c r="G2" s="2" t="s">
        <v>11</v>
      </c>
      <c r="H2" s="3" t="s">
        <v>12</v>
      </c>
    </row>
    <row r="3" spans="2:8" x14ac:dyDescent="0.2">
      <c r="B3" s="5" t="s">
        <v>7</v>
      </c>
      <c r="C3" s="7">
        <f>100 - Table13[[#This Row],[Error]]</f>
        <v>63.5</v>
      </c>
      <c r="D3" s="7">
        <f>Table13[[#This Row],['# Subjective]]/10</f>
        <v>36.5</v>
      </c>
      <c r="E3" s="6">
        <v>635</v>
      </c>
      <c r="F3" s="6">
        <v>365</v>
      </c>
      <c r="G3" s="7">
        <f>Table13[[#This Row],['# Objective]]/$E$3*100</f>
        <v>100</v>
      </c>
      <c r="H3" s="7">
        <f>Table13[[#This Row],['# Subjective]]/$F$3*100</f>
        <v>100</v>
      </c>
    </row>
    <row r="4" spans="2:8" x14ac:dyDescent="0.2">
      <c r="B4" s="4" t="s">
        <v>4</v>
      </c>
      <c r="C4" s="9">
        <f>100 - Table13[[#This Row],[Error]]</f>
        <v>68.94</v>
      </c>
      <c r="D4" s="9">
        <v>31.06</v>
      </c>
      <c r="E4" s="8">
        <v>502</v>
      </c>
      <c r="F4" s="8">
        <v>187.4</v>
      </c>
      <c r="G4" s="9">
        <f>Table13[[#This Row],['# Objective]]/$E$3*100</f>
        <v>79.055118110236222</v>
      </c>
      <c r="H4" s="9">
        <f>Table13[[#This Row],['# Subjective]]/$F$3*100</f>
        <v>51.342465753424662</v>
      </c>
    </row>
    <row r="5" spans="2:8" x14ac:dyDescent="0.2">
      <c r="B5" s="12" t="s">
        <v>16</v>
      </c>
      <c r="C5" s="10">
        <f>100 - Table13[[#This Row],[Error]]</f>
        <v>72.52</v>
      </c>
      <c r="D5" s="10">
        <v>27.48</v>
      </c>
      <c r="E5" s="11">
        <v>502.8</v>
      </c>
      <c r="F5" s="11">
        <v>222.4</v>
      </c>
      <c r="G5" s="10">
        <f>Table13[[#This Row],['# Objective]]/$E$3*100</f>
        <v>79.181102362204726</v>
      </c>
      <c r="H5" s="10">
        <f>Table13[[#This Row],['# Subjective]]/$F$3*100</f>
        <v>60.931506849315063</v>
      </c>
    </row>
    <row r="6" spans="2:8" x14ac:dyDescent="0.2">
      <c r="B6" s="4" t="s">
        <v>17</v>
      </c>
      <c r="C6" s="9">
        <f>100 - Table13[[#This Row],[Error]]</f>
        <v>70.44</v>
      </c>
      <c r="D6" s="9">
        <v>29.56</v>
      </c>
      <c r="E6" s="8">
        <v>506.8</v>
      </c>
      <c r="F6" s="8">
        <v>197.6</v>
      </c>
      <c r="G6" s="9">
        <f>Table13[[#This Row],['# Objective]]/$E$3*100</f>
        <v>79.811023622047244</v>
      </c>
      <c r="H6" s="9">
        <f>Table13[[#This Row],['# Subjective]]/$F$3*100</f>
        <v>54.136986301369859</v>
      </c>
    </row>
    <row r="7" spans="2:8" x14ac:dyDescent="0.2">
      <c r="B7" s="4" t="s">
        <v>18</v>
      </c>
      <c r="C7" s="9">
        <f>100 - Table13[[#This Row],[Error]]</f>
        <v>37.700000000000003</v>
      </c>
      <c r="D7" s="9">
        <v>62.3</v>
      </c>
      <c r="E7" s="8">
        <v>333.2</v>
      </c>
      <c r="F7" s="8">
        <v>43.8</v>
      </c>
      <c r="G7" s="9">
        <f>Table13[[#This Row],['# Objective]]/$E$3*100</f>
        <v>52.472440944881896</v>
      </c>
      <c r="H7" s="9">
        <f>Table13[[#This Row],['# Subjective]]/$F$3*100</f>
        <v>12</v>
      </c>
    </row>
    <row r="9" spans="2:8" ht="13.5" thickBot="1" x14ac:dyDescent="0.25"/>
    <row r="10" spans="2:8" ht="13.5" thickBot="1" x14ac:dyDescent="0.25">
      <c r="B10" s="1" t="s">
        <v>8</v>
      </c>
      <c r="C10" s="2" t="s">
        <v>3</v>
      </c>
      <c r="D10" s="2" t="s">
        <v>6</v>
      </c>
      <c r="E10" s="2" t="s">
        <v>9</v>
      </c>
      <c r="F10" s="2" t="s">
        <v>10</v>
      </c>
      <c r="G10" s="2" t="s">
        <v>11</v>
      </c>
      <c r="H10" s="3" t="s">
        <v>12</v>
      </c>
    </row>
    <row r="11" spans="2:8" x14ac:dyDescent="0.2">
      <c r="B11" s="5" t="s">
        <v>7</v>
      </c>
      <c r="C11" s="7">
        <f>100 - Table136[[#This Row],[Error]]</f>
        <v>63.5</v>
      </c>
      <c r="D11" s="7">
        <f>Table136[[#This Row],['# Subjective]]/10</f>
        <v>36.5</v>
      </c>
      <c r="E11" s="6">
        <v>635</v>
      </c>
      <c r="F11" s="6">
        <v>365</v>
      </c>
      <c r="G11" s="7">
        <f>Table136[[#This Row],['# Objective]]/$E$3*100</f>
        <v>100</v>
      </c>
      <c r="H11" s="7">
        <f>Table136[[#This Row],['# Subjective]]/$F$3*100</f>
        <v>100</v>
      </c>
    </row>
    <row r="12" spans="2:8" x14ac:dyDescent="0.2">
      <c r="B12" s="4" t="s">
        <v>4</v>
      </c>
      <c r="C12" s="9">
        <f>100 - Table136[[#This Row],[Error]]</f>
        <v>69.88</v>
      </c>
      <c r="D12" s="9">
        <v>30.12</v>
      </c>
      <c r="E12" s="8">
        <v>510</v>
      </c>
      <c r="F12" s="8">
        <v>188.8</v>
      </c>
      <c r="G12" s="9">
        <f>Table136[[#This Row],['# Objective]]/$E$3*100</f>
        <v>80.314960629921259</v>
      </c>
      <c r="H12" s="9">
        <f>Table136[[#This Row],['# Subjective]]/$F$3*100</f>
        <v>51.726027397260275</v>
      </c>
    </row>
    <row r="13" spans="2:8" x14ac:dyDescent="0.2">
      <c r="B13" s="12" t="s">
        <v>16</v>
      </c>
      <c r="C13" s="10">
        <f>100 - Table136[[#This Row],[Error]]</f>
        <v>72.599999999999994</v>
      </c>
      <c r="D13" s="10">
        <v>27.4</v>
      </c>
      <c r="E13" s="11">
        <v>504.2</v>
      </c>
      <c r="F13" s="11">
        <v>221.8</v>
      </c>
      <c r="G13" s="10">
        <f>Table136[[#This Row],['# Objective]]/$E$3*100</f>
        <v>79.4015748031496</v>
      </c>
      <c r="H13" s="10">
        <f>Table136[[#This Row],['# Subjective]]/$F$3*100</f>
        <v>60.767123287671232</v>
      </c>
    </row>
    <row r="14" spans="2:8" x14ac:dyDescent="0.2">
      <c r="B14" s="4" t="s">
        <v>17</v>
      </c>
      <c r="C14" s="9">
        <f>100 - Table136[[#This Row],[Error]]</f>
        <v>70.739999999999995</v>
      </c>
      <c r="D14" s="9">
        <v>29.26</v>
      </c>
      <c r="E14" s="8">
        <v>507.2</v>
      </c>
      <c r="F14" s="8">
        <v>200.2</v>
      </c>
      <c r="G14" s="9">
        <f>Table136[[#This Row],['# Objective]]/$E$3*100</f>
        <v>79.874015748031496</v>
      </c>
      <c r="H14" s="9">
        <f>Table136[[#This Row],['# Subjective]]/$F$3*100</f>
        <v>54.849315068493141</v>
      </c>
    </row>
    <row r="15" spans="2:8" x14ac:dyDescent="0.2">
      <c r="B15" s="4" t="s">
        <v>18</v>
      </c>
      <c r="C15" s="9">
        <f>100 - Table136[[#This Row],[Error]]</f>
        <v>37.700000000000003</v>
      </c>
      <c r="D15" s="9">
        <v>62.3</v>
      </c>
      <c r="E15" s="8">
        <v>331.8</v>
      </c>
      <c r="F15" s="8">
        <v>45.2</v>
      </c>
      <c r="G15" s="9">
        <f>Table136[[#This Row],['# Objective]]/$E$3*100</f>
        <v>52.251968503937007</v>
      </c>
      <c r="H15" s="9">
        <f>Table136[[#This Row],['# Subjective]]/$F$3*100</f>
        <v>12.383561643835616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BA0B-FACA-455A-9428-3144DFF11DF7}">
  <dimension ref="B1:I20"/>
  <sheetViews>
    <sheetView tabSelected="1" workbookViewId="0"/>
  </sheetViews>
  <sheetFormatPr defaultRowHeight="12.75" x14ac:dyDescent="0.2"/>
  <cols>
    <col min="1" max="1" width="2.85546875" style="4" customWidth="1"/>
    <col min="2" max="2" width="24" style="4" bestFit="1" customWidth="1"/>
    <col min="3" max="3" width="11.7109375" style="4" bestFit="1" customWidth="1"/>
    <col min="4" max="5" width="14.28515625" style="4" customWidth="1"/>
    <col min="6" max="7" width="15.7109375" style="4" bestFit="1" customWidth="1"/>
    <col min="8" max="8" width="17.140625" style="4" customWidth="1"/>
    <col min="9" max="9" width="17.42578125" style="4" bestFit="1" customWidth="1"/>
    <col min="10" max="10" width="2.85546875" style="4" customWidth="1"/>
    <col min="11" max="16384" width="9.140625" style="4"/>
  </cols>
  <sheetData>
    <row r="1" spans="2:9" ht="13.5" thickBot="1" x14ac:dyDescent="0.25"/>
    <row r="2" spans="2:9" ht="13.5" thickBot="1" x14ac:dyDescent="0.25">
      <c r="B2" s="1" t="s">
        <v>8</v>
      </c>
      <c r="C2" s="2" t="s">
        <v>22</v>
      </c>
      <c r="D2" s="2" t="s">
        <v>3</v>
      </c>
      <c r="E2" s="2" t="s">
        <v>6</v>
      </c>
      <c r="F2" s="2" t="s">
        <v>9</v>
      </c>
      <c r="G2" s="2" t="s">
        <v>10</v>
      </c>
      <c r="H2" s="2" t="s">
        <v>11</v>
      </c>
      <c r="I2" s="3" t="s">
        <v>12</v>
      </c>
    </row>
    <row r="3" spans="2:9" hidden="1" x14ac:dyDescent="0.2">
      <c r="B3" s="5" t="s">
        <v>7</v>
      </c>
      <c r="C3" s="5"/>
      <c r="D3" s="7">
        <f>100 - Table135[[#This Row],[Error]]</f>
        <v>63.5</v>
      </c>
      <c r="E3" s="7">
        <f>Table135[[#This Row],['# Subjective]]/10</f>
        <v>36.5</v>
      </c>
      <c r="F3" s="6">
        <v>635</v>
      </c>
      <c r="G3" s="6">
        <v>365</v>
      </c>
      <c r="H3" s="7">
        <f>Table135[[#This Row],['# Objective]]/$F$3*100</f>
        <v>100</v>
      </c>
      <c r="I3" s="7">
        <f>Table135[[#This Row],['# Subjective]]/$G$3*100</f>
        <v>100</v>
      </c>
    </row>
    <row r="4" spans="2:9" x14ac:dyDescent="0.2">
      <c r="B4" s="13" t="s">
        <v>15</v>
      </c>
      <c r="C4" s="16" t="s">
        <v>19</v>
      </c>
      <c r="D4" s="14">
        <f>100 - Table135[[#This Row],[Error]]</f>
        <v>82.89</v>
      </c>
      <c r="E4" s="14">
        <v>17.11</v>
      </c>
      <c r="F4" s="15">
        <v>557.4</v>
      </c>
      <c r="G4" s="15">
        <v>271.5</v>
      </c>
      <c r="H4" s="14">
        <f>Table135[[#This Row],['# Objective]]/$F$3*100</f>
        <v>87.779527559055111</v>
      </c>
      <c r="I4" s="14">
        <f>Table135[[#This Row],['# Subjective]]/$G$3*100</f>
        <v>74.38356164383562</v>
      </c>
    </row>
    <row r="5" spans="2:9" x14ac:dyDescent="0.2">
      <c r="B5" s="13" t="s">
        <v>21</v>
      </c>
      <c r="C5" s="16" t="s">
        <v>20</v>
      </c>
      <c r="D5" s="14">
        <f>100 - Table135[[#This Row],[Error]]</f>
        <v>72.52</v>
      </c>
      <c r="E5" s="14">
        <v>27.48</v>
      </c>
      <c r="F5" s="15">
        <v>502.8</v>
      </c>
      <c r="G5" s="15">
        <v>222.4</v>
      </c>
      <c r="H5" s="14">
        <f>Table135[[#This Row],['# Objective]]/$F$3*100</f>
        <v>79.181102362204726</v>
      </c>
      <c r="I5" s="14">
        <f>Table135[[#This Row],['# Subjective]]/$G$3*100</f>
        <v>60.931506849315063</v>
      </c>
    </row>
    <row r="7" spans="2:9" x14ac:dyDescent="0.2">
      <c r="C7" s="18" t="s">
        <v>25</v>
      </c>
      <c r="D7" s="18" t="s">
        <v>26</v>
      </c>
      <c r="E7" s="18" t="s">
        <v>27</v>
      </c>
      <c r="F7" s="18" t="s">
        <v>28</v>
      </c>
      <c r="G7" s="18" t="s">
        <v>29</v>
      </c>
    </row>
    <row r="8" spans="2:9" x14ac:dyDescent="0.2">
      <c r="B8" s="4" t="s">
        <v>23</v>
      </c>
      <c r="C8" s="20">
        <v>23.4</v>
      </c>
      <c r="D8" s="20">
        <v>21.88889</v>
      </c>
      <c r="E8" s="20">
        <v>21.869779999999999</v>
      </c>
      <c r="F8" s="20">
        <v>21.571429999999999</v>
      </c>
      <c r="G8" s="20">
        <v>21.276599999999998</v>
      </c>
    </row>
    <row r="9" spans="2:9" x14ac:dyDescent="0.2">
      <c r="B9" s="4" t="s">
        <v>24</v>
      </c>
      <c r="C9" s="20">
        <v>37</v>
      </c>
      <c r="D9" s="20">
        <v>32.714289999999998</v>
      </c>
      <c r="E9" s="4">
        <v>31.789739999999998</v>
      </c>
      <c r="F9" s="20">
        <v>26.544239999999999</v>
      </c>
      <c r="G9" s="20">
        <v>25.6</v>
      </c>
    </row>
    <row r="11" spans="2:9" x14ac:dyDescent="0.2">
      <c r="C11" s="21">
        <v>0.1</v>
      </c>
      <c r="D11" s="21">
        <v>0.2</v>
      </c>
      <c r="E11" s="21">
        <v>0.3</v>
      </c>
      <c r="F11" s="21">
        <v>0.4</v>
      </c>
      <c r="G11" s="21">
        <v>0.5</v>
      </c>
    </row>
    <row r="12" spans="2:9" x14ac:dyDescent="0.2">
      <c r="B12" s="4" t="s">
        <v>36</v>
      </c>
      <c r="C12" s="19">
        <v>82.89</v>
      </c>
      <c r="D12" s="19">
        <v>82.89</v>
      </c>
      <c r="E12" s="19">
        <v>82.89</v>
      </c>
      <c r="F12" s="19">
        <v>82.89</v>
      </c>
      <c r="G12" s="19">
        <v>82.89</v>
      </c>
    </row>
    <row r="13" spans="2:9" x14ac:dyDescent="0.2">
      <c r="B13" s="4" t="s">
        <v>37</v>
      </c>
      <c r="C13" s="19">
        <v>76.599999999999994</v>
      </c>
      <c r="D13" s="19">
        <v>77.111109999999996</v>
      </c>
      <c r="E13" s="19">
        <v>78.130220000000008</v>
      </c>
      <c r="F13" s="19">
        <v>78.428570000000008</v>
      </c>
      <c r="G13" s="19">
        <v>78.723399999999998</v>
      </c>
    </row>
    <row r="14" spans="2:9" x14ac:dyDescent="0.2">
      <c r="B14" s="4" t="s">
        <v>40</v>
      </c>
      <c r="C14" s="19">
        <v>72.52</v>
      </c>
      <c r="D14" s="19">
        <v>72.52</v>
      </c>
      <c r="E14" s="19">
        <v>72.52</v>
      </c>
      <c r="F14" s="19">
        <v>72.52</v>
      </c>
      <c r="G14" s="19">
        <v>72.52</v>
      </c>
    </row>
    <row r="15" spans="2:9" x14ac:dyDescent="0.2">
      <c r="B15" s="4" t="s">
        <v>37</v>
      </c>
      <c r="C15" s="19">
        <f>100-C9</f>
        <v>63</v>
      </c>
      <c r="D15" s="19">
        <f>100-D9</f>
        <v>67.285709999999995</v>
      </c>
      <c r="E15" s="19">
        <f>100-E9</f>
        <v>68.210260000000005</v>
      </c>
      <c r="F15" s="19">
        <f>100-F9</f>
        <v>73.455759999999998</v>
      </c>
      <c r="G15" s="19">
        <f>100-G9</f>
        <v>74.400000000000006</v>
      </c>
    </row>
    <row r="18" spans="2:7" ht="13.5" thickBot="1" x14ac:dyDescent="0.25">
      <c r="C18" s="24" t="s">
        <v>35</v>
      </c>
      <c r="D18" s="25"/>
      <c r="E18" s="25"/>
      <c r="F18" s="25"/>
      <c r="G18" s="25"/>
    </row>
    <row r="19" spans="2:7" ht="13.5" thickBot="1" x14ac:dyDescent="0.25">
      <c r="B19" s="22" t="s">
        <v>39</v>
      </c>
      <c r="C19" s="21" t="s">
        <v>30</v>
      </c>
      <c r="D19" s="21" t="s">
        <v>31</v>
      </c>
      <c r="E19" s="21" t="s">
        <v>32</v>
      </c>
      <c r="F19" s="21" t="s">
        <v>33</v>
      </c>
      <c r="G19" s="21" t="s">
        <v>34</v>
      </c>
    </row>
    <row r="20" spans="2:7" ht="13.5" thickBot="1" x14ac:dyDescent="0.25">
      <c r="B20" s="23" t="s">
        <v>38</v>
      </c>
      <c r="C20" s="9">
        <v>63</v>
      </c>
      <c r="D20" s="9">
        <v>67.285709999999995</v>
      </c>
      <c r="E20" s="9">
        <v>68.210260000000005</v>
      </c>
      <c r="F20" s="9">
        <v>73.455759999999998</v>
      </c>
      <c r="G20" s="9">
        <v>74.400000000000006</v>
      </c>
    </row>
  </sheetData>
  <mergeCells count="1">
    <mergeCell ref="C18:G18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View 1 Results</vt:lpstr>
      <vt:lpstr>View 2 Results</vt:lpstr>
      <vt:lpstr>View 3 y 4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Segura</dc:creator>
  <cp:lastModifiedBy>Andres Segura</cp:lastModifiedBy>
  <dcterms:created xsi:type="dcterms:W3CDTF">2018-07-04T23:10:36Z</dcterms:created>
  <dcterms:modified xsi:type="dcterms:W3CDTF">2019-07-20T14:10:05Z</dcterms:modified>
</cp:coreProperties>
</file>