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8.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9.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7570" documentId="13_ncr:1_{DED5795E-3DC0-A949-81AB-74CAE5BDD1E8}" xr6:coauthVersionLast="47" xr6:coauthVersionMax="47" xr10:uidLastSave="{F44379B3-312D-4956-BB3A-E5A94561DFAA}"/>
  <bookViews>
    <workbookView xWindow="75" yWindow="60" windowWidth="26835" windowHeight="13665" tabRatio="848" firstSheet="8"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RC-BPV" sheetId="64" r:id="rId11"/>
    <sheet name="RC-RPIS" sheetId="66" r:id="rId12"/>
    <sheet name="ACK" sheetId="65" r:id="rId13"/>
    <sheet name="GEO-POS" sheetId="56" r:id="rId14"/>
    <sheet name="GEO-REQ" sheetId="58" r:id="rId15"/>
    <sheet name="GEO-RES" sheetId="59" r:id="rId16"/>
    <sheet name="RS-ERROR" sheetId="60" r:id="rId17"/>
    <sheet name="RS-INFO" sheetId="61" r:id="rId18"/>
    <sheet name="RC-REF" sheetId="62" r:id="rId19"/>
    <sheet name="customContent" sheetId="63" r:id="rId20"/>
    <sheet name="Conditional format rules" sheetId="29" r:id="rId21"/>
    <sheet name="Documents_sources" sheetId="18" state="hidden" r:id="rId22"/>
  </sheets>
  <definedNames>
    <definedName name="_xlnm._FilterDatabase" localSheetId="9"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57" i="66" l="1"/>
  <c r="AC57" i="66"/>
  <c r="AB57" i="66"/>
  <c r="Z57" i="66"/>
  <c r="Y57" i="66"/>
  <c r="S57" i="66"/>
  <c r="R57" i="66"/>
  <c r="P57" i="66"/>
  <c r="O57" i="66"/>
  <c r="N57" i="66"/>
  <c r="M57" i="66"/>
  <c r="L57" i="66"/>
  <c r="K57" i="66"/>
  <c r="J57" i="66"/>
  <c r="I57" i="66"/>
  <c r="H57" i="66"/>
  <c r="G57" i="66"/>
  <c r="F57" i="66"/>
  <c r="E57" i="66"/>
  <c r="D57" i="66"/>
  <c r="C57" i="66"/>
  <c r="A57" i="66"/>
  <c r="AD19" i="65"/>
  <c r="F1" i="65" s="1"/>
  <c r="AC19" i="65"/>
  <c r="F2" i="65" s="1"/>
  <c r="AB19" i="65"/>
  <c r="Z19" i="65"/>
  <c r="Y19" i="65"/>
  <c r="S19" i="65"/>
  <c r="R19" i="65"/>
  <c r="P19" i="65"/>
  <c r="O19" i="65"/>
  <c r="N19" i="65"/>
  <c r="M19" i="65"/>
  <c r="L19" i="65"/>
  <c r="K19" i="65"/>
  <c r="J19" i="65"/>
  <c r="I19" i="65"/>
  <c r="H19" i="65"/>
  <c r="G19" i="65"/>
  <c r="F19" i="65"/>
  <c r="E19" i="65"/>
  <c r="D19" i="65"/>
  <c r="C19" i="65"/>
  <c r="A19" i="65"/>
  <c r="AD41" i="64"/>
  <c r="AC41" i="64"/>
  <c r="AB41" i="64"/>
  <c r="Z41" i="64"/>
  <c r="Y41" i="64"/>
  <c r="S41" i="64"/>
  <c r="R41" i="64"/>
  <c r="P41" i="64"/>
  <c r="O41" i="64"/>
  <c r="N41" i="64"/>
  <c r="M41" i="64"/>
  <c r="L41" i="64"/>
  <c r="K41" i="64"/>
  <c r="J41" i="64"/>
  <c r="I41" i="64"/>
  <c r="H41" i="64"/>
  <c r="G41" i="64"/>
  <c r="F41" i="64"/>
  <c r="E41" i="64"/>
  <c r="D41" i="64"/>
  <c r="C41" i="64"/>
  <c r="A41" i="64"/>
  <c r="A20" i="59"/>
  <c r="A24" i="56"/>
  <c r="AD185" i="33"/>
  <c r="AC185" i="33"/>
  <c r="A185" i="33"/>
  <c r="C185" i="33"/>
  <c r="D185" i="33"/>
  <c r="E185" i="33"/>
  <c r="F185" i="33"/>
  <c r="G185" i="33"/>
  <c r="H185" i="33"/>
  <c r="I185" i="33"/>
  <c r="J185" i="33"/>
  <c r="K185" i="33"/>
  <c r="L185" i="33"/>
  <c r="M185" i="33"/>
  <c r="N185" i="33"/>
  <c r="O185" i="33"/>
  <c r="P185" i="33"/>
  <c r="R185" i="33"/>
  <c r="S185" i="33"/>
  <c r="Y185" i="33"/>
  <c r="Z185" i="33"/>
  <c r="AB185"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66" l="1"/>
  <c r="F1" i="66"/>
  <c r="F1" i="64"/>
  <c r="F2" i="64"/>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tc={0CFF5582-9153-4C81-BF2B-0E3E475CB201}</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tc={6729E6ED-B0CD-41F4-BDE9-63A71C3B0080}</author>
    <author>tc={94CB63FF-3915-49D6-9867-9F61128C5ACD}</author>
    <author>tc={418F6048-D82E-4151-A527-DD3375E32EDF}</author>
    <author>tc={B2E36609-985A-480B-9D00-3FA79278887B}</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U35" authorId="25" shapeId="0" xr:uid="{0CFF5582-9153-4C81-BF2B-0E3E475CB2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compléter cette liste ?</t>
      </text>
    </comment>
    <comment ref="D44" authorId="26"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8" authorId="27"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7" authorId="28"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60" authorId="29"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8" authorId="30"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9" authorId="31"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9" authorId="32"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9" authorId="33"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70" authorId="34"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71" authorId="35"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4" authorId="36"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6" authorId="37"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6" authorId="38"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7" authorId="39"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7" authorId="40"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8" authorId="41"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80" authorId="42"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80" authorId="43"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82" authorId="44"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3" authorId="45"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5" authorId="46"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5" authorId="47"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6" authorId="48"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7" authorId="49"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8" authorId="50"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9" authorId="51"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9" authorId="52"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9" authorId="53"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90" authorId="54"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3" authorId="55"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3" authorId="56"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6" authorId="57"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8" authorId="58"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8" authorId="59"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8" authorId="60"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Q99" authorId="61"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101" authorId="62"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101" authorId="63"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3" authorId="64"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3" authorId="65"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3" authorId="66"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4" authorId="67"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7" authorId="68"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7" authorId="69"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12" authorId="70"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3" authorId="71"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4" authorId="72"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8" authorId="73"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8" authorId="74"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22" authorId="75"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4" authorId="76"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4" authorId="77"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4" authorId="78"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30" authorId="79"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32" authorId="80"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32" authorId="81"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7" authorId="82"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8" authorId="83"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8" authorId="84"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9" authorId="85"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9" authorId="86"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40" authorId="87"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4" authorId="88"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5" authorId="89"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6" authorId="90"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6" authorId="91"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8" authorId="92"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8" authorId="93"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50" authorId="94"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52" authorId="95"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3" authorId="96"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5" authorId="97"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6" authorId="98"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6" authorId="99"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7" authorId="100"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7" authorId="101"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60" authorId="102"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6" authorId="103"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U169" authorId="104"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C170" authorId="105"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70" authorId="106"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71" authorId="107"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71" authorId="108"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71" authorId="109"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K172" authorId="110" shapeId="0" xr:uid="{6729E6ED-B0CD-41F4-BDE9-63A71C3B0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C173" authorId="111"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C174" authorId="112"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
Réponse :
    Mettre un objet identique à l'adresse de localisation. Pour pouvoir amener les personnes à n'importe quel endroit (y compris à domicile).
+ ajouter un champ FINESS ?</t>
      </text>
    </comment>
    <comment ref="D175" authorId="113" shapeId="0" xr:uid="{B2E36609-985A-480B-9D00-3FA79278887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C177" authorId="114"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7" authorId="115"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9" authorId="116"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4" authorId="117"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4" authorId="118"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<sst xmlns="http://schemas.openxmlformats.org/spreadsheetml/2006/main" count="6288" uniqueCount="2259">
  <si>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</si>
  <si>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</si>
  <si>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</si>
  <si>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</si>
  <si>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</si>
  <si>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</si>
  <si>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</si>
  <si>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</si>
  <si>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</si>
  <si>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</si>
  <si>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</si>
  <si>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</si>
  <si>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</si>
  <si>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</si>
  <si>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</si>
  <si>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</si>
  <si>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</si>
  <si>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</si>
  <si>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</si>
  <si>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</si>
  <si>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</si>
  <si>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</si>
  <si>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</si>
  <si>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</si>
  <si>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</si>
  <si>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</si>
  <si>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</si>
  <si>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</si>
  <si>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</si>
  <si>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</si>
  <si>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</si>
  <si>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</si>
  <si>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</si>
  <si>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</si>
  <si>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</si>
  <si>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</si>
  <si>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</si>
  <si>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</si>
  <si>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</si>
  <si>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</si>
  <si>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</si>
  <si>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</si>
  <si>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</si>
  <si>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</si>
  <si>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</si>
  <si>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</si>
  <si>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</si>
  <si>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</si>
  <si>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</si>
  <si>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</si>
  <si>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</si>
  <si>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</si>
  <si>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</si>
  <si>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</si>
  <si>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</si>
  <si>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</si>
  <si>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</si>
  <si>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</si>
  <si>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</si>
  <si>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</si>
  <si>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</si>
  <si>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</si>
  <si>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</si>
  <si>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</si>
  <si>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</si>
  <si>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</si>
  <si>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</si>
  <si>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</si>
  <si>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</si>
  <si>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</si>
  <si>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</si>
  <si>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</si>
  <si>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</si>
  <si>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</si>
  <si>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</si>
  <si>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</si>
  <si>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</si>
  <si>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</si>
  <si>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</si>
  <si>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</si>
  <si>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</si>
  <si>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</si>
  <si>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</si>
  <si>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</si>
  <si>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</si>
  <si>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</si>
  <si>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</si>
  <si>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</si>
  <si>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</si>
  <si>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</si>
  <si>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</si>
  <si>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</si>
  <si>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</si>
  <si>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</si>
  <si>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</si>
  <si>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</si>
  <si>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</si>
  <si>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</si>
  <si>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</si>
  <si>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</si>
  <si>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</si>
  <si>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</si>
  <si>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</si>
  <si>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</si>
  <si>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</si>
  <si>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</si>
  <si>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</si>
  <si>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</si>
  <si>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</si>
  <si>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</si>
  <si>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</si>
  <si>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</si>
  <si>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</si>
  <si>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</si>
  <si>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</si>
  <si>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</si>
  <si>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</si>
  <si>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</si>
  <si>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</si>
  <si>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</si>
  <si>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</si>
  <si>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</si>
  <si>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</si>
  <si>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</si>
  <si>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</si>
  <si>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</si>
  <si>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</si>
  <si>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</si>
  <si>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</si>
  <si>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</si>
  <si>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</si>
  <si>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</si>
  <si>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</si>
  <si>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</si>
  <si>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</si>
  <si>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</si>
  <si>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</si>
  <si>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</si>
  <si>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</si>
  <si>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</si>
  <si>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</si>
  <si>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</si>
  <si>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</si>
  <si>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</si>
  <si>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</si>
  <si>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</si>
  <si>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</si>
  <si>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</si>
  <si>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</si>
  <si>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</si>
  <si>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</si>
  <si>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</si>
  <si>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</si>
  <si>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</si>
  <si>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</si>
  <si>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</si>
  <si>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</si>
  <si>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</si>
  <si>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</si>
  <si>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</si>
  <si>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</si>
  <si>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</si>
  <si>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</si>
  <si>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</si>
  <si>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</si>
  <si>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</si>
  <si>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</si>
  <si>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</si>
  <si>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</si>
  <si>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</si>
  <si>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</si>
  <si>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</si>
  <si>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</si>
  <si>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</si>
  <si>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</si>
  <si>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</si>
  <si>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</si>
  <si>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</si>
  <si>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</si>
  <si>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</si>
  <si>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</si>
  <si>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</si>
  <si>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</si>
  <si>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</si>
  <si>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</si>
  <si>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</si>
  <si>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</si>
  <si>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</si>
  <si>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</si>
  <si>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</si>
  <si>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</si>
  <si>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</si>
  <si>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</si>
  <si>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</si>
  <si>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</si>
  <si>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</si>
  <si>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</si>
  <si>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</si>
  <si>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</si>
  <si>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</si>
  <si>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</si>
  <si>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</si>
  <si>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</si>
  <si>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</si>
  <si>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</si>
  <si>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</si>
  <si>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</si>
  <si>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</si>
  <si>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</si>
  <si>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</si>
  <si>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</si>
  <si>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</si>
  <si>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</si>
  <si>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</si>
  <si>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</si>
  <si>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</si>
  <si>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</si>
  <si>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</si>
  <si>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</si>
  <si>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</si>
  <si>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</si>
  <si>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</si>
  <si>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</si>
  <si>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</si>
  <si>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</si>
  <si>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</si>
  <si>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</si>
  <si>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</si>
  <si>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</si>
  <si>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</si>
  <si>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</si>
  <si>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</si>
  <si>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</si>
  <si>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</si>
  <si>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</si>
  <si>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</si>
  <si>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</si>
  <si>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</si>
  <si>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</si>
  <si>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</si>
  <si>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</si>
  <si>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</si>
  <si>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</si>
  <si>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</si>
  <si>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</si>
  <si>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</si>
  <si>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</si>
  <si>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</si>
  <si>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</si>
  <si>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</si>
  <si>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</si>
  <si>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</si>
  <si>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</si>
  <si>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</si>
  <si>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</si>
  <si>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</si>
  <si>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</si>
  <si>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</si>
  <si>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</si>
  <si>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</si>
  <si>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</si>
  <si>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</si>
  <si>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</si>
  <si>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</si>
  <si>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</si>
  <si>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</si>
  <si>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</si>
  <si>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</si>
  <si>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</si>
  <si>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</si>
  <si>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</si>
  <si>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</si>
  <si>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</si>
  <si>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</si>
  <si>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</si>
  <si>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</si>
  <si>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</si>
  <si>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</si>
  <si>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</si>
  <si>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</si>
  <si>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</si>
  <si>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</si>
  <si>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</si>
  <si>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</si>
  <si>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</si>
  <si>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</si>
  <si>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</si>
  <si>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</si>
  <si>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</si>
  <si>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</si>
  <si>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</si>
  <si>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</si>
  <si>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</si>
  <si>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</si>
  <si>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</si>
  <si>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</si>
  <si>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</si>
  <si>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</si>
  <si>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</si>
  <si>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</si>
  <si>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</si>
  <si>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</si>
  <si>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</si>
  <si>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</si>
  <si>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</si>
  <si>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</si>
  <si>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</si>
  <si>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</si>
  <si>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</si>
  <si>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</si>
  <si>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</si>
  <si>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</si>
  <si>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</si>
  <si>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</si>
  <si>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</si>
  <si>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</si>
  <si>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</si>
  <si>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</si>
  <si>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</si>
  <si>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</si>
  <si>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</si>
  <si>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</si>
  <si>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</si>
  <si>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</si>
  <si>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</si>
  <si>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</si>
  <si>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</si>
  <si>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</si>
  <si>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</si>
  <si>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</si>
  <si>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</si>
  <si>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</si>
  <si>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</si>
  <si>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</si>
  <si>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</si>
  <si>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</si>
  <si>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</si>
  <si>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</si>
  <si>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</si>
  <si>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</si>
  <si>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</si>
  <si>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</si>
  <si>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</si>
  <si>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</si>
  <si>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</si>
  <si>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</si>
  <si>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</si>
  <si>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</si>
  <si>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</si>
  <si>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</si>
  <si>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</si>
  <si>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</si>
  <si>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</si>
  <si>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</si>
  <si>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</si>
  <si>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</si>
  <si>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</si>
  <si>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</si>
  <si>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</si>
  <si>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</si>
  <si>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</si>
  <si>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</si>
  <si>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</si>
  <si>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</si>
  <si>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</si>
  <si>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</si>
  <si>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</si>
  <si>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</si>
  <si>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</si>
  <si>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</si>
  <si>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</si>
  <si>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</si>
  <si>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</si>
  <si>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</si>
  <si>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</si>
  <si>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</si>
  <si>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</si>
  <si>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</si>
  <si>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</si>
  <si>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</si>
  <si>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</si>
  <si>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</si>
  <si>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</si>
  <si>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</si>
  <si>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</si>
  <si>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</si>
  <si>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</si>
  <si>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</si>
  <si>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</si>
  <si>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</si>
  <si>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</si>
  <si>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</si>
  <si>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</si>
  <si>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</si>
  <si>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</si>
  <si>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</si>
  <si>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</si>
  <si>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</si>
  <si>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</si>
  <si>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</si>
  <si>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</si>
  <si>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</si>
  <si>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</si>
  <si>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</si>
  <si>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</si>
  <si>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</si>
  <si>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</si>
  <si>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</si>
  <si>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</si>
  <si>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</si>
  <si>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</si>
  <si>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</si>
  <si>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</si>
  <si>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</si>
  <si>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</si>
  <si>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</si>
  <si>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</si>
  <si>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</si>
  <si>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</si>
  <si>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</si>
  <si>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</si>
  <si>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</si>
  <si>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</si>
  <si>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</si>
  <si>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</si>
  <si>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</si>
  <si>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</si>
  <si>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</si>
  <si>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</si>
  <si>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</si>
  <si>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</si>
  <si>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</si>
  <si>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</si>
  <si>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</si>
  <si>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</si>
  <si>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</si>
  <si>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</si>
  <si>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</si>
  <si>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</si>
  <si>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</si>
  <si>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</si>
  <si>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</si>
  <si>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</si>
  <si>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</si>
  <si>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</si>
  <si>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</si>
  <si>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</si>
  <si>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</si>
  <si>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</si>
  <si>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</si>
  <si>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</si>
  <si>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</si>
  <si>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</si>
  <si>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</si>
  <si>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</si>
  <si>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</si>
  <si>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</si>
  <si>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</si>
  <si>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</si>
  <si>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</si>
  <si>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</si>
  <si>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</si>
  <si>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</si>
  <si>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</si>
  <si>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</si>
  <si>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</si>
  <si>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</si>
  <si>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</si>
  <si>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</si>
  <si>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</si>
  <si>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</si>
  <si>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</si>
  <si>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</si>
  <si>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</si>
  <si>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</si>
  <si>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</si>
  <si>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</si>
  <si>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</si>
  <si>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</si>
  <si>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</si>
  <si>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</si>
  <si>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</si>
  <si>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</si>
  <si>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</si>
  <si>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</si>
  <si>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</si>
  <si>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</si>
  <si>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</si>
  <si>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</si>
  <si>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</si>
  <si>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</si>
  <si>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</si>
  <si>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</si>
  <si>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</si>
  <si>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</si>
  <si>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</si>
  <si>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</si>
  <si>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</si>
  <si>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</si>
  <si>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</si>
  <si>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</si>
  <si>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</si>
  <si>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</si>
  <si>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</si>
  <si>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</si>
  <si>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</si>
  <si>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</si>
  <si>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</si>
  <si>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</si>
  <si>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</si>
  <si>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</si>
  <si>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</si>
  <si>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</si>
  <si>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</si>
  <si>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</si>
  <si>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</si>
  <si>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</si>
  <si>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</si>
  <si>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</si>
  <si>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</si>
  <si>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</si>
  <si>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</si>
  <si>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</si>
  <si>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</si>
  <si>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</si>
  <si>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</si>
  <si>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</si>
  <si>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</si>
  <si>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</si>
  <si>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</si>
  <si>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</si>
  <si>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</si>
  <si>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</si>
  <si>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</si>
  <si>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</si>
  <si>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</si>
  <si>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</si>
  <si>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</si>
  <si>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</si>
  <si>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</si>
  <si>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</si>
  <si>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</si>
  <si>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</si>
  <si>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</si>
  <si>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</si>
  <si>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</si>
  <si>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</si>
  <si>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</si>
  <si>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</si>
  <si>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</si>
  <si>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</si>
  <si>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</si>
  <si>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</si>
  <si>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</si>
  <si>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</si>
  <si>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</si>
  <si>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</si>
  <si>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</si>
  <si>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</si>
  <si>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</si>
  <si>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</si>
  <si>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</si>
  <si>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</si>
  <si>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</si>
  <si>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</si>
  <si>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</si>
  <si>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</si>
  <si>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</si>
  <si>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</si>
  <si>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</si>
  <si>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</si>
  <si>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</si>
  <si>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</si>
  <si>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</si>
  <si>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</si>
  <si>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</si>
  <si>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</si>
  <si>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</si>
  <si>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</si>
  <si>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</si>
  <si>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</si>
  <si>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</si>
  <si>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</si>
  <si>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</si>
  <si>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</si>
  <si>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</si>
  <si>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</si>
  <si>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</si>
  <si>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</si>
  <si>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</si>
  <si>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</si>
  <si>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</si>
  <si>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</si>
  <si>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</si>
  <si>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</si>
  <si>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</si>
  <si>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</si>
  <si>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</si>
  <si>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</si>
  <si>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</si>
  <si>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</si>
  <si>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</si>
  <si>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</si>
  <si>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</si>
  <si>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</si>
  <si>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</si>
  <si>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</si>
  <si>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</si>
  <si>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</si>
  <si>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</si>
  <si>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</si>
  <si>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</si>
  <si>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</si>
  <si>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</si>
  <si>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</si>
  <si>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</si>
  <si>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</si>
  <si>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</si>
  <si>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</si>
  <si>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</si>
  <si>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</si>
  <si>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</si>
  <si>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</si>
  <si>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</si>
  <si>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</si>
  <si>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</si>
  <si>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</si>
  <si>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</si>
  <si>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</si>
  <si>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</si>
  <si>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</si>
  <si>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</si>
  <si>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</si>
  <si>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</si>
  <si>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</si>
  <si>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</si>
  <si>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</si>
  <si>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</si>
  <si>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</si>
  <si>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</si>
  <si>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</si>
  <si>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</si>
  <si>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</si>
  <si>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</si>
  <si>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</si>
  <si>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</si>
  <si>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</si>
  <si>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</si>
  <si>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</si>
  <si>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</si>
  <si>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</si>
  <si>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</si>
  <si>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</si>
  <si>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</si>
  <si>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</si>
  <si>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</si>
  <si>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</si>
  <si>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</si>
  <si>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</si>
  <si>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</si>
  <si>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</si>
  <si>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</si>
  <si>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</si>
  <si>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</si>
  <si>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</si>
  <si>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</si>
  <si>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</si>
  <si>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</si>
  <si>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</si>
  <si>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</si>
  <si>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</si>
  <si>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</si>
  <si>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</si>
  <si>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</si>
  <si>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</si>
  <si>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</si>
  <si>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</si>
  <si>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</si>
  <si>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</si>
  <si>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</si>
  <si>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</si>
  <si>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</si>
  <si>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</si>
  <si>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</si>
  <si>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</si>
  <si>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</si>
  <si>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</si>
  <si>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</si>
  <si>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</si>
  <si>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</si>
  <si>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</si>
  <si>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</si>
  <si>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</si>
  <si>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</si>
  <si>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</si>
  <si>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</si>
  <si>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</si>
  <si>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</si>
  <si>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</si>
  <si>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</si>
  <si>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</si>
  <si>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</si>
  <si>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</si>
  <si>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</si>
  <si>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</si>
  <si>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</si>
  <si>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</si>
  <si>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</si>
  <si>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</si>
  <si>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</si>
  <si>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</si>
  <si>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</si>
  <si>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</si>
  <si>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</si>
  <si>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</si>
  <si>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</si>
  <si>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</si>
  <si>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</si>
  <si>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</si>
  <si>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</si>
  <si>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</si>
  <si>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</si>
  <si>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</si>
  <si>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</si>
  <si>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</si>
  <si>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</si>
  <si>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</si>
  <si>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</si>
  <si>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</si>
  <si>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</si>
  <si>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</si>
  <si>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</si>
  <si>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</si>
  <si>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</si>
  <si>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</si>
  <si>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</si>
  <si>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</si>
  <si>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</si>
  <si>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</si>
  <si>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</si>
  <si>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</si>
  <si>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</si>
  <si>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</si>
  <si>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</si>
  <si>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</si>
  <si>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</si>
  <si>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</si>
  <si>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</si>
  <si>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</si>
  <si>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</si>
  <si>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</si>
  <si>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</si>
  <si>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</si>
  <si>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</si>
  <si>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</si>
  <si>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</si>
  <si>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</si>
  <si>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</si>
  <si>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</si>
  <si>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</si>
  <si>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</si>
  <si>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</si>
  <si>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</si>
  <si>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</si>
  <si>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</si>
  <si>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</si>
  <si>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</si>
  <si>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</si>
  <si>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</si>
  <si>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</si>
  <si>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</si>
  <si>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</si>
  <si>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</si>
  <si>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</si>
  <si>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</si>
  <si>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</si>
  <si>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</si>
  <si>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</si>
  <si>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</si>
  <si>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</si>
  <si>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</si>
  <si>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</si>
  <si>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</si>
  <si>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</si>
  <si>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</si>
  <si>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</si>
  <si>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</si>
  <si>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</si>
  <si>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</si>
  <si>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</si>
  <si>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</si>
  <si>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</si>
  <si>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</si>
  <si>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</si>
  <si>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</si>
  <si>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</si>
  <si>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</si>
  <si>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</si>
  <si>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</si>
  <si>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</si>
  <si>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</si>
  <si>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</si>
  <si>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</si>
  <si>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</si>
  <si>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</si>
  <si>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</si>
  <si>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</si>
  <si>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</si>
  <si>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</si>
  <si>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</si>
  <si>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</si>
  <si>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</si>
  <si>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</si>
  <si>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</si>
  <si>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</si>
  <si>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</si>
  <si>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</si>
  <si>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</si>
  <si>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</si>
  <si>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</si>
  <si>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</si>
  <si>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</si>
  <si>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</si>
  <si>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</si>
  <si>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</si>
  <si>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</si>
  <si>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</si>
  <si>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</si>
  <si>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</si>
  <si>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</si>
  <si>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</si>
  <si>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</si>
  <si>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</si>
  <si>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</si>
  <si>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</si>
  <si>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</si>
  <si>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</si>
  <si>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</si>
  <si>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</si>
  <si>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</si>
  <si>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</si>
  <si>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</si>
  <si>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</si>
  <si>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</si>
  <si>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</si>
  <si>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</si>
  <si>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</si>
  <si>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</si>
  <si>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</si>
  <si>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</si>
  <si>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</si>
  <si>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</si>
  <si>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</si>
  <si>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</si>
  <si>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</si>
  <si>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</si>
  <si>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</si>
  <si>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</si>
  <si>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</si>
  <si>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</si>
  <si>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</si>
  <si>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</si>
  <si>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</si>
  <si>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</si>
  <si>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</si>
  <si>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</si>
  <si>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</si>
  <si>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</si>
  <si>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</si>
  <si>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</si>
  <si>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</si>
  <si>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</si>
  <si>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</si>
  <si>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</si>
  <si>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</si>
  <si>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</si>
  <si>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</si>
  <si>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</si>
  <si>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</si>
  <si>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</si>
  <si>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</si>
  <si>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</si>
  <si>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</si>
  <si>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</si>
  <si>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</si>
  <si>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</si>
  <si>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</si>
  <si>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</si>
  <si>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</si>
  <si>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</si>
  <si>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</si>
  <si>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</si>
  <si>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</si>
  <si>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</si>
  <si>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</si>
  <si>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</si>
  <si>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</si>
  <si>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</si>
  <si>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</si>
  <si>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</si>
  <si>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</si>
  <si>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</si>
  <si>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</si>
  <si>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</si>
  <si>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</si>
  <si>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</si>
  <si>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</si>
  <si>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</si>
  <si>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</si>
  <si>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</si>
  <si>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</si>
  <si>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</si>
  <si>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</si>
  <si>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</si>
  <si>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</si>
  <si>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</si>
  <si>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</si>
  <si>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</si>
  <si>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</si>
  <si>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</si>
  <si>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</si>
  <si>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</si>
  <si>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</si>
  <si>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</si>
  <si>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</si>
  <si>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</si>
  <si>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</si>
  <si>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</si>
  <si>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</si>
  <si>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</si>
  <si>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</si>
  <si>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</si>
  <si>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</si>
  <si>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</si>
  <si>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</si>
  <si>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</si>
  <si>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</si>
  <si>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</si>
  <si>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</si>
  <si>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</si>
  <si>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</si>
  <si>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</si>
  <si>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</si>
  <si>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</si>
  <si>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</si>
  <si>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</si>
  <si>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</si>
  <si>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</si>
  <si>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</si>
  <si>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</si>
  <si>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</si>
  <si>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</si>
  <si>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</si>
  <si>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</si>
  <si>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</si>
  <si>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</si>
  <si>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</si>
  <si>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</si>
  <si>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</si>
  <si>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</si>
  <si>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</si>
  <si>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</si>
  <si>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</si>
  <si>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
Le champs freetext sert à passer les informations de gestion des évènements (main courante sans les informations médicales privilégiées).</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</si>
  <si>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</si>
  <si>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</si>
  <si>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</si>
  <si>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</si>
  <si>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</si>
  <si>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</si>
  <si>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</si>
  <si>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</si>
  <si>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</si>
  <si>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</si>
  <si>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</si>
  <si>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</si>
  <si>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</si>
  <si>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</si>
  <si>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</si>
  <si>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</si>
  <si>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</si>
  <si>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</si>
  <si>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</si>
  <si>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</si>
  <si>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</si>
  <si>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</si>
  <si>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</si>
  <si>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</si>
  <si>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</si>
  <si>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</si>
  <si>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</si>
  <si>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</si>
  <si>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</si>
  <si>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</si>
  <si>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</si>
  <si>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</si>
  <si>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Type de dossier</t>
  </si>
  <si>
    <t>D/DR/DRM si cycle SI-SAMU implémenté</t>
  </si>
  <si>
    <t>DR</t>
  </si>
  <si>
    <t>type</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</si>
  <si>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</si>
  <si>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</si>
  <si>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</si>
  <si>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</si>
  <si>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</si>
  <si>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</si>
  <si>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</si>
  <si>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</si>
  <si>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</si>
  <si>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</si>
  <si>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</si>
  <si>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</si>
  <si>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</si>
  <si>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</si>
  <si>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</si>
  <si>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</si>
  <si>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</si>
  <si>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</si>
  <si>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</si>
  <si>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</si>
  <si>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</si>
  <si>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</si>
  <si>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</si>
  <si>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</si>
  <si>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</si>
  <si>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</si>
  <si>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</si>
  <si>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</si>
  <si>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</si>
  <si>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</si>
  <si>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</si>
  <si>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</si>
  <si>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</si>
  <si>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</si>
  <si>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</si>
  <si>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</si>
  <si>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</si>
  <si>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</si>
  <si>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</si>
  <si>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</si>
  <si>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</si>
  <si>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</si>
  <si>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</si>
  <si>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</si>
  <si>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</si>
  <si>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</si>
  <si>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</si>
  <si>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</si>
  <si>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</si>
  <si>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</si>
  <si>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</si>
  <si>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</si>
  <si>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</si>
  <si>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</si>
  <si>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</si>
  <si>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</si>
  <si>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</si>
  <si>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</si>
  <si>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</si>
  <si>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</si>
  <si>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</si>
  <si>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</si>
  <si>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</si>
  <si>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</si>
  <si>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</si>
  <si>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</si>
  <si>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</si>
  <si>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</si>
  <si>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</si>
  <si>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</si>
  <si>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</si>
  <si>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</si>
  <si>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</si>
  <si>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</si>
  <si>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</si>
  <si>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</si>
  <si>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</si>
  <si>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</si>
  <si>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</si>
  <si>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</si>
  <si>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</si>
  <si>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</si>
  <si>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</si>
  <si>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</si>
  <si>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</si>
  <si>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</si>
  <si>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</si>
  <si>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</si>
  <si>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</si>
  <si>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</si>
  <si>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</si>
  <si>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</si>
  <si>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</si>
  <si>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</si>
  <si>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</si>
  <si>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</si>
  <si>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</si>
  <si>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</si>
  <si>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</si>
  <si>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</si>
  <si>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</si>
  <si>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</si>
  <si>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</si>
  <si>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</si>
  <si>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</si>
  <si>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</si>
  <si>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</si>
  <si>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</si>
  <si>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</si>
  <si>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</si>
  <si>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</si>
  <si>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</si>
  <si>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</si>
  <si>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</si>
  <si>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</si>
  <si>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</si>
  <si>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</si>
  <si>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</si>
  <si>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</si>
  <si>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</si>
  <si>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</si>
  <si>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</si>
  <si>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</si>
  <si>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</si>
  <si>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</si>
  <si>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</si>
  <si>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</si>
  <si>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</si>
  <si>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</si>
  <si>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</si>
  <si>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</si>
  <si>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</si>
  <si>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</si>
  <si>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</si>
  <si>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</si>
  <si>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</si>
  <si>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</si>
  <si>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</si>
  <si>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</si>
  <si>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</si>
  <si>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</si>
  <si>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</si>
  <si>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</si>
  <si>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</si>
  <si>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</si>
  <si>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</si>
  <si>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</si>
  <si>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</si>
  <si>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</si>
  <si>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</si>
  <si>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</si>
  <si>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</si>
  <si>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</si>
  <si>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</si>
  <si>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</si>
  <si>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</si>
  <si>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</si>
  <si>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</si>
  <si>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</si>
  <si>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</si>
  <si>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</si>
  <si>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</si>
  <si>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</si>
  <si>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</si>
  <si>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</si>
  <si>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</si>
  <si>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</si>
  <si>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</si>
  <si>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</si>
  <si>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</si>
  <si>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</si>
  <si>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</si>
  <si>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</si>
  <si>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</si>
  <si>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</si>
  <si>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</si>
  <si>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</si>
  <si>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</si>
  <si>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</si>
  <si>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</si>
  <si>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</si>
  <si>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</si>
  <si>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</si>
  <si>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</si>
  <si>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</si>
  <si>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</si>
  <si>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</si>
  <si>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</si>
  <si>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</si>
  <si>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</si>
  <si>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</si>
  <si>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</si>
  <si>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</si>
  <si>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</si>
  <si>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</si>
  <si>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</si>
  <si>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</si>
  <si>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</si>
  <si>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</si>
  <si>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</si>
  <si>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</si>
  <si>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</si>
  <si>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</si>
  <si>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</si>
  <si>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</si>
  <si>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</si>
  <si>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</si>
  <si>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</si>
  <si>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</si>
  <si>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</si>
  <si>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</si>
  <si>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</si>
  <si>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</si>
  <si>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</si>
  <si>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</si>
  <si>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</si>
  <si>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</si>
  <si>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</si>
  <si>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</si>
  <si>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</si>
  <si>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</si>
  <si>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</si>
  <si>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</si>
  <si>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</si>
  <si>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</si>
  <si>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</si>
  <si>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</si>
  <si>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</si>
  <si>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</si>
  <si>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</si>
  <si>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</si>
  <si>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</si>
  <si>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</si>
  <si>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</si>
  <si>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</si>
  <si>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</si>
  <si>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</si>
  <si>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</si>
  <si>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</si>
  <si>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</si>
  <si>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</si>
  <si>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</si>
  <si>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</si>
  <si>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</si>
  <si>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</si>
  <si>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</si>
  <si>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</si>
  <si>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</si>
  <si>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</si>
  <si>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</si>
  <si>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</si>
  <si>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</si>
  <si>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</si>
  <si>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</si>
  <si>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</si>
  <si>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</si>
  <si>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</si>
  <si>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</si>
  <si>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</si>
  <si>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</si>
  <si>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</si>
  <si>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</si>
  <si>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</si>
  <si>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</si>
  <si>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</si>
  <si>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</si>
  <si>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</si>
  <si>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</si>
  <si>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</si>
  <si>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</si>
  <si>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</si>
  <si>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</si>
  <si>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</si>
  <si>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</si>
  <si>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</si>
  <si>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</si>
  <si>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</si>
  <si>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</si>
  <si>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</si>
  <si>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</si>
  <si>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</si>
  <si>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</si>
  <si>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</si>
  <si>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</si>
  <si>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</si>
  <si>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</si>
  <si>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</si>
  <si>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</si>
  <si>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</si>
  <si>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</si>
  <si>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</si>
  <si>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</si>
  <si>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</si>
  <si>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</si>
  <si>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</si>
  <si>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</si>
  <si>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</si>
  <si>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</si>
  <si>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</si>
  <si>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</si>
  <si>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</si>
  <si>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</si>
  <si>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</si>
  <si>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</si>
  <si>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</si>
  <si>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</si>
  <si>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</si>
  <si>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</si>
  <si>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</si>
  <si>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</si>
  <si>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</si>
  <si>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</si>
  <si>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</si>
  <si>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</si>
  <si>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</si>
  <si>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</si>
  <si>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</si>
  <si>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</si>
  <si>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</si>
  <si>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</si>
  <si>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</si>
  <si>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</si>
  <si>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</si>
  <si>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</si>
  <si>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</si>
  <si>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</si>
  <si>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</si>
  <si>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</si>
  <si>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</si>
  <si>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</si>
  <si>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</si>
  <si>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</si>
  <si>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</si>
  <si>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</si>
  <si>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</si>
  <si>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</si>
  <si>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</si>
  <si>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</si>
  <si>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</si>
  <si>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</si>
  <si>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</si>
  <si>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</si>
  <si>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</si>
  <si>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</si>
  <si>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</si>
  <si>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</si>
  <si>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</si>
  <si>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</si>
  <si>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</si>
  <si>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</si>
  <si>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</si>
  <si>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</si>
  <si>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</si>
  <si>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</si>
  <si>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</si>
  <si>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</si>
  <si>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</si>
  <si>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</si>
  <si>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</si>
  <si>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</si>
  <si>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</si>
  <si>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</si>
  <si>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</si>
  <si>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</si>
  <si>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</si>
  <si>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</si>
  <si>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</si>
  <si>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</si>
  <si>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</si>
  <si>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</si>
  <si>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</si>
  <si>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</si>
  <si>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</si>
  <si>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</si>
  <si>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</si>
  <si>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</si>
  <si>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</si>
  <si>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</si>
  <si>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</si>
  <si>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</si>
  <si>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</si>
  <si>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</si>
  <si>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</si>
  <si>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</si>
  <si>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 / victime</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</si>
  <si>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</si>
  <si>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</si>
  <si>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</si>
  <si>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</si>
  <si>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</si>
  <si>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</si>
  <si>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</si>
  <si>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</si>
  <si>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</si>
  <si>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</si>
  <si>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</si>
  <si>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</si>
  <si>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</si>
  <si>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</si>
  <si>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</si>
  <si>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</si>
  <si>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</si>
  <si>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</si>
  <si>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</si>
  <si>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</si>
  <si>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</si>
  <si>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</si>
  <si>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</si>
  <si>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</si>
  <si>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</si>
  <si>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</si>
  <si>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</si>
  <si>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</si>
  <si>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</si>
  <si>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</si>
  <si>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</si>
  <si>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</si>
  <si>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</si>
  <si>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</si>
  <si>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</si>
  <si>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</si>
  <si>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</si>
  <si>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</si>
  <si>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</si>
  <si>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</si>
  <si>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</si>
  <si>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</si>
  <si>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</si>
  <si>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</si>
  <si>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</si>
  <si>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</si>
  <si>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</si>
  <si>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</si>
  <si>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</si>
  <si>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</si>
  <si>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</si>
  <si>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</si>
  <si>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</si>
  <si>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</si>
  <si>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</si>
  <si>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</si>
  <si>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</si>
  <si>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</si>
  <si>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</si>
  <si>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</si>
  <si>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</si>
  <si>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</si>
  <si>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</si>
  <si>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</si>
  <si>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</si>
  <si>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</si>
  <si>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</si>
  <si>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</si>
  <si>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</si>
  <si>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</si>
  <si>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</si>
  <si>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</si>
  <si>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</si>
  <si>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</si>
  <si>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</si>
  <si>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</si>
  <si>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</si>
  <si>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</si>
  <si>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</si>
  <si>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</si>
  <si>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</si>
  <si>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</si>
  <si>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</si>
  <si>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</si>
  <si>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</si>
  <si>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</si>
  <si>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</si>
  <si>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</si>
  <si>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</si>
  <si>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</si>
  <si>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</si>
  <si>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</si>
  <si>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</si>
  <si>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</si>
  <si>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</si>
  <si>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</si>
  <si>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</si>
  <si>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</si>
  <si>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</si>
  <si>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</si>
  <si>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</si>
  <si>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</si>
  <si>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</si>
  <si>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</si>
  <si>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</si>
  <si>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</si>
  <si>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</si>
  <si>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</si>
  <si>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</si>
  <si>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</si>
  <si>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</si>
  <si>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</si>
  <si>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</si>
  <si>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</si>
  <si>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</si>
  <si>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</si>
  <si>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</si>
  <si>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</si>
  <si>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</si>
  <si>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</si>
  <si>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</si>
  <si>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</si>
  <si>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</si>
  <si>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</si>
  <si>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</si>
  <si>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</si>
  <si>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</si>
  <si>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</si>
  <si>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</si>
  <si>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</si>
  <si>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</si>
  <si>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</si>
  <si>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</si>
  <si>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</si>
  <si>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</si>
  <si>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</si>
  <si>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</si>
  <si>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</si>
  <si>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</si>
  <si>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</si>
  <si>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</si>
  <si>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</si>
  <si>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</si>
  <si>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</si>
  <si>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</si>
  <si>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</si>
  <si>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</si>
  <si>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</si>
  <si>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</si>
  <si>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</si>
  <si>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</si>
  <si>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</si>
  <si>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</si>
  <si>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</si>
  <si>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</si>
  <si>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</si>
  <si>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</si>
  <si>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 : 
- A transporter
- Laisser sur place</t>
  </si>
  <si>
    <t>laissé sur place, décédé, ou transporté</t>
  </si>
  <si>
    <t>orientation</t>
  </si>
  <si>
    <t>nomenclature SI SAMU NOMENC_TYPE_DEC_ORiENT</t>
  </si>
  <si>
    <t>a suppr ?</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</si>
  <si>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</si>
  <si>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</si>
  <si>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</si>
  <si>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</si>
  <si>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</si>
  <si>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</si>
  <si>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</si>
  <si>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</si>
  <si>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</si>
  <si>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</si>
  <si>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</si>
  <si>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</si>
  <si>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</si>
  <si>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</si>
  <si>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</si>
  <si>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</si>
  <si>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</si>
  <si>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</si>
  <si>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</si>
  <si>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</si>
  <si>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</si>
  <si>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</si>
  <si>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</si>
  <si>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</si>
  <si>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</si>
  <si>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</si>
  <si>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</si>
  <si>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</si>
  <si>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</si>
  <si>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</si>
  <si>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</si>
  <si>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</si>
  <si>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</si>
  <si>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</si>
  <si>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</si>
  <si>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</si>
  <si>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</si>
  <si>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</si>
  <si>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</si>
  <si>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</si>
  <si>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</si>
  <si>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</si>
  <si>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</si>
  <si>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</si>
  <si>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</si>
  <si>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</si>
  <si>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</si>
  <si>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</si>
  <si>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</si>
  <si>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</si>
  <si>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</si>
  <si>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</si>
  <si>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</si>
  <si>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</si>
  <si>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</si>
  <si>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</si>
  <si>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</si>
  <si>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</si>
  <si>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</si>
  <si>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</si>
  <si>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</si>
  <si>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</si>
  <si>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</si>
  <si>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</si>
  <si>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</si>
  <si>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</si>
  <si>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</si>
  <si>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</si>
  <si>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</si>
  <si>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</si>
  <si>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</si>
  <si>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</si>
  <si>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</si>
  <si>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</si>
  <si>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</si>
  <si>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</si>
  <si>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</si>
  <si>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</si>
  <si>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</si>
  <si>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</si>
  <si>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</si>
  <si>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</si>
  <si>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</si>
  <si>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</si>
  <si>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</si>
  <si>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</si>
  <si>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</si>
  <si>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</si>
  <si>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</si>
  <si>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</si>
  <si>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</si>
  <si>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</si>
  <si>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</si>
  <si>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</si>
  <si>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</si>
  <si>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</si>
  <si>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</si>
  <si>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</si>
  <si>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</si>
  <si>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</si>
  <si>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</si>
  <si>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</si>
  <si>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</si>
  <si>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</si>
  <si>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</si>
  <si>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</si>
  <si>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</si>
  <si>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</si>
  <si>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</si>
  <si>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</si>
  <si>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</si>
  <si>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</si>
  <si>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</si>
  <si>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</si>
  <si>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</si>
  <si>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</si>
  <si>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</si>
  <si>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</si>
  <si>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</si>
  <si>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</si>
  <si>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</si>
  <si>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</si>
  <si>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</si>
  <si>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</si>
  <si>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</si>
  <si>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</si>
  <si>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</si>
  <si>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</si>
  <si>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</si>
  <si>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</si>
  <si>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</si>
  <si>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</si>
  <si>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</si>
  <si>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</si>
  <si>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</si>
  <si>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</si>
  <si>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</si>
  <si>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</si>
  <si>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</si>
  <si>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</si>
  <si>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</si>
  <si>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</si>
  <si>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</si>
  <si>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</si>
  <si>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</si>
  <si>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</si>
  <si>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</si>
  <si>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</si>
  <si>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</si>
  <si>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</si>
  <si>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</si>
  <si>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</si>
  <si>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</si>
  <si>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</si>
  <si>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</si>
  <si>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</si>
  <si>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</si>
  <si>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</si>
  <si>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</si>
  <si>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</si>
  <si>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</si>
  <si>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</si>
  <si>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</si>
  <si>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</si>
  <si>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</si>
  <si>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</si>
  <si>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</si>
  <si>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</si>
  <si>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</si>
  <si>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</si>
  <si>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</si>
  <si>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</si>
  <si>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</si>
  <si>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</si>
  <si>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</si>
  <si>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</si>
  <si>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</si>
  <si>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</si>
  <si>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</si>
  <si>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</si>
  <si>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</si>
  <si>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</si>
  <si>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</si>
  <si>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</si>
  <si>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</si>
  <si>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</si>
  <si>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</si>
  <si>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</si>
  <si>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</si>
  <si>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</si>
  <si>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</si>
  <si>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</si>
  <si>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</si>
  <si>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</si>
  <si>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</si>
  <si>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</si>
  <si>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</si>
  <si>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</si>
  <si>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</si>
  <si>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</si>
  <si>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</si>
  <si>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</si>
  <si>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</si>
  <si>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</si>
  <si>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</si>
  <si>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</si>
  <si>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</si>
  <si>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</si>
  <si>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</si>
  <si>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</si>
  <si>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</si>
  <si>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</si>
  <si>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</si>
  <si>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</si>
  <si>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</si>
  <si>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</si>
  <si>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</si>
  <si>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</si>
  <si>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</si>
  <si>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</si>
  <si>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</si>
  <si>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</si>
  <si>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</si>
  <si>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</si>
  <si>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</si>
  <si>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</si>
  <si>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</si>
  <si>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</si>
  <si>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</si>
  <si>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</si>
  <si>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</si>
  <si>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</si>
  <si>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</si>
  <si>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</si>
  <si>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</si>
  <si>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</si>
  <si>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</si>
  <si>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</si>
  <si>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</si>
  <si>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</si>
  <si>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</si>
  <si>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</si>
  <si>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</si>
  <si>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</si>
  <si>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</si>
  <si>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</si>
  <si>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</si>
  <si>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</si>
  <si>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</si>
  <si>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</si>
  <si>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</si>
  <si>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</si>
  <si>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</si>
  <si>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</si>
  <si>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</si>
  <si>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</si>
  <si>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</si>
  <si>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</si>
  <si>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</si>
  <si>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</si>
  <si>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</si>
  <si>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</si>
  <si>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</si>
  <si>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</si>
  <si>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</si>
  <si>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</si>
  <si>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</si>
  <si>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</si>
  <si>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</si>
  <si>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</si>
  <si>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</si>
  <si>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</si>
  <si>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</si>
  <si>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</si>
  <si>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</si>
  <si>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</si>
  <si>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</si>
  <si>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</si>
  <si>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</si>
  <si>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</si>
  <si>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</si>
  <si>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</si>
  <si>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</si>
  <si>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</si>
  <si>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</si>
  <si>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</si>
  <si>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</si>
  <si>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</si>
  <si>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</si>
  <si>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</si>
  <si>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</si>
  <si>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</si>
  <si>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</si>
  <si>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</si>
  <si>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</si>
  <si>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</si>
  <si>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</si>
  <si>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</si>
  <si>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</si>
  <si>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</si>
  <si>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</si>
  <si>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</si>
  <si>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</si>
  <si>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</si>
  <si>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</si>
  <si>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</si>
  <si>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</si>
  <si>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</si>
  <si>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</si>
  <si>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</si>
  <si>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</si>
  <si>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</si>
  <si>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</si>
  <si>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</si>
  <si>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</si>
  <si>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</si>
  <si>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</si>
  <si>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</si>
  <si>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</si>
  <si>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</si>
  <si>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</si>
  <si>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</si>
  <si>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</si>
  <si>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</si>
  <si>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</si>
  <si>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</si>
  <si>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</si>
  <si>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</si>
  <si>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</si>
  <si>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</si>
  <si>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</si>
  <si>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</si>
  <si>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</si>
  <si>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</si>
  <si>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</si>
  <si>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</si>
  <si>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</si>
  <si>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</si>
  <si>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</si>
  <si>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</si>
  <si>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</si>
  <si>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</si>
  <si>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</si>
  <si>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</si>
  <si>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</si>
  <si>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</si>
  <si>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</si>
  <si>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</si>
  <si>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</si>
  <si>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</si>
  <si>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</si>
  <si>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</si>
  <si>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</si>
  <si>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</si>
  <si>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</si>
  <si>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</si>
  <si>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</si>
  <si>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</si>
  <si>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</si>
  <si>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</si>
  <si>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</si>
  <si>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</si>
  <si>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</si>
  <si>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</si>
  <si>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</si>
  <si>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</si>
  <si>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</si>
  <si>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</si>
  <si>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</si>
  <si>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</si>
  <si>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</si>
  <si>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</si>
  <si>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</si>
  <si>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</si>
  <si>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</si>
  <si>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</si>
  <si>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</si>
  <si>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</si>
  <si>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</si>
  <si>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</si>
  <si>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</si>
  <si>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</si>
  <si>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</si>
  <si>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</si>
  <si>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</si>
  <si>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</si>
  <si>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</si>
  <si>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</si>
  <si>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</si>
  <si>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</si>
  <si>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</si>
  <si>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</si>
  <si>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</si>
  <si>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</si>
  <si>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</si>
  <si>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</si>
  <si>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</si>
  <si>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</si>
  <si>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</si>
  <si>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</si>
  <si>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</si>
  <si>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</si>
  <si>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</si>
  <si>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</si>
  <si>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</si>
  <si>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</si>
  <si>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</si>
  <si>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</si>
  <si>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</si>
  <si>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</si>
  <si>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</si>
  <si>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</si>
  <si>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</si>
  <si>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</si>
  <si>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</si>
  <si>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</si>
  <si>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</si>
  <si>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</si>
  <si>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</si>
  <si>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</si>
  <si>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</si>
  <si>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</si>
  <si>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</si>
  <si>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</si>
  <si>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</si>
  <si>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</si>
  <si>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</si>
  <si>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</si>
  <si>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</si>
  <si>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</si>
  <si>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</si>
  <si>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</si>
  <si>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</si>
  <si>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</si>
  <si>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</si>
  <si>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</si>
  <si>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</si>
  <si>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</si>
  <si>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</si>
  <si>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</si>
  <si>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</si>
  <si>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</si>
  <si>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</si>
  <si>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</si>
  <si>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</si>
  <si>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</si>
  <si>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</si>
  <si>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</si>
  <si>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</si>
  <si>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</si>
  <si>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</si>
  <si>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</si>
  <si>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</si>
  <si>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</si>
  <si>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</si>
  <si>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</si>
  <si>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</si>
  <si>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</si>
  <si>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</si>
  <si>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</si>
  <si>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</si>
  <si>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</si>
  <si>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</si>
  <si>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</si>
  <si>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</si>
  <si>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</si>
  <si>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</si>
  <si>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</si>
  <si>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</si>
  <si>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</si>
  <si>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</si>
  <si>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</si>
  <si>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</si>
  <si>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</si>
  <si>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</si>
  <si>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</si>
  <si>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</si>
  <si>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</si>
  <si>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</si>
  <si>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</si>
  <si>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</si>
  <si>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</si>
  <si>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</si>
  <si>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</si>
  <si>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</si>
  <si>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</si>
  <si>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</si>
  <si>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</si>
  <si>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</si>
  <si>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</si>
  <si>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</si>
  <si>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</si>
  <si>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</si>
  <si>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</si>
  <si>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</si>
  <si>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</si>
  <si>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</si>
  <si>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Bilan Patient/Victime</t>
  </si>
  <si>
    <t>Numéro de l’affaire</t>
  </si>
  <si>
    <t>Donnée Générée par NexSIS. Donnée obligatoire pour permettre le lien entre le CRSS et l'affaire</t>
  </si>
  <si>
    <t>Oui</t>
  </si>
  <si>
    <t>Numéro de l’opération</t>
  </si>
  <si>
    <t xml:space="preserve">Donnée générée par NexSIS. N’est pas obligatoire mais permet une facilité de traitement </t>
  </si>
  <si>
    <t xml:space="preserve">Identifiant victime SGV </t>
  </si>
  <si>
    <t xml:space="preserve">Identifiant unique généré par le SGV lorsque la prise en charge y est déclarée. Cette donnée permet de remonter jusque la donnée au sein du SGV pour la tracabilité. </t>
  </si>
  <si>
    <t>Nom de la victime</t>
  </si>
  <si>
    <t>Non</t>
  </si>
  <si>
    <t>Prénom de la victime</t>
  </si>
  <si>
    <t>Sexe</t>
  </si>
  <si>
    <t>Sexe de la victime (H / F / I)</t>
  </si>
  <si>
    <t>Nationalité</t>
  </si>
  <si>
    <t>Nationnalité de la victime (format ISO 3166 Alpha-3)</t>
  </si>
  <si>
    <t>Date de naissance / Âge</t>
  </si>
  <si>
    <t>Date de naissance de la victime ou age approximatif si la date de naissance est inconnue. La date de naissance est spécifiée au format ISO8601 (YYYY-MM-DD), l'âge approxiamtif est spécifié au format ISO8601 (P42Y pour un age approximatif de 42 ans).</t>
  </si>
  <si>
    <t>Type de pathologie</t>
  </si>
  <si>
    <t>Maladie / Intoxication / Traumatisme / Non défini</t>
  </si>
  <si>
    <t>Gravité à l'arrivée des secours</t>
  </si>
  <si>
    <t>Catégorisation SINUS. Saisie par le chef d'agrès dans l'interface CRSS NexSIS dans la majorité des cas. (NC / IMP / UR / UA / DCD)</t>
  </si>
  <si>
    <t>Gravité à la fin de prise en charge</t>
  </si>
  <si>
    <t>Catégorisation SINUS (NC / IMP / UR / UA / DCD)</t>
  </si>
  <si>
    <t>Table de référence des destinations à définir. Cette destination doit également être hors FINESS (Poste médical avancé, laissé sur place, services hospitaliers frontaliers...)</t>
  </si>
  <si>
    <t>Date et heure de départ vers le centre hospitalier</t>
  </si>
  <si>
    <t>Format ISO8601 (YYYY-MM-DD'T'HH:mm:ss.sss'Z') en UTC</t>
  </si>
  <si>
    <t>date-time</t>
  </si>
  <si>
    <t>Date et heure d’arrivée vers le centre hospitalier</t>
  </si>
  <si>
    <t>Agent public - Service</t>
  </si>
  <si>
    <t>Catégorie de victime : sapeur-pompier, policier, gendarme, médecin, …</t>
  </si>
  <si>
    <t>Agent public - Unité</t>
  </si>
  <si>
    <t>Organisation d'attachement : BSPP, DSPAP 94, SAMU 83, …</t>
  </si>
  <si>
    <t>Agent public - Matricule</t>
  </si>
  <si>
    <t>Identifiant chiffré de l’agent</t>
  </si>
  <si>
    <t>Numéro de l’évènement</t>
  </si>
  <si>
    <t>Défini le numéro affilié à une situation spécifique (notion d'évènement NexSIS).</t>
  </si>
  <si>
    <t>Numéro du bracelet</t>
  </si>
  <si>
    <t>Contenu du bracelet lu.</t>
  </si>
  <si>
    <t>Type de bracelet</t>
  </si>
  <si>
    <t>SINUS, SIS, autre.</t>
  </si>
  <si>
    <t xml:space="preserve">Type de vecteur </t>
  </si>
  <si>
    <t>Liste déroulante des véhicules possibles pour le transport (VSAV, AP, SMUR, ...).</t>
  </si>
  <si>
    <t>Identifiant du vecteur effectuant le transport</t>
  </si>
  <si>
    <t>Identifiant libre identifiant le vecteur.</t>
  </si>
  <si>
    <t>Vecteur Médicalisation</t>
  </si>
  <si>
    <t>Stocke true si le vecteur était médicalisé, false sinon.</t>
  </si>
  <si>
    <t>boolean</t>
  </si>
  <si>
    <t>Vecteur Paramédicalisation</t>
  </si>
  <si>
    <t>Stocke true si le vecteur était paramédicalisé, false sinon.</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</si>
  <si>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</si>
  <si>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</si>
  <si>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</si>
  <si>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</si>
  <si>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</si>
  <si>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</si>
  <si>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</si>
  <si>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</si>
  <si>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</si>
  <si>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</si>
  <si>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</si>
  <si>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</si>
  <si>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</si>
  <si>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</si>
  <si>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RPIS</t>
  </si>
  <si>
    <t>Evènement</t>
  </si>
  <si>
    <t>Identifiant du SAMU régulant</t>
  </si>
  <si>
    <t>samuId</t>
  </si>
  <si>
    <t>Identifiant du dossier de régulation médicale (DRM)</t>
  </si>
  <si>
    <t>fileId</t>
  </si>
  <si>
    <t>Date et heure de création du dossier de régulation</t>
  </si>
  <si>
    <t>Date et heure de la décision d’engagement du SMUR</t>
  </si>
  <si>
    <t>Régulation médicale</t>
  </si>
  <si>
    <t>Circonstances ayant données lieu à l’appel</t>
  </si>
  <si>
    <t xml:space="preserve">Motif de recours </t>
  </si>
  <si>
    <t>Lieu d'intervention</t>
  </si>
  <si>
    <t>Type de lieu d’intervention</t>
  </si>
  <si>
    <t xml:space="preserve">FINESS géographique de l’établissement </t>
  </si>
  <si>
    <t>finess</t>
  </si>
  <si>
    <t xml:space="preserve">Unité fonctionnelle </t>
  </si>
  <si>
    <t>unit</t>
  </si>
  <si>
    <t xml:space="preserve">Maintenance </t>
  </si>
  <si>
    <t>geoPositionUpdate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</si>
  <si>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</si>
  <si>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</si>
  <si>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</si>
  <si>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</si>
  <si>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</si>
  <si>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</si>
  <si>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</si>
  <si>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</si>
  <si>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</si>
  <si>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</si>
  <si>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</si>
  <si>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</si>
  <si>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</si>
  <si>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</si>
  <si>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</si>
  <si>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</si>
  <si>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</si>
  <si>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</si>
  <si>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</si>
  <si>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</si>
  <si>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</si>
  <si>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</si>
  <si>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</si>
  <si>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</si>
  <si>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</si>
  <si>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</si>
  <si>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</si>
  <si>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</si>
  <si>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</si>
  <si>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</si>
  <si>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</si>
  <si>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</si>
  <si>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</si>
  <si>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</si>
  <si>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</si>
  <si>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</si>
  <si>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</si>
  <si>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</si>
  <si>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</si>
  <si>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</si>
  <si>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</si>
  <si>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</si>
  <si>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</si>
  <si>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</si>
  <si>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</si>
  <si>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resourceId</t>
  </si>
  <si>
    <t>geoResourceDetails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</si>
  <si>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</si>
  <si>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</si>
  <si>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</si>
  <si>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</si>
  <si>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</si>
  <si>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</si>
  <si>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</si>
  <si>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</si>
  <si>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</si>
  <si>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</si>
  <si>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</si>
  <si>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</si>
  <si>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</si>
  <si>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</si>
  <si>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</si>
  <si>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</si>
  <si>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</si>
  <si>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</si>
  <si>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</si>
  <si>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</si>
  <si>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</si>
  <si>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</si>
  <si>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</si>
  <si>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</si>
  <si>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</si>
  <si>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</si>
  <si>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</si>
  <si>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</si>
  <si>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</si>
  <si>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</si>
  <si>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</si>
  <si>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</si>
  <si>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</si>
  <si>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</si>
  <si>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</si>
  <si>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</si>
  <si>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</si>
  <si>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</si>
  <si>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</si>
  <si>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</si>
  <si>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</si>
  <si>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</si>
  <si>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</si>
  <si>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</si>
  <si>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</si>
  <si>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</si>
  <si>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</si>
  <si>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</si>
  <si>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</si>
  <si>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</si>
  <si>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</si>
  <si>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</si>
  <si>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</si>
  <si>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</si>
  <si>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</si>
  <si>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</si>
  <si>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</si>
  <si>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</si>
  <si>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</si>
  <si>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</si>
  <si>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</si>
  <si>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</si>
  <si>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</si>
  <si>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</si>
  <si>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</si>
  <si>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</si>
  <si>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</si>
  <si>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</si>
  <si>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</si>
  <si>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</si>
  <si>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</si>
  <si>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</si>
  <si>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</si>
  <si>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Identifiant Patient</t>
  </si>
  <si>
    <t>NIR</t>
  </si>
  <si>
    <t>Commune de résidence</t>
  </si>
  <si>
    <t>Code postal de résidence</t>
  </si>
  <si>
    <t>Pays de résidence</t>
  </si>
  <si>
    <t>nir</t>
  </si>
  <si>
    <t>cityCode</t>
  </si>
  <si>
    <t>Adresse de résidence</t>
  </si>
  <si>
    <t>residentialAddress</t>
  </si>
  <si>
    <t>Adresse de l'intervention</t>
  </si>
  <si>
    <t>ID vecteur partagé</t>
  </si>
  <si>
    <t>Identifiant du véhicule terrestre / aérien / maritime de transport principal (= celui dans lequel se trouve le patient), permettant d'associer la décision à un véhicule spécifique + au patient.</t>
  </si>
  <si>
    <t>Type de ressource/moyen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</si>
</sst>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6">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strike/>
      <sz val="11"/>
      <color rgb="FFFF0000"/>
      <name val="Calibri"/>
      <family val="2"/>
      <scheme val="minor"/>
    </font>
    <font>
      <strike/>
      <sz val="11"/>
      <color rgb="FFC00000"/>
      <name val="Calibri"/>
      <family val="2"/>
      <scheme val="minor"/>
    </font>
    <font>
      <b/>
      <strike/>
      <sz val="11"/>
      <name val="Calibri"/>
      <family val="2"/>
      <scheme val="minor"/>
    </font>
  </fonts>
  <fills count="60">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5" fillId="2" borderId="0" applyBorder="0" applyProtection="0"/>
    <xf numFmtId="0" fontId="45" fillId="2" borderId="0" applyBorder="0" applyProtection="0"/>
    <xf numFmtId="0" fontId="5" fillId="2" borderId="0" applyBorder="0" applyProtection="0"/>
    <xf numFmtId="0" fontId="45" fillId="2" borderId="0" applyBorder="0" applyProtection="0"/>
    <xf numFmtId="0" fontId="5" fillId="2" borderId="0" applyBorder="0" applyProtection="0"/>
    <xf numFmtId="0" fontId="7" fillId="0" borderId="0" applyBorder="0" applyProtection="0"/>
    <xf numFmtId="0" fontId="8" fillId="0" borderId="0" applyBorder="0" applyProtection="0"/>
    <xf numFmtId="164" fontId="9" fillId="0" borderId="0" applyBorder="0" applyProtection="0"/>
    <xf numFmtId="0" fontId="45" fillId="2" borderId="0" applyBorder="0" applyProtection="0"/>
    <xf numFmtId="0" fontId="45" fillId="2" borderId="0" applyBorder="0" applyProtection="0"/>
    <xf numFmtId="0" fontId="45" fillId="2" borderId="0" applyBorder="0" applyProtection="0"/>
    <xf numFmtId="0" fontId="5" fillId="2" borderId="0" applyBorder="0" applyProtection="0"/>
    <xf numFmtId="0" fontId="6" fillId="0" borderId="0" applyBorder="0" applyProtection="0"/>
  </cellStyleXfs>
  <cellXfs count="589">
    <xf numFmtId="0" fontId="0" fillId="0" borderId="0" xfId="0"/>
    <xf numFmtId="0" fontId="11" fillId="0" borderId="0" xfId="0" applyFont="1" applyAlignment="1">
      <alignment wrapText="1"/>
    </xf>
    <xf numFmtId="0" fontId="11" fillId="0" borderId="0" xfId="0" applyFont="1"/>
    <xf numFmtId="0" fontId="10" fillId="0" borderId="0" xfId="0" applyFont="1"/>
    <xf numFmtId="0" fontId="8" fillId="0" borderId="0" xfId="0" applyFont="1" applyAlignment="1">
      <alignment vertical="center"/>
    </xf>
    <xf numFmtId="0" fontId="10" fillId="0" borderId="0" xfId="0" applyFont="1" applyAlignment="1">
      <alignment wrapText="1"/>
    </xf>
    <xf numFmtId="0" fontId="15" fillId="0" borderId="0" xfId="0" applyFont="1" applyAlignment="1">
      <alignment wrapText="1"/>
    </xf>
    <xf numFmtId="0" fontId="10" fillId="0" borderId="0" xfId="0" applyFont="1" applyAlignment="1">
      <alignment horizontal="center"/>
    </xf>
    <xf numFmtId="0" fontId="11" fillId="5" borderId="1" xfId="0" applyFont="1" applyFill="1" applyBorder="1" applyAlignment="1">
      <alignment vertical="center"/>
    </xf>
    <xf numFmtId="0" fontId="12" fillId="5" borderId="1" xfId="0" applyFont="1" applyFill="1" applyBorder="1" applyAlignment="1">
      <alignment vertical="center"/>
    </xf>
    <xf numFmtId="0" fontId="10" fillId="5" borderId="1" xfId="0" applyFont="1" applyFill="1" applyBorder="1" applyAlignment="1">
      <alignment vertical="center"/>
    </xf>
    <xf numFmtId="0" fontId="13" fillId="5" borderId="1" xfId="0" applyFont="1" applyFill="1" applyBorder="1" applyAlignment="1">
      <alignment vertical="center"/>
    </xf>
    <xf numFmtId="0" fontId="16" fillId="5" borderId="1" xfId="0" applyFont="1" applyFill="1" applyBorder="1" applyAlignment="1">
      <alignment vertical="center"/>
    </xf>
    <xf numFmtId="0" fontId="13" fillId="5" borderId="0" xfId="0" applyFont="1" applyFill="1" applyAlignment="1">
      <alignment vertical="center" wrapText="1"/>
    </xf>
    <xf numFmtId="0" fontId="10" fillId="5" borderId="0" xfId="0" applyFont="1" applyFill="1" applyAlignment="1">
      <alignment horizontal="center" vertical="center"/>
    </xf>
    <xf numFmtId="0" fontId="10" fillId="5" borderId="0" xfId="0" applyFont="1" applyFill="1" applyAlignment="1">
      <alignment vertical="center"/>
    </xf>
    <xf numFmtId="0" fontId="11" fillId="0" borderId="1" xfId="0" applyFont="1" applyBorder="1" applyAlignment="1">
      <alignment vertical="center"/>
    </xf>
    <xf numFmtId="0" fontId="17" fillId="0" borderId="1" xfId="0" applyFont="1" applyBorder="1" applyAlignment="1">
      <alignment horizontal="left" vertical="center"/>
    </xf>
    <xf numFmtId="0" fontId="18" fillId="4" borderId="1" xfId="0" applyFont="1" applyFill="1" applyBorder="1" applyAlignment="1">
      <alignment vertical="center"/>
    </xf>
    <xf numFmtId="0" fontId="17" fillId="4" borderId="1" xfId="0" applyFont="1" applyFill="1" applyBorder="1" applyAlignment="1">
      <alignment vertical="center"/>
    </xf>
    <xf numFmtId="0" fontId="8" fillId="4" borderId="1" xfId="0" applyFont="1" applyFill="1" applyBorder="1" applyAlignment="1">
      <alignment horizontal="left" vertical="center"/>
    </xf>
    <xf numFmtId="0" fontId="16" fillId="4" borderId="1" xfId="0" applyFont="1" applyFill="1" applyBorder="1" applyAlignment="1">
      <alignment vertical="center"/>
    </xf>
    <xf numFmtId="0" fontId="13" fillId="0" borderId="1" xfId="0" applyFont="1" applyBorder="1" applyAlignment="1">
      <alignment vertical="center"/>
    </xf>
    <xf numFmtId="0" fontId="0" fillId="0" borderId="1" xfId="0" applyBorder="1"/>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13"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vertical="center"/>
    </xf>
    <xf numFmtId="0" fontId="11" fillId="5" borderId="1" xfId="0" applyFont="1" applyFill="1" applyBorder="1"/>
    <xf numFmtId="0" fontId="13" fillId="5" borderId="1" xfId="0" applyFont="1" applyFill="1" applyBorder="1"/>
    <xf numFmtId="0" fontId="13" fillId="5" borderId="1" xfId="0" applyFont="1" applyFill="1" applyBorder="1" applyAlignment="1">
      <alignment wrapText="1"/>
    </xf>
    <xf numFmtId="0" fontId="13" fillId="5" borderId="0" xfId="0" applyFont="1" applyFill="1" applyAlignment="1">
      <alignment wrapText="1"/>
    </xf>
    <xf numFmtId="0" fontId="13" fillId="6" borderId="0" xfId="0" applyFont="1" applyFill="1" applyAlignment="1">
      <alignment horizontal="center" vertical="center" wrapText="1"/>
    </xf>
    <xf numFmtId="0" fontId="10" fillId="5" borderId="0" xfId="0" applyFont="1" applyFill="1"/>
    <xf numFmtId="0" fontId="11" fillId="0" borderId="1" xfId="0" applyFont="1" applyBorder="1"/>
    <xf numFmtId="0" fontId="10" fillId="0" borderId="1" xfId="0" applyFont="1" applyBorder="1"/>
    <xf numFmtId="0" fontId="8" fillId="7" borderId="1" xfId="0" applyFont="1" applyFill="1" applyBorder="1" applyAlignment="1">
      <alignment vertical="center"/>
    </xf>
    <xf numFmtId="0" fontId="13" fillId="0" borderId="0" xfId="0" applyFont="1"/>
    <xf numFmtId="0" fontId="13" fillId="0" borderId="0" xfId="0" applyFont="1" applyAlignment="1">
      <alignment wrapText="1"/>
    </xf>
    <xf numFmtId="0" fontId="21" fillId="0" borderId="0" xfId="0" applyFont="1" applyAlignment="1">
      <alignment horizontal="center" vertical="center" wrapText="1"/>
    </xf>
    <xf numFmtId="0" fontId="13" fillId="0" borderId="0" xfId="0" applyFont="1" applyAlignment="1">
      <alignment horizontal="center" vertical="center" wrapText="1"/>
    </xf>
    <xf numFmtId="0" fontId="11" fillId="0" borderId="2" xfId="0" applyFont="1" applyBorder="1"/>
    <xf numFmtId="0" fontId="8" fillId="7" borderId="1" xfId="0" applyFont="1" applyFill="1" applyBorder="1" applyAlignment="1">
      <alignment vertical="center" wrapText="1"/>
    </xf>
    <xf numFmtId="0" fontId="21" fillId="8" borderId="2" xfId="0" applyFont="1" applyFill="1" applyBorder="1" applyAlignment="1">
      <alignment horizontal="center" vertical="center" wrapText="1"/>
    </xf>
    <xf numFmtId="49" fontId="10" fillId="0" borderId="1" xfId="0" applyNumberFormat="1" applyFont="1" applyBorder="1"/>
    <xf numFmtId="0" fontId="16" fillId="0" borderId="1" xfId="0" applyFont="1" applyBorder="1" applyAlignment="1">
      <alignment vertical="center"/>
    </xf>
    <xf numFmtId="0" fontId="10" fillId="4" borderId="1" xfId="0" applyFont="1" applyFill="1" applyBorder="1"/>
    <xf numFmtId="0" fontId="10" fillId="4" borderId="1" xfId="0" applyFont="1" applyFill="1" applyBorder="1" applyAlignment="1">
      <alignment wrapText="1"/>
    </xf>
    <xf numFmtId="0" fontId="15" fillId="4" borderId="1" xfId="0" applyFont="1" applyFill="1" applyBorder="1" applyAlignment="1">
      <alignment wrapText="1"/>
    </xf>
    <xf numFmtId="0" fontId="8" fillId="0" borderId="1" xfId="0" applyFont="1" applyBorder="1" applyAlignment="1">
      <alignment vertical="center"/>
    </xf>
    <xf numFmtId="0" fontId="8" fillId="9" borderId="1" xfId="0" applyFont="1" applyFill="1" applyBorder="1" applyAlignment="1">
      <alignment vertical="center"/>
    </xf>
    <xf numFmtId="0" fontId="11" fillId="0" borderId="1" xfId="0" applyFont="1" applyBorder="1" applyAlignment="1">
      <alignment wrapText="1"/>
    </xf>
    <xf numFmtId="0" fontId="10" fillId="0" borderId="1" xfId="0" applyFont="1" applyBorder="1" applyAlignment="1">
      <alignment wrapText="1"/>
    </xf>
    <xf numFmtId="49" fontId="10" fillId="0" borderId="1" xfId="0" applyNumberFormat="1" applyFont="1" applyBorder="1" applyAlignment="1">
      <alignment wrapText="1"/>
    </xf>
    <xf numFmtId="0" fontId="8" fillId="9" borderId="1" xfId="0" applyFont="1" applyFill="1" applyBorder="1" applyAlignment="1">
      <alignment vertical="center" wrapText="1"/>
    </xf>
    <xf numFmtId="0" fontId="10" fillId="0" borderId="0" xfId="0" applyFont="1" applyAlignment="1">
      <alignment horizontal="center" wrapText="1"/>
    </xf>
    <xf numFmtId="0" fontId="0" fillId="0" borderId="0" xfId="0" applyAlignment="1">
      <alignment wrapText="1"/>
    </xf>
    <xf numFmtId="0" fontId="23" fillId="0" borderId="0" xfId="0" applyFont="1" applyAlignment="1">
      <alignment wrapText="1"/>
    </xf>
    <xf numFmtId="0" fontId="8" fillId="4" borderId="1" xfId="0" applyFont="1" applyFill="1" applyBorder="1" applyAlignment="1">
      <alignment vertical="center"/>
    </xf>
    <xf numFmtId="0" fontId="8" fillId="7" borderId="0" xfId="0" applyFont="1" applyFill="1" applyAlignment="1">
      <alignment vertical="center" wrapText="1"/>
    </xf>
    <xf numFmtId="0" fontId="24" fillId="0" borderId="0" xfId="0" applyFont="1"/>
    <xf numFmtId="49" fontId="10" fillId="0" borderId="0" xfId="0" applyNumberFormat="1" applyFont="1"/>
    <xf numFmtId="0" fontId="8" fillId="0" borderId="1" xfId="0" applyFont="1" applyBorder="1" applyAlignment="1">
      <alignment vertical="center" wrapText="1"/>
    </xf>
    <xf numFmtId="0" fontId="25" fillId="0" borderId="0" xfId="0" applyFont="1" applyAlignment="1">
      <alignment wrapText="1"/>
    </xf>
    <xf numFmtId="0" fontId="0" fillId="10" borderId="2" xfId="0" applyFill="1" applyBorder="1"/>
    <xf numFmtId="0" fontId="16" fillId="7" borderId="1" xfId="0" applyFont="1" applyFill="1" applyBorder="1" applyAlignment="1">
      <alignment vertical="center"/>
    </xf>
    <xf numFmtId="0" fontId="10" fillId="4" borderId="0" xfId="0" applyFont="1" applyFill="1" applyAlignment="1">
      <alignment wrapText="1"/>
    </xf>
    <xf numFmtId="0" fontId="0" fillId="8" borderId="2" xfId="0" applyFill="1" applyBorder="1"/>
    <xf numFmtId="0" fontId="8" fillId="4" borderId="1" xfId="0" applyFont="1" applyFill="1" applyBorder="1" applyAlignment="1">
      <alignment wrapText="1"/>
    </xf>
    <xf numFmtId="0" fontId="8" fillId="7" borderId="0" xfId="0" applyFont="1" applyFill="1" applyAlignment="1">
      <alignment vertical="center"/>
    </xf>
    <xf numFmtId="0" fontId="10" fillId="3" borderId="1" xfId="0" applyFont="1" applyFill="1" applyBorder="1"/>
    <xf numFmtId="0" fontId="11" fillId="8" borderId="2" xfId="0" applyFont="1" applyFill="1" applyBorder="1" applyAlignment="1">
      <alignment horizontal="center"/>
    </xf>
    <xf numFmtId="0" fontId="11" fillId="8" borderId="0" xfId="0" applyFont="1" applyFill="1" applyAlignment="1">
      <alignment horizontal="center"/>
    </xf>
    <xf numFmtId="0" fontId="11" fillId="8" borderId="0" xfId="0" applyFont="1" applyFill="1" applyAlignment="1">
      <alignment horizontal="center" vertical="center"/>
    </xf>
    <xf numFmtId="0" fontId="0" fillId="8" borderId="0" xfId="0" applyFill="1"/>
    <xf numFmtId="0" fontId="26" fillId="0" borderId="0" xfId="0" applyFont="1"/>
    <xf numFmtId="0" fontId="14" fillId="0" borderId="0" xfId="0" applyFont="1"/>
    <xf numFmtId="0" fontId="14" fillId="0" borderId="1" xfId="0" applyFont="1" applyBorder="1"/>
    <xf numFmtId="0" fontId="27" fillId="7" borderId="1" xfId="0" applyFont="1" applyFill="1" applyBorder="1" applyAlignment="1">
      <alignment vertical="center"/>
    </xf>
    <xf numFmtId="0" fontId="14" fillId="0" borderId="0" xfId="0" applyFont="1" applyAlignment="1">
      <alignment wrapText="1"/>
    </xf>
    <xf numFmtId="0" fontId="14" fillId="0" borderId="0" xfId="0" applyFont="1" applyAlignment="1">
      <alignment horizontal="center"/>
    </xf>
    <xf numFmtId="0" fontId="28" fillId="0" borderId="0" xfId="0" applyFont="1"/>
    <xf numFmtId="0" fontId="16" fillId="5" borderId="1" xfId="0" applyFont="1" applyFill="1" applyBorder="1" applyAlignment="1">
      <alignment vertical="center" wrapText="1"/>
    </xf>
    <xf numFmtId="0" fontId="13" fillId="5" borderId="1" xfId="0" applyFont="1" applyFill="1" applyBorder="1" applyAlignment="1">
      <alignment horizontal="center" vertical="center"/>
    </xf>
    <xf numFmtId="0" fontId="29" fillId="0" borderId="3" xfId="0" applyFont="1" applyBorder="1"/>
    <xf numFmtId="0" fontId="0" fillId="0" borderId="3" xfId="0" applyBorder="1" applyAlignment="1">
      <alignment wrapText="1"/>
    </xf>
    <xf numFmtId="0" fontId="30" fillId="0" borderId="0" xfId="0" applyFont="1"/>
    <xf numFmtId="0" fontId="31" fillId="0" borderId="0" xfId="0" applyFont="1"/>
    <xf numFmtId="0" fontId="32" fillId="0" borderId="0" xfId="0" applyFont="1"/>
    <xf numFmtId="0" fontId="32" fillId="0" borderId="0" xfId="0" applyFont="1" applyAlignment="1">
      <alignment vertical="center"/>
    </xf>
    <xf numFmtId="0" fontId="33" fillId="0" borderId="0" xfId="0" applyFont="1"/>
    <xf numFmtId="0" fontId="34" fillId="0" borderId="0" xfId="0" applyFont="1"/>
    <xf numFmtId="0" fontId="33" fillId="0" borderId="0" xfId="0" applyFont="1" applyAlignment="1">
      <alignment vertical="center"/>
    </xf>
    <xf numFmtId="0" fontId="35" fillId="0" borderId="0" xfId="0" applyFont="1"/>
    <xf numFmtId="0" fontId="0" fillId="0" borderId="0" xfId="0" applyAlignment="1">
      <alignment horizontal="center"/>
    </xf>
    <xf numFmtId="0" fontId="36" fillId="0" borderId="0" xfId="0" applyFont="1" applyAlignment="1">
      <alignment wrapText="1"/>
    </xf>
    <xf numFmtId="0" fontId="16" fillId="5" borderId="1" xfId="0" applyFont="1" applyFill="1" applyBorder="1" applyAlignment="1">
      <alignment wrapText="1"/>
    </xf>
    <xf numFmtId="0" fontId="0" fillId="5" borderId="0" xfId="0" applyFill="1"/>
    <xf numFmtId="0" fontId="16" fillId="4" borderId="1" xfId="0" applyFont="1" applyFill="1" applyBorder="1" applyAlignment="1">
      <alignment wrapText="1"/>
    </xf>
    <xf numFmtId="0" fontId="0" fillId="0" borderId="1" xfId="0" applyBorder="1" applyAlignment="1">
      <alignment horizontal="center"/>
    </xf>
    <xf numFmtId="0" fontId="37" fillId="0" borderId="1" xfId="0" applyFont="1" applyBorder="1" applyAlignment="1">
      <alignment horizontal="center" wrapText="1"/>
    </xf>
    <xf numFmtId="0" fontId="20" fillId="0" borderId="0" xfId="0" applyFont="1" applyAlignment="1">
      <alignment vertical="center" wrapText="1"/>
    </xf>
    <xf numFmtId="0" fontId="13" fillId="5" borderId="1" xfId="0" applyFont="1" applyFill="1" applyBorder="1" applyAlignment="1">
      <alignment horizontal="center"/>
    </xf>
    <xf numFmtId="0" fontId="13" fillId="5" borderId="1" xfId="0" applyFont="1" applyFill="1" applyBorder="1" applyAlignment="1">
      <alignment horizontal="center" wrapText="1"/>
    </xf>
    <xf numFmtId="0" fontId="38" fillId="5" borderId="1" xfId="0" applyFont="1" applyFill="1" applyBorder="1" applyAlignment="1">
      <alignment wrapText="1"/>
    </xf>
    <xf numFmtId="0" fontId="13" fillId="5" borderId="1" xfId="0" applyFont="1" applyFill="1" applyBorder="1" applyAlignment="1">
      <alignment horizontal="center" vertical="center" wrapText="1"/>
    </xf>
    <xf numFmtId="0" fontId="13" fillId="5" borderId="1" xfId="0" applyFont="1" applyFill="1" applyBorder="1" applyAlignment="1">
      <alignment vertical="center" wrapText="1"/>
    </xf>
    <xf numFmtId="0" fontId="13" fillId="5" borderId="4" xfId="0" applyFont="1" applyFill="1" applyBorder="1" applyAlignment="1">
      <alignment vertical="center" wrapText="1"/>
    </xf>
    <xf numFmtId="0" fontId="8" fillId="0" borderId="1" xfId="0" applyFont="1" applyBorder="1" applyAlignment="1">
      <alignment wrapText="1"/>
    </xf>
    <xf numFmtId="0" fontId="34" fillId="0" borderId="0" xfId="0" applyFont="1" applyAlignment="1">
      <alignment wrapText="1"/>
    </xf>
    <xf numFmtId="0" fontId="11" fillId="4" borderId="1" xfId="0" applyFont="1" applyFill="1" applyBorder="1" applyAlignment="1">
      <alignment horizontal="center"/>
    </xf>
    <xf numFmtId="0" fontId="39" fillId="0" borderId="0" xfId="0" applyFont="1" applyAlignment="1">
      <alignment wrapText="1"/>
    </xf>
    <xf numFmtId="0" fontId="0" fillId="11" borderId="0" xfId="0" applyFill="1"/>
    <xf numFmtId="0" fontId="39" fillId="0" borderId="1" xfId="0" applyFont="1" applyBorder="1" applyAlignment="1">
      <alignment vertical="center" wrapText="1"/>
    </xf>
    <xf numFmtId="0" fontId="39" fillId="0" borderId="1" xfId="0" applyFont="1" applyBorder="1" applyAlignment="1">
      <alignment wrapText="1"/>
    </xf>
    <xf numFmtId="0" fontId="35" fillId="0" borderId="0" xfId="0" applyFont="1" applyAlignment="1">
      <alignment wrapText="1"/>
    </xf>
    <xf numFmtId="0" fontId="39" fillId="0" borderId="0" xfId="0" applyFont="1"/>
    <xf numFmtId="0" fontId="10" fillId="4" borderId="1" xfId="0" applyFont="1" applyFill="1" applyBorder="1" applyAlignment="1">
      <alignment horizontal="center" wrapText="1"/>
    </xf>
    <xf numFmtId="0" fontId="11" fillId="4" borderId="1" xfId="0" applyFont="1" applyFill="1" applyBorder="1" applyAlignment="1">
      <alignment horizontal="center" wrapText="1"/>
    </xf>
    <xf numFmtId="0" fontId="41" fillId="0" borderId="2" xfId="0" applyFont="1" applyBorder="1"/>
    <xf numFmtId="0" fontId="41" fillId="0" borderId="1" xfId="0" applyFont="1" applyBorder="1"/>
    <xf numFmtId="0" fontId="39" fillId="0" borderId="0" xfId="0" applyFont="1" applyAlignment="1">
      <alignment horizontal="left"/>
    </xf>
    <xf numFmtId="0" fontId="39" fillId="0" borderId="1" xfId="0" applyFont="1" applyBorder="1"/>
    <xf numFmtId="0" fontId="41" fillId="4" borderId="1" xfId="0" applyFont="1" applyFill="1" applyBorder="1" applyAlignment="1">
      <alignment horizontal="center"/>
    </xf>
    <xf numFmtId="0" fontId="39" fillId="0" borderId="0" xfId="0" applyFont="1" applyAlignment="1">
      <alignment horizontal="center" wrapText="1"/>
    </xf>
    <xf numFmtId="0" fontId="42" fillId="4" borderId="1" xfId="0" applyFont="1" applyFill="1" applyBorder="1" applyAlignment="1">
      <alignment horizontal="center"/>
    </xf>
    <xf numFmtId="0" fontId="41" fillId="0" borderId="0" xfId="0" applyFont="1" applyAlignment="1">
      <alignment horizontal="center"/>
    </xf>
    <xf numFmtId="0" fontId="36" fillId="0" borderId="0" xfId="0" applyFont="1"/>
    <xf numFmtId="0" fontId="37" fillId="4" borderId="1" xfId="0" applyFont="1" applyFill="1" applyBorder="1"/>
    <xf numFmtId="0" fontId="37" fillId="0" borderId="1" xfId="0" applyFont="1" applyBorder="1"/>
    <xf numFmtId="0" fontId="8" fillId="0" borderId="0" xfId="0" applyFont="1"/>
    <xf numFmtId="0" fontId="8" fillId="12" borderId="0" xfId="0" applyFont="1" applyFill="1" applyAlignment="1">
      <alignment vertical="center"/>
    </xf>
    <xf numFmtId="0" fontId="13" fillId="12" borderId="0" xfId="0" applyFont="1" applyFill="1" applyAlignment="1">
      <alignment vertical="center"/>
    </xf>
    <xf numFmtId="0" fontId="8" fillId="12" borderId="0" xfId="0" applyFont="1" applyFill="1"/>
    <xf numFmtId="0" fontId="8" fillId="12" borderId="5" xfId="0" applyFont="1" applyFill="1" applyBorder="1"/>
    <xf numFmtId="0" fontId="37" fillId="0" borderId="4" xfId="0" applyFont="1" applyBorder="1"/>
    <xf numFmtId="0" fontId="44" fillId="0" borderId="1" xfId="0" applyFont="1" applyBorder="1"/>
    <xf numFmtId="0" fontId="44" fillId="0" borderId="6" xfId="0" applyFont="1" applyBorder="1"/>
    <xf numFmtId="0" fontId="46" fillId="0" borderId="0" xfId="0" applyFont="1"/>
    <xf numFmtId="0" fontId="46" fillId="0" borderId="0" xfId="0" applyFont="1" applyAlignment="1">
      <alignment wrapText="1"/>
    </xf>
    <xf numFmtId="0" fontId="48" fillId="0" borderId="1" xfId="0" applyFont="1" applyBorder="1"/>
    <xf numFmtId="0" fontId="49" fillId="0" borderId="1" xfId="0" applyFont="1" applyBorder="1"/>
    <xf numFmtId="0" fontId="50" fillId="0" borderId="1" xfId="0" applyFont="1" applyBorder="1"/>
    <xf numFmtId="0" fontId="51" fillId="0" borderId="0" xfId="0" applyFont="1"/>
    <xf numFmtId="0" fontId="52" fillId="0" borderId="0" xfId="0" applyFont="1"/>
    <xf numFmtId="0" fontId="52" fillId="0" borderId="6" xfId="0" applyFont="1" applyBorder="1"/>
    <xf numFmtId="0" fontId="53" fillId="0" borderId="0" xfId="0" applyFont="1"/>
    <xf numFmtId="0" fontId="53" fillId="0" borderId="0" xfId="0" applyFont="1" applyAlignment="1">
      <alignment wrapText="1"/>
    </xf>
    <xf numFmtId="0" fontId="54" fillId="0" borderId="0" xfId="0" applyFont="1"/>
    <xf numFmtId="0" fontId="55" fillId="14" borderId="0" xfId="0" applyFont="1" applyFill="1"/>
    <xf numFmtId="0" fontId="55" fillId="17" borderId="0" xfId="0" applyFont="1" applyFill="1"/>
    <xf numFmtId="0" fontId="55" fillId="16" borderId="0" xfId="0" applyFont="1" applyFill="1"/>
    <xf numFmtId="0" fontId="37" fillId="18" borderId="1" xfId="0" applyFont="1" applyFill="1" applyBorder="1"/>
    <xf numFmtId="0" fontId="46" fillId="0" borderId="0" xfId="0" applyFont="1" applyAlignment="1">
      <alignment horizontal="left" wrapText="1"/>
    </xf>
    <xf numFmtId="0" fontId="10" fillId="0" borderId="0" xfId="0" applyFont="1" applyAlignment="1">
      <alignment horizontal="left" wrapText="1"/>
    </xf>
    <xf numFmtId="0" fontId="46" fillId="0" borderId="0" xfId="0" applyFont="1" applyAlignment="1">
      <alignment horizontal="center" wrapText="1"/>
    </xf>
    <xf numFmtId="9" fontId="36" fillId="0" borderId="0" xfId="0" applyNumberFormat="1" applyFont="1"/>
    <xf numFmtId="0" fontId="62" fillId="0" borderId="0" xfId="0" applyFont="1"/>
    <xf numFmtId="0" fontId="36" fillId="0" borderId="0" xfId="0" applyFont="1" applyAlignment="1">
      <alignment horizontal="left" wrapText="1"/>
    </xf>
    <xf numFmtId="0" fontId="53" fillId="0" borderId="0" xfId="0" applyFont="1" applyAlignment="1">
      <alignment horizontal="left" wrapText="1"/>
    </xf>
    <xf numFmtId="0" fontId="39" fillId="0" borderId="0" xfId="0" applyFont="1" applyAlignment="1">
      <alignment horizontal="left" wrapText="1"/>
    </xf>
    <xf numFmtId="0" fontId="64" fillId="15" borderId="10" xfId="0" applyFont="1" applyFill="1" applyBorder="1"/>
    <xf numFmtId="0" fontId="62" fillId="0" borderId="11" xfId="0" applyFont="1" applyBorder="1"/>
    <xf numFmtId="0" fontId="65" fillId="0" borderId="0" xfId="0" applyFont="1"/>
    <xf numFmtId="0" fontId="62" fillId="0" borderId="12" xfId="0" applyFont="1" applyBorder="1"/>
    <xf numFmtId="0" fontId="62" fillId="0" borderId="13" xfId="0" applyFont="1" applyBorder="1"/>
    <xf numFmtId="0" fontId="65" fillId="0" borderId="14" xfId="0" applyFont="1" applyBorder="1"/>
    <xf numFmtId="0" fontId="62" fillId="0" borderId="15" xfId="0" applyFont="1" applyBorder="1"/>
    <xf numFmtId="0" fontId="65" fillId="20" borderId="0" xfId="0" applyFont="1" applyFill="1"/>
    <xf numFmtId="0" fontId="63" fillId="0" borderId="0" xfId="0" applyFont="1"/>
    <xf numFmtId="0" fontId="36" fillId="5" borderId="0" xfId="0" applyFont="1" applyFill="1" applyAlignment="1">
      <alignment horizontal="center" vertical="center"/>
    </xf>
    <xf numFmtId="0" fontId="38" fillId="5" borderId="0" xfId="0" applyFont="1" applyFill="1" applyAlignment="1">
      <alignment horizontal="center"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0" fillId="0" borderId="0" xfId="0" applyAlignment="1">
      <alignment horizontal="center" vertical="center"/>
    </xf>
    <xf numFmtId="0" fontId="46" fillId="0" borderId="16" xfId="0" applyFont="1" applyBorder="1" applyAlignment="1">
      <alignment horizontal="center" wrapText="1"/>
    </xf>
    <xf numFmtId="0" fontId="46" fillId="0" borderId="0" xfId="0" applyFont="1" applyAlignment="1">
      <alignment horizontal="left" vertical="top" wrapText="1"/>
    </xf>
    <xf numFmtId="0" fontId="10" fillId="0" borderId="0" xfId="0" applyFont="1" applyAlignment="1">
      <alignment horizontal="left" vertical="top" wrapText="1"/>
    </xf>
    <xf numFmtId="0" fontId="36" fillId="0" borderId="0" xfId="0" applyFont="1" applyAlignment="1">
      <alignment horizontal="left" vertical="top" wrapText="1"/>
    </xf>
    <xf numFmtId="0" fontId="39" fillId="0" borderId="0" xfId="0" applyFont="1" applyAlignment="1">
      <alignment horizontal="left" vertical="top" wrapText="1"/>
    </xf>
    <xf numFmtId="0" fontId="53" fillId="0" borderId="0" xfId="0" applyFont="1" applyAlignment="1">
      <alignment horizontal="left" vertical="top" wrapText="1"/>
    </xf>
    <xf numFmtId="0" fontId="46" fillId="0" borderId="16" xfId="0" applyFont="1" applyBorder="1" applyAlignment="1">
      <alignment horizontal="left" wrapText="1"/>
    </xf>
    <xf numFmtId="0" fontId="36" fillId="21" borderId="0" xfId="0" applyFont="1" applyFill="1" applyAlignment="1">
      <alignment horizontal="center" vertical="center" wrapText="1"/>
    </xf>
    <xf numFmtId="0" fontId="61" fillId="23" borderId="0" xfId="0" applyFont="1" applyFill="1" applyAlignment="1">
      <alignment horizontal="center" vertical="center" wrapText="1"/>
    </xf>
    <xf numFmtId="0" fontId="61" fillId="22" borderId="16" xfId="0" applyFont="1" applyFill="1" applyBorder="1" applyAlignment="1">
      <alignment horizontal="center" vertical="center" wrapText="1"/>
    </xf>
    <xf numFmtId="0" fontId="53" fillId="0" borderId="0" xfId="0" applyFont="1" applyAlignment="1">
      <alignment horizontal="center" vertical="center" wrapText="1"/>
    </xf>
    <xf numFmtId="0" fontId="46" fillId="0" borderId="0" xfId="0" applyFont="1" applyAlignment="1">
      <alignment horizontal="center" vertical="center" wrapText="1"/>
    </xf>
    <xf numFmtId="0" fontId="10" fillId="0" borderId="0" xfId="0" applyFont="1" applyAlignment="1">
      <alignment horizontal="center" vertical="center" wrapText="1"/>
    </xf>
    <xf numFmtId="0" fontId="39" fillId="0" borderId="0" xfId="0" applyFont="1" applyAlignment="1">
      <alignment horizontal="center" vertical="center"/>
    </xf>
    <xf numFmtId="0" fontId="39" fillId="0" borderId="0" xfId="0" applyFont="1" applyAlignment="1">
      <alignment horizontal="center" vertical="center" wrapText="1"/>
    </xf>
    <xf numFmtId="49" fontId="68" fillId="0" borderId="0" xfId="0" applyNumberFormat="1" applyFont="1" applyAlignment="1">
      <alignment horizontal="center" vertical="center"/>
    </xf>
    <xf numFmtId="49" fontId="68" fillId="0" borderId="0" xfId="0" applyNumberFormat="1" applyFont="1" applyAlignment="1">
      <alignment vertical="center"/>
    </xf>
    <xf numFmtId="49" fontId="68" fillId="0" borderId="0" xfId="0" applyNumberFormat="1" applyFont="1"/>
    <xf numFmtId="49" fontId="72" fillId="0" borderId="0" xfId="0" applyNumberFormat="1" applyFont="1"/>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74" fillId="0" borderId="0" xfId="0" applyNumberFormat="1" applyFont="1"/>
    <xf numFmtId="49" fontId="68" fillId="0" borderId="0" xfId="0" applyNumberFormat="1" applyFont="1" applyAlignment="1">
      <alignment horizontal="center"/>
    </xf>
    <xf numFmtId="49" fontId="69" fillId="0" borderId="0" xfId="0" applyNumberFormat="1" applyFont="1"/>
    <xf numFmtId="49" fontId="70" fillId="0" borderId="0" xfId="0" applyNumberFormat="1" applyFont="1" applyAlignment="1">
      <alignment vertical="top"/>
    </xf>
    <xf numFmtId="49" fontId="70" fillId="0" borderId="0" xfId="0" applyNumberFormat="1" applyFont="1" applyAlignment="1">
      <alignment vertical="top" wrapText="1"/>
    </xf>
    <xf numFmtId="49" fontId="68" fillId="0" borderId="0" xfId="0" applyNumberFormat="1" applyFont="1" applyAlignment="1">
      <alignment wrapText="1"/>
    </xf>
    <xf numFmtId="49" fontId="68" fillId="0" borderId="0" xfId="0" applyNumberFormat="1" applyFont="1" applyAlignment="1">
      <alignment vertical="top"/>
    </xf>
    <xf numFmtId="49" fontId="68" fillId="0" borderId="0" xfId="0" applyNumberFormat="1" applyFont="1" applyAlignment="1">
      <alignment vertical="top" wrapText="1"/>
    </xf>
    <xf numFmtId="49" fontId="73" fillId="0" borderId="0" xfId="0" applyNumberFormat="1" applyFont="1" applyAlignment="1">
      <alignment vertical="center" wrapText="1"/>
    </xf>
    <xf numFmtId="49" fontId="68" fillId="0" borderId="23" xfId="0" applyNumberFormat="1" applyFont="1" applyBorder="1" applyAlignment="1">
      <alignment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vertical="center"/>
    </xf>
    <xf numFmtId="49" fontId="68" fillId="0" borderId="23" xfId="0" applyNumberFormat="1" applyFont="1" applyBorder="1" applyAlignment="1">
      <alignment horizontal="left" vertical="center" wrapText="1"/>
    </xf>
    <xf numFmtId="49" fontId="68" fillId="0" borderId="24" xfId="0" applyNumberFormat="1" applyFont="1" applyBorder="1" applyAlignment="1">
      <alignment vertical="center" wrapText="1"/>
    </xf>
    <xf numFmtId="49" fontId="68" fillId="0" borderId="24" xfId="0" applyNumberFormat="1" applyFont="1" applyBorder="1" applyAlignment="1">
      <alignment horizontal="center" vertical="center"/>
    </xf>
    <xf numFmtId="49" fontId="77" fillId="0" borderId="25" xfId="0" applyNumberFormat="1" applyFont="1" applyBorder="1" applyAlignment="1">
      <alignment horizontal="center" vertical="center" wrapText="1"/>
    </xf>
    <xf numFmtId="49" fontId="77" fillId="0" borderId="26" xfId="0" applyNumberFormat="1" applyFont="1" applyBorder="1" applyAlignment="1">
      <alignment horizontal="center" vertical="center" wrapText="1"/>
    </xf>
    <xf numFmtId="49" fontId="77" fillId="0" borderId="27" xfId="0" applyNumberFormat="1" applyFont="1" applyBorder="1" applyAlignment="1">
      <alignment horizontal="center" vertical="center" wrapText="1"/>
    </xf>
    <xf numFmtId="49" fontId="68" fillId="24" borderId="23" xfId="0" applyNumberFormat="1" applyFont="1" applyFill="1" applyBorder="1" applyAlignment="1">
      <alignment vertical="center" wrapText="1"/>
    </xf>
    <xf numFmtId="0" fontId="66"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8" fillId="0" borderId="0" xfId="0" applyFont="1" applyAlignment="1">
      <alignment horizontal="left"/>
    </xf>
    <xf numFmtId="0" fontId="81" fillId="0" borderId="11" xfId="0" applyFont="1" applyBorder="1" applyAlignment="1">
      <alignment vertical="center"/>
    </xf>
    <xf numFmtId="0" fontId="56" fillId="0" borderId="0" xfId="0" applyFont="1"/>
    <xf numFmtId="0" fontId="56" fillId="0" borderId="0" xfId="0" applyFont="1" applyAlignment="1">
      <alignment wrapText="1"/>
    </xf>
    <xf numFmtId="0" fontId="0" fillId="25" borderId="0" xfId="0" applyFill="1"/>
    <xf numFmtId="0" fontId="43" fillId="0" borderId="0" xfId="0" applyFont="1" applyAlignment="1">
      <alignment vertical="center" wrapText="1"/>
    </xf>
    <xf numFmtId="0" fontId="82" fillId="0" borderId="0" xfId="0" applyFont="1"/>
    <xf numFmtId="0" fontId="83" fillId="23" borderId="0" xfId="0" applyFont="1" applyFill="1" applyAlignment="1">
      <alignment horizontal="center" vertical="center" wrapText="1"/>
    </xf>
    <xf numFmtId="0" fontId="56" fillId="25" borderId="0" xfId="0" applyFont="1" applyFill="1"/>
    <xf numFmtId="0" fontId="4" fillId="0" borderId="0" xfId="0" applyFont="1"/>
    <xf numFmtId="0" fontId="56" fillId="26" borderId="0" xfId="0" applyFont="1" applyFill="1"/>
    <xf numFmtId="0" fontId="56" fillId="5" borderId="0" xfId="0" applyFont="1" applyFill="1" applyAlignment="1">
      <alignment horizontal="center" vertical="center"/>
    </xf>
    <xf numFmtId="0" fontId="56" fillId="0" borderId="0" xfId="0" applyFont="1" applyAlignment="1">
      <alignment horizontal="center" vertical="center" wrapText="1"/>
    </xf>
    <xf numFmtId="0" fontId="56" fillId="21" borderId="0" xfId="0" applyFont="1" applyFill="1" applyAlignment="1">
      <alignment horizontal="center" vertical="center" wrapText="1"/>
    </xf>
    <xf numFmtId="0" fontId="83" fillId="22" borderId="16" xfId="0" applyFont="1" applyFill="1" applyBorder="1" applyAlignment="1">
      <alignment horizontal="center" vertical="center" wrapText="1"/>
    </xf>
    <xf numFmtId="0" fontId="56" fillId="21" borderId="1" xfId="0" applyFont="1" applyFill="1" applyBorder="1" applyAlignment="1">
      <alignment horizontal="center" vertical="center" wrapText="1"/>
    </xf>
    <xf numFmtId="0" fontId="56" fillId="0" borderId="0" xfId="0" applyFont="1" applyAlignment="1">
      <alignment horizontal="center" vertical="center"/>
    </xf>
    <xf numFmtId="0" fontId="56" fillId="0" borderId="0" xfId="0" applyFont="1" applyAlignment="1">
      <alignment horizontal="left" wrapText="1"/>
    </xf>
    <xf numFmtId="0" fontId="84" fillId="0" borderId="0" xfId="0" applyFont="1" applyAlignment="1">
      <alignment horizontal="left"/>
    </xf>
    <xf numFmtId="0" fontId="87" fillId="0" borderId="0" xfId="0" applyFont="1" applyAlignment="1">
      <alignment horizontal="left"/>
    </xf>
    <xf numFmtId="0" fontId="89" fillId="0" borderId="0" xfId="0" applyFont="1" applyAlignment="1">
      <alignment horizontal="left"/>
    </xf>
    <xf numFmtId="0" fontId="90" fillId="0" borderId="0" xfId="0" applyFont="1" applyAlignment="1">
      <alignment wrapText="1"/>
    </xf>
    <xf numFmtId="0" fontId="60" fillId="0" borderId="0" xfId="0" applyFont="1"/>
    <xf numFmtId="0" fontId="59" fillId="0" borderId="16" xfId="0" applyFont="1" applyBorder="1" applyAlignment="1">
      <alignment horizontal="left" wrapText="1"/>
    </xf>
    <xf numFmtId="0" fontId="91" fillId="0" borderId="0" xfId="13" applyFont="1"/>
    <xf numFmtId="0" fontId="92" fillId="0" borderId="0" xfId="0" applyFont="1" applyAlignment="1">
      <alignment horizontal="left"/>
    </xf>
    <xf numFmtId="0" fontId="90" fillId="0" borderId="0" xfId="0" applyFont="1" applyAlignment="1">
      <alignment horizontal="left" vertical="top" wrapText="1"/>
    </xf>
    <xf numFmtId="0" fontId="59" fillId="0" borderId="0" xfId="0" applyFont="1"/>
    <xf numFmtId="0" fontId="93" fillId="0" borderId="0" xfId="0" applyFont="1" applyAlignment="1">
      <alignment horizontal="left"/>
    </xf>
    <xf numFmtId="0" fontId="93" fillId="0" borderId="0" xfId="0" applyFont="1"/>
    <xf numFmtId="0" fontId="90" fillId="0" borderId="0" xfId="0" applyFont="1" applyAlignment="1">
      <alignment horizontal="center" vertical="center" wrapText="1"/>
    </xf>
    <xf numFmtId="0" fontId="56" fillId="0" borderId="0" xfId="0" applyFont="1" applyAlignment="1">
      <alignment horizontal="left" vertical="top"/>
    </xf>
    <xf numFmtId="0" fontId="58" fillId="0" borderId="0" xfId="0" applyFont="1"/>
    <xf numFmtId="0" fontId="59" fillId="0" borderId="0" xfId="0" applyFont="1" applyAlignment="1">
      <alignment wrapText="1"/>
    </xf>
    <xf numFmtId="0" fontId="57" fillId="0" borderId="0" xfId="0" applyFont="1"/>
    <xf numFmtId="0" fontId="94" fillId="0" borderId="0" xfId="0" applyFont="1"/>
    <xf numFmtId="0" fontId="95" fillId="0" borderId="0" xfId="0" applyFont="1"/>
    <xf numFmtId="0" fontId="87" fillId="19" borderId="7" xfId="0" applyFont="1" applyFill="1" applyBorder="1" applyAlignment="1">
      <alignment wrapText="1"/>
    </xf>
    <xf numFmtId="0" fontId="62" fillId="0" borderId="16" xfId="0" applyFont="1" applyBorder="1" applyAlignment="1">
      <alignment horizontal="center" wrapText="1"/>
    </xf>
    <xf numFmtId="0" fontId="62" fillId="0" borderId="16" xfId="0" applyFont="1" applyBorder="1" applyAlignment="1">
      <alignment horizontal="left" wrapText="1"/>
    </xf>
    <xf numFmtId="0" fontId="96" fillId="0" borderId="0" xfId="0" applyFont="1" applyAlignment="1">
      <alignment horizontal="left"/>
    </xf>
    <xf numFmtId="0" fontId="62" fillId="0" borderId="0" xfId="0" applyFont="1" applyAlignment="1">
      <alignment wrapText="1"/>
    </xf>
    <xf numFmtId="0" fontId="62" fillId="0" borderId="0" xfId="0" applyFont="1" applyAlignment="1">
      <alignment horizontal="left" wrapText="1"/>
    </xf>
    <xf numFmtId="0" fontId="62" fillId="0" borderId="0" xfId="0" applyFont="1" applyAlignment="1">
      <alignment horizontal="center" vertical="center" wrapText="1"/>
    </xf>
    <xf numFmtId="0" fontId="62" fillId="0" borderId="0" xfId="0" applyFont="1" applyAlignment="1">
      <alignment horizontal="left" vertical="top" wrapText="1"/>
    </xf>
    <xf numFmtId="0" fontId="62" fillId="0" borderId="0" xfId="0" applyFont="1" applyAlignment="1">
      <alignment horizontal="left" vertical="center" wrapText="1"/>
    </xf>
    <xf numFmtId="0" fontId="62" fillId="0" borderId="0" xfId="0" applyFont="1" applyAlignment="1">
      <alignment horizontal="center" wrapText="1"/>
    </xf>
    <xf numFmtId="0" fontId="62" fillId="0" borderId="0" xfId="0" applyFont="1" applyAlignment="1">
      <alignment vertical="top" wrapText="1"/>
    </xf>
    <xf numFmtId="0" fontId="97" fillId="0" borderId="0" xfId="0" applyFont="1" applyAlignment="1">
      <alignment horizontal="left"/>
    </xf>
    <xf numFmtId="0" fontId="56" fillId="0" borderId="0" xfId="0" applyFont="1" applyAlignment="1">
      <alignment horizontal="left" vertical="top" wrapText="1"/>
    </xf>
    <xf numFmtId="0" fontId="44" fillId="0" borderId="0" xfId="0" applyFont="1"/>
    <xf numFmtId="0" fontId="56" fillId="0" borderId="0" xfId="0" quotePrefix="1" applyFont="1" applyAlignment="1">
      <alignment wrapText="1"/>
    </xf>
    <xf numFmtId="0" fontId="56" fillId="0" borderId="0" xfId="0" applyFont="1" applyAlignment="1">
      <alignment horizontal="center" wrapText="1"/>
    </xf>
    <xf numFmtId="0" fontId="98" fillId="0" borderId="0" xfId="0" applyFont="1" applyAlignment="1">
      <alignment wrapText="1"/>
    </xf>
    <xf numFmtId="0" fontId="99" fillId="0" borderId="0" xfId="13" applyFont="1"/>
    <xf numFmtId="0" fontId="93" fillId="0" borderId="0" xfId="0" applyFont="1" applyAlignment="1">
      <alignment wrapText="1"/>
    </xf>
    <xf numFmtId="0" fontId="36" fillId="0" borderId="0" xfId="0" applyFont="1" applyAlignment="1">
      <alignment horizontal="center" wrapText="1"/>
    </xf>
    <xf numFmtId="0" fontId="85" fillId="5" borderId="0" xfId="0" applyFont="1" applyFill="1" applyAlignment="1">
      <alignment horizontal="center" vertical="center" wrapText="1"/>
    </xf>
    <xf numFmtId="0" fontId="53" fillId="0" borderId="0" xfId="0" applyFont="1" applyAlignment="1">
      <alignment horizontal="center" wrapText="1"/>
    </xf>
    <xf numFmtId="0" fontId="88" fillId="0" borderId="0" xfId="0" applyFont="1" applyAlignment="1">
      <alignment horizontal="center" wrapText="1"/>
    </xf>
    <xf numFmtId="0" fontId="87" fillId="0" borderId="0" xfId="0" applyFont="1" applyAlignment="1">
      <alignment horizontal="center" wrapText="1"/>
    </xf>
    <xf numFmtId="0" fontId="90" fillId="0" borderId="0" xfId="0" applyFont="1" applyAlignment="1">
      <alignment horizontal="center" wrapText="1"/>
    </xf>
    <xf numFmtId="0" fontId="56" fillId="0" borderId="0" xfId="0" applyFont="1" applyAlignment="1">
      <alignment horizontal="left" vertical="center" wrapText="1"/>
    </xf>
    <xf numFmtId="0" fontId="36" fillId="0" borderId="0" xfId="0" applyFont="1" applyProtection="1">
      <protection locked="0"/>
    </xf>
    <xf numFmtId="0" fontId="100" fillId="0" borderId="0" xfId="0" applyFont="1"/>
    <xf numFmtId="0" fontId="101" fillId="0" borderId="0" xfId="0" applyFont="1"/>
    <xf numFmtId="49" fontId="68" fillId="0" borderId="24" xfId="0" applyNumberFormat="1" applyFont="1" applyBorder="1" applyAlignment="1">
      <alignment horizontal="left" vertical="center" wrapText="1"/>
    </xf>
    <xf numFmtId="0" fontId="46" fillId="26" borderId="0" xfId="0" applyFont="1" applyFill="1" applyAlignment="1">
      <alignment horizontal="center" wrapText="1"/>
    </xf>
    <xf numFmtId="0" fontId="10" fillId="26" borderId="0" xfId="0" applyFont="1" applyFill="1"/>
    <xf numFmtId="0" fontId="63" fillId="27" borderId="0" xfId="0" applyFont="1" applyFill="1"/>
    <xf numFmtId="49" fontId="68" fillId="0" borderId="23" xfId="0" applyNumberFormat="1" applyFont="1" applyBorder="1" applyAlignment="1">
      <alignment horizontal="center" vertical="center" wrapText="1"/>
    </xf>
    <xf numFmtId="49" fontId="68" fillId="0" borderId="23" xfId="0" applyNumberFormat="1" applyFont="1" applyBorder="1" applyAlignment="1">
      <alignment horizontal="left" vertical="center"/>
    </xf>
    <xf numFmtId="0" fontId="37" fillId="28" borderId="0" xfId="0" applyFont="1" applyFill="1"/>
    <xf numFmtId="0" fontId="43" fillId="29" borderId="0" xfId="0" applyFont="1" applyFill="1" applyAlignment="1">
      <alignment wrapText="1"/>
    </xf>
    <xf numFmtId="0" fontId="48" fillId="0" borderId="28" xfId="0" applyFont="1" applyBorder="1"/>
    <xf numFmtId="0" fontId="37" fillId="30" borderId="0" xfId="0" applyFont="1" applyFill="1"/>
    <xf numFmtId="0" fontId="49" fillId="0" borderId="28" xfId="0" applyFont="1" applyBorder="1"/>
    <xf numFmtId="0" fontId="37" fillId="31" borderId="0" xfId="0" applyFont="1" applyFill="1"/>
    <xf numFmtId="0" fontId="102" fillId="0" borderId="28" xfId="0" applyFont="1" applyBorder="1"/>
    <xf numFmtId="0" fontId="37" fillId="32" borderId="1" xfId="0" applyFont="1" applyFill="1" applyBorder="1"/>
    <xf numFmtId="0" fontId="52" fillId="0" borderId="4" xfId="0" applyFont="1" applyBorder="1"/>
    <xf numFmtId="0" fontId="103" fillId="0" borderId="0" xfId="0" applyFont="1"/>
    <xf numFmtId="0" fontId="44" fillId="0" borderId="29" xfId="0" applyFont="1" applyBorder="1"/>
    <xf numFmtId="0" fontId="38" fillId="0" borderId="0" xfId="0" applyFont="1" applyAlignment="1">
      <alignment wrapText="1"/>
    </xf>
    <xf numFmtId="0" fontId="13" fillId="5" borderId="30" xfId="0" applyFont="1" applyFill="1" applyBorder="1"/>
    <xf numFmtId="0" fontId="13" fillId="5" borderId="7" xfId="0" applyFont="1" applyFill="1" applyBorder="1"/>
    <xf numFmtId="0" fontId="13" fillId="36" borderId="7" xfId="0" applyFont="1" applyFill="1" applyBorder="1" applyAlignment="1">
      <alignment wrapText="1"/>
    </xf>
    <xf numFmtId="0" fontId="13" fillId="33" borderId="7" xfId="0" applyFont="1" applyFill="1" applyBorder="1" applyAlignment="1">
      <alignment wrapText="1"/>
    </xf>
    <xf numFmtId="0" fontId="13" fillId="37" borderId="7" xfId="0" applyFont="1" applyFill="1" applyBorder="1" applyAlignment="1">
      <alignment wrapText="1"/>
    </xf>
    <xf numFmtId="0" fontId="13" fillId="34" borderId="7" xfId="0" applyFont="1" applyFill="1" applyBorder="1" applyAlignment="1">
      <alignment wrapText="1"/>
    </xf>
    <xf numFmtId="0" fontId="13" fillId="38" borderId="7" xfId="0" applyFont="1" applyFill="1" applyBorder="1"/>
    <xf numFmtId="0" fontId="13" fillId="35" borderId="7" xfId="0" applyFont="1" applyFill="1" applyBorder="1" applyAlignment="1">
      <alignment wrapText="1"/>
    </xf>
    <xf numFmtId="0" fontId="13" fillId="35" borderId="1" xfId="0" applyFont="1" applyFill="1" applyBorder="1" applyAlignment="1">
      <alignment wrapText="1"/>
    </xf>
    <xf numFmtId="0" fontId="105" fillId="0" borderId="0" xfId="0" applyFont="1"/>
    <xf numFmtId="0" fontId="8" fillId="39" borderId="7" xfId="0" applyFont="1" applyFill="1" applyBorder="1"/>
    <xf numFmtId="0" fontId="8" fillId="19" borderId="7" xfId="0" applyFont="1" applyFill="1" applyBorder="1" applyAlignment="1">
      <alignment wrapText="1"/>
    </xf>
    <xf numFmtId="0" fontId="8" fillId="19" borderId="7" xfId="0" quotePrefix="1" applyFont="1" applyFill="1" applyBorder="1" applyAlignment="1">
      <alignment wrapText="1"/>
    </xf>
    <xf numFmtId="0" fontId="27" fillId="40" borderId="7" xfId="0" applyFont="1" applyFill="1" applyBorder="1"/>
    <xf numFmtId="0" fontId="8" fillId="41" borderId="7" xfId="0" applyFont="1" applyFill="1" applyBorder="1" applyAlignment="1">
      <alignment wrapText="1"/>
    </xf>
    <xf numFmtId="0" fontId="8" fillId="42" borderId="7" xfId="0" applyFont="1" applyFill="1" applyBorder="1"/>
    <xf numFmtId="0" fontId="8" fillId="31" borderId="7" xfId="0" applyFont="1" applyFill="1" applyBorder="1"/>
    <xf numFmtId="0" fontId="8" fillId="0" borderId="7" xfId="0" applyFont="1" applyBorder="1" applyAlignment="1">
      <alignment wrapText="1"/>
    </xf>
    <xf numFmtId="0" fontId="8" fillId="0" borderId="7" xfId="0" quotePrefix="1" applyFont="1" applyBorder="1" applyAlignment="1">
      <alignment wrapText="1"/>
    </xf>
    <xf numFmtId="0" fontId="8" fillId="28" borderId="7" xfId="0" applyFont="1" applyFill="1" applyBorder="1" applyAlignment="1">
      <alignment wrapText="1"/>
    </xf>
    <xf numFmtId="0" fontId="8" fillId="43" borderId="7" xfId="0" applyFont="1" applyFill="1" applyBorder="1"/>
    <xf numFmtId="0" fontId="8" fillId="44" borderId="7" xfId="0" applyFont="1" applyFill="1" applyBorder="1" applyAlignment="1">
      <alignment wrapText="1"/>
    </xf>
    <xf numFmtId="0" fontId="33" fillId="41" borderId="7" xfId="0" applyFont="1" applyFill="1" applyBorder="1" applyAlignment="1">
      <alignment wrapText="1"/>
    </xf>
    <xf numFmtId="0" fontId="33" fillId="44" borderId="7" xfId="0" applyFont="1" applyFill="1" applyBorder="1" applyAlignment="1">
      <alignment wrapText="1"/>
    </xf>
    <xf numFmtId="0" fontId="8" fillId="45" borderId="7" xfId="0" applyFont="1" applyFill="1" applyBorder="1" applyAlignment="1">
      <alignment wrapText="1"/>
    </xf>
    <xf numFmtId="0" fontId="8" fillId="31" borderId="7" xfId="0" applyFont="1" applyFill="1" applyBorder="1" applyAlignment="1">
      <alignment wrapText="1"/>
    </xf>
    <xf numFmtId="0" fontId="8" fillId="42" borderId="7" xfId="0" applyFont="1" applyFill="1" applyBorder="1" applyAlignment="1">
      <alignment wrapText="1"/>
    </xf>
    <xf numFmtId="0" fontId="8" fillId="46" borderId="7" xfId="0" applyFont="1" applyFill="1" applyBorder="1" applyAlignment="1">
      <alignment wrapText="1"/>
    </xf>
    <xf numFmtId="0" fontId="33" fillId="46" borderId="7" xfId="0" applyFont="1" applyFill="1" applyBorder="1" applyAlignment="1">
      <alignment wrapText="1"/>
    </xf>
    <xf numFmtId="0" fontId="33" fillId="28" borderId="7" xfId="0" applyFont="1" applyFill="1" applyBorder="1" applyAlignment="1">
      <alignment wrapText="1"/>
    </xf>
    <xf numFmtId="0" fontId="8" fillId="30" borderId="7" xfId="0" applyFont="1" applyFill="1" applyBorder="1"/>
    <xf numFmtId="0" fontId="8" fillId="30" borderId="0" xfId="0" applyFont="1" applyFill="1"/>
    <xf numFmtId="0" fontId="8" fillId="40" borderId="7" xfId="0" applyFont="1" applyFill="1" applyBorder="1" applyAlignment="1">
      <alignment wrapText="1"/>
    </xf>
    <xf numFmtId="0" fontId="8" fillId="31" borderId="0" xfId="0" applyFont="1" applyFill="1"/>
    <xf numFmtId="0" fontId="8" fillId="43" borderId="0" xfId="0" applyFont="1" applyFill="1"/>
    <xf numFmtId="0" fontId="33" fillId="0" borderId="7" xfId="0" applyFont="1" applyBorder="1" applyAlignment="1">
      <alignment wrapText="1"/>
    </xf>
    <xf numFmtId="0" fontId="8" fillId="19" borderId="7" xfId="0" applyFont="1" applyFill="1" applyBorder="1"/>
    <xf numFmtId="0" fontId="8" fillId="40" borderId="7" xfId="0" applyFont="1" applyFill="1" applyBorder="1"/>
    <xf numFmtId="0" fontId="8" fillId="43" borderId="7" xfId="0" applyFont="1" applyFill="1" applyBorder="1" applyAlignment="1">
      <alignment wrapText="1"/>
    </xf>
    <xf numFmtId="0" fontId="8" fillId="0" borderId="7" xfId="0" applyFont="1" applyBorder="1"/>
    <xf numFmtId="0" fontId="8" fillId="19" borderId="0" xfId="0" applyFont="1" applyFill="1"/>
    <xf numFmtId="0" fontId="8" fillId="45" borderId="7" xfId="0" applyFont="1" applyFill="1" applyBorder="1"/>
    <xf numFmtId="0" fontId="33" fillId="31" borderId="7" xfId="0" applyFont="1" applyFill="1" applyBorder="1" applyAlignment="1">
      <alignment wrapText="1"/>
    </xf>
    <xf numFmtId="0" fontId="33" fillId="19" borderId="7" xfId="0" applyFont="1" applyFill="1" applyBorder="1" applyAlignment="1">
      <alignment wrapText="1"/>
    </xf>
    <xf numFmtId="0" fontId="106" fillId="43" borderId="7" xfId="0" applyFont="1" applyFill="1" applyBorder="1" applyAlignment="1">
      <alignment wrapText="1"/>
    </xf>
    <xf numFmtId="0" fontId="8" fillId="28" borderId="7" xfId="0" applyFont="1" applyFill="1" applyBorder="1"/>
    <xf numFmtId="0" fontId="106" fillId="28" borderId="7" xfId="0" applyFont="1" applyFill="1" applyBorder="1" applyAlignment="1">
      <alignment wrapText="1"/>
    </xf>
    <xf numFmtId="0" fontId="8" fillId="41" borderId="7" xfId="0" applyFont="1" applyFill="1" applyBorder="1"/>
    <xf numFmtId="0" fontId="8"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6" fillId="0" borderId="31" xfId="0" applyFont="1" applyBorder="1" applyAlignment="1">
      <alignment wrapText="1"/>
    </xf>
    <xf numFmtId="0" fontId="16" fillId="0" borderId="32" xfId="0" applyFont="1" applyBorder="1" applyAlignment="1">
      <alignment wrapText="1"/>
    </xf>
    <xf numFmtId="0" fontId="16" fillId="42" borderId="32" xfId="0" applyFont="1" applyFill="1" applyBorder="1"/>
    <xf numFmtId="0" fontId="0" fillId="42" borderId="0" xfId="0" applyFill="1"/>
    <xf numFmtId="0" fontId="37" fillId="4" borderId="33" xfId="0" applyFont="1" applyFill="1" applyBorder="1"/>
    <xf numFmtId="0" fontId="37" fillId="0" borderId="33" xfId="0" applyFont="1" applyBorder="1"/>
    <xf numFmtId="0" fontId="37" fillId="0" borderId="28" xfId="0" applyFont="1" applyBorder="1"/>
    <xf numFmtId="0" fontId="37" fillId="0" borderId="34" xfId="0" applyFont="1" applyBorder="1"/>
    <xf numFmtId="0" fontId="37" fillId="4" borderId="28" xfId="0" applyFont="1" applyFill="1" applyBorder="1"/>
    <xf numFmtId="0" fontId="37" fillId="4" borderId="34" xfId="0" applyFont="1" applyFill="1" applyBorder="1"/>
    <xf numFmtId="0" fontId="39" fillId="0" borderId="28" xfId="0" applyFont="1" applyBorder="1"/>
    <xf numFmtId="0" fontId="39" fillId="0" borderId="34" xfId="0" applyFont="1" applyBorder="1"/>
    <xf numFmtId="0" fontId="37" fillId="0" borderId="35" xfId="0" applyFont="1" applyBorder="1"/>
    <xf numFmtId="0" fontId="13" fillId="47" borderId="7" xfId="0" applyFont="1" applyFill="1" applyBorder="1" applyAlignment="1">
      <alignment wrapText="1"/>
    </xf>
    <xf numFmtId="0" fontId="59" fillId="0" borderId="0" xfId="0" applyFont="1" applyAlignment="1">
      <alignment horizontal="center" wrapText="1"/>
    </xf>
    <xf numFmtId="0" fontId="59" fillId="0" borderId="16" xfId="0" applyFont="1" applyBorder="1" applyAlignment="1">
      <alignment horizontal="center" wrapText="1"/>
    </xf>
    <xf numFmtId="0" fontId="8" fillId="0" borderId="7" xfId="0" applyFont="1" applyBorder="1" applyAlignment="1">
      <alignment horizontal="left" wrapText="1"/>
    </xf>
    <xf numFmtId="0" fontId="59" fillId="0" borderId="0" xfId="0" applyFont="1" applyAlignment="1">
      <alignment horizontal="center" vertical="center" wrapText="1"/>
    </xf>
    <xf numFmtId="0" fontId="37" fillId="0" borderId="6" xfId="0" applyFont="1" applyBorder="1"/>
    <xf numFmtId="0" fontId="90" fillId="0" borderId="0" xfId="0" applyFont="1" applyAlignment="1">
      <alignment horizontal="left" wrapText="1"/>
    </xf>
    <xf numFmtId="0" fontId="59" fillId="0" borderId="0" xfId="0" applyFont="1" applyAlignment="1">
      <alignment horizontal="left" vertical="top" wrapText="1"/>
    </xf>
    <xf numFmtId="0" fontId="59" fillId="19" borderId="7" xfId="0" applyFont="1" applyFill="1" applyBorder="1" applyAlignment="1">
      <alignment wrapText="1"/>
    </xf>
    <xf numFmtId="0" fontId="85" fillId="5" borderId="0" xfId="0" applyFont="1" applyFill="1" applyAlignment="1">
      <alignment horizontal="center" vertical="center"/>
    </xf>
    <xf numFmtId="0" fontId="57" fillId="0" borderId="0" xfId="0" applyFont="1" applyAlignment="1">
      <alignment wrapText="1"/>
    </xf>
    <xf numFmtId="0" fontId="57" fillId="0" borderId="0" xfId="0" applyFont="1" applyAlignment="1">
      <alignment horizontal="left" vertical="top" wrapText="1"/>
    </xf>
    <xf numFmtId="0" fontId="57" fillId="20" borderId="0" xfId="0" applyFont="1" applyFill="1" applyAlignment="1">
      <alignment horizontal="left" vertical="top"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2" fillId="0" borderId="0" xfId="0" applyFont="1" applyAlignment="1">
      <alignment wrapText="1"/>
    </xf>
    <xf numFmtId="0" fontId="96" fillId="0" borderId="0" xfId="0" applyFont="1" applyAlignment="1">
      <alignment wrapText="1"/>
    </xf>
    <xf numFmtId="0" fontId="57" fillId="20" borderId="0" xfId="0" applyFont="1" applyFill="1" applyAlignment="1">
      <alignment wrapText="1"/>
    </xf>
    <xf numFmtId="0" fontId="112" fillId="24" borderId="0" xfId="0" applyFont="1" applyFill="1" applyAlignment="1">
      <alignment horizontal="left" vertical="top" wrapText="1"/>
    </xf>
    <xf numFmtId="0" fontId="8" fillId="48" borderId="7" xfId="0" applyFont="1" applyFill="1" applyBorder="1" applyAlignment="1">
      <alignment vertical="center"/>
    </xf>
    <xf numFmtId="0" fontId="8" fillId="49" borderId="7" xfId="0" applyFont="1" applyFill="1" applyBorder="1" applyAlignment="1">
      <alignment wrapText="1"/>
    </xf>
    <xf numFmtId="0" fontId="8" fillId="50" borderId="7" xfId="0" applyFont="1" applyFill="1" applyBorder="1" applyAlignment="1">
      <alignment wrapText="1"/>
    </xf>
    <xf numFmtId="0" fontId="106" fillId="31" borderId="7" xfId="0" applyFont="1" applyFill="1" applyBorder="1" applyAlignment="1">
      <alignment vertical="center"/>
    </xf>
    <xf numFmtId="0" fontId="106" fillId="48" borderId="7" xfId="0" applyFont="1" applyFill="1" applyBorder="1" applyAlignment="1">
      <alignment vertical="center"/>
    </xf>
    <xf numFmtId="0" fontId="106" fillId="43" borderId="7" xfId="0" applyFont="1" applyFill="1" applyBorder="1" applyAlignment="1">
      <alignment vertical="center"/>
    </xf>
    <xf numFmtId="0" fontId="8" fillId="51" borderId="7" xfId="0" applyFont="1" applyFill="1" applyBorder="1" applyAlignment="1">
      <alignment wrapText="1"/>
    </xf>
    <xf numFmtId="0" fontId="8" fillId="52" borderId="7" xfId="0" applyFont="1" applyFill="1" applyBorder="1" applyAlignment="1">
      <alignment wrapText="1"/>
    </xf>
    <xf numFmtId="0" fontId="8" fillId="51" borderId="7" xfId="0" quotePrefix="1" applyFont="1" applyFill="1" applyBorder="1" applyAlignment="1">
      <alignment wrapText="1"/>
    </xf>
    <xf numFmtId="0" fontId="8" fillId="52" borderId="7" xfId="0" applyFont="1" applyFill="1" applyBorder="1" applyAlignment="1">
      <alignment horizontal="left" wrapText="1"/>
    </xf>
    <xf numFmtId="0" fontId="13" fillId="5" borderId="30" xfId="0" applyFont="1" applyFill="1" applyBorder="1" applyAlignment="1">
      <alignment horizontal="center" vertical="center"/>
    </xf>
    <xf numFmtId="0" fontId="83" fillId="15" borderId="0" xfId="0" applyFont="1" applyFill="1" applyAlignment="1">
      <alignment horizontal="center" vertical="center" wrapText="1"/>
    </xf>
    <xf numFmtId="0" fontId="83" fillId="15" borderId="0" xfId="0" applyFont="1" applyFill="1" applyAlignment="1">
      <alignment horizontal="left" vertical="center" wrapText="1"/>
    </xf>
    <xf numFmtId="0" fontId="8" fillId="24" borderId="0" xfId="0" applyFont="1" applyFill="1" applyAlignment="1">
      <alignment vertical="center"/>
    </xf>
    <xf numFmtId="0" fontId="8" fillId="24" borderId="0" xfId="0" applyFont="1" applyFill="1" applyAlignment="1">
      <alignment horizontal="center" vertical="center"/>
    </xf>
    <xf numFmtId="0" fontId="63" fillId="53" borderId="0" xfId="0" applyFont="1" applyFill="1"/>
    <xf numFmtId="0" fontId="115" fillId="0" borderId="0" xfId="0" applyFont="1" applyAlignment="1">
      <alignment wrapText="1"/>
    </xf>
    <xf numFmtId="0" fontId="37" fillId="0" borderId="29" xfId="0" applyFont="1" applyBorder="1"/>
    <xf numFmtId="0" fontId="116" fillId="34" borderId="0" xfId="0" applyFont="1" applyFill="1" applyAlignment="1">
      <alignment wrapText="1"/>
    </xf>
    <xf numFmtId="0" fontId="13" fillId="5" borderId="7" xfId="0" applyFont="1" applyFill="1" applyBorder="1" applyAlignment="1">
      <alignment wrapText="1"/>
    </xf>
    <xf numFmtId="0" fontId="13" fillId="34" borderId="36" xfId="0" applyFont="1" applyFill="1" applyBorder="1" applyAlignment="1">
      <alignment wrapText="1"/>
    </xf>
    <xf numFmtId="0" fontId="106" fillId="43" borderId="30" xfId="0" applyFont="1" applyFill="1" applyBorder="1"/>
    <xf numFmtId="0" fontId="106" fillId="31" borderId="7" xfId="0" applyFont="1" applyFill="1" applyBorder="1"/>
    <xf numFmtId="0" fontId="8" fillId="54" borderId="7" xfId="0" applyFont="1" applyFill="1" applyBorder="1" applyAlignment="1">
      <alignment wrapText="1"/>
    </xf>
    <xf numFmtId="0" fontId="8" fillId="55" borderId="7" xfId="0" applyFont="1" applyFill="1" applyBorder="1" applyAlignment="1">
      <alignment wrapText="1"/>
    </xf>
    <xf numFmtId="0" fontId="117" fillId="19" borderId="7" xfId="0" applyFont="1" applyFill="1" applyBorder="1"/>
    <xf numFmtId="0" fontId="117" fillId="19" borderId="36" xfId="0" applyFont="1" applyFill="1" applyBorder="1"/>
    <xf numFmtId="0" fontId="8" fillId="56" borderId="7" xfId="0" applyFont="1" applyFill="1" applyBorder="1" applyAlignment="1">
      <alignment wrapText="1"/>
    </xf>
    <xf numFmtId="0" fontId="8" fillId="56" borderId="37" xfId="0" applyFont="1" applyFill="1" applyBorder="1" applyAlignment="1">
      <alignment wrapText="1"/>
    </xf>
    <xf numFmtId="0" fontId="117" fillId="0" borderId="7" xfId="0" applyFont="1" applyBorder="1"/>
    <xf numFmtId="0" fontId="8" fillId="57" borderId="33" xfId="0" applyFont="1" applyFill="1" applyBorder="1"/>
    <xf numFmtId="0" fontId="117" fillId="58" borderId="7" xfId="0" applyFont="1" applyFill="1" applyBorder="1"/>
    <xf numFmtId="0" fontId="106" fillId="43" borderId="7" xfId="0" applyFont="1" applyFill="1" applyBorder="1"/>
    <xf numFmtId="0" fontId="13" fillId="5" borderId="38" xfId="0" applyFont="1" applyFill="1" applyBorder="1"/>
    <xf numFmtId="0" fontId="13" fillId="5" borderId="38" xfId="0" applyFont="1" applyFill="1" applyBorder="1" applyAlignment="1">
      <alignment wrapText="1"/>
    </xf>
    <xf numFmtId="0" fontId="13" fillId="37" borderId="38" xfId="0" applyFont="1" applyFill="1" applyBorder="1" applyAlignment="1">
      <alignment wrapText="1"/>
    </xf>
    <xf numFmtId="0" fontId="13" fillId="34" borderId="38" xfId="0" applyFont="1" applyFill="1" applyBorder="1" applyAlignment="1">
      <alignment wrapText="1"/>
    </xf>
    <xf numFmtId="0" fontId="106" fillId="43" borderId="39" xfId="0" applyFont="1" applyFill="1" applyBorder="1"/>
    <xf numFmtId="0" fontId="8" fillId="31" borderId="39" xfId="0" applyFont="1" applyFill="1" applyBorder="1"/>
    <xf numFmtId="0" fontId="106" fillId="31" borderId="39" xfId="0" applyFont="1" applyFill="1" applyBorder="1"/>
    <xf numFmtId="0" fontId="8" fillId="19" borderId="39" xfId="0" applyFont="1" applyFill="1" applyBorder="1" applyAlignment="1">
      <alignment wrapText="1"/>
    </xf>
    <xf numFmtId="0" fontId="117" fillId="19" borderId="39" xfId="0" applyFont="1" applyFill="1" applyBorder="1"/>
    <xf numFmtId="0" fontId="8" fillId="55" borderId="39" xfId="0" applyFont="1" applyFill="1" applyBorder="1" applyAlignment="1">
      <alignment wrapText="1"/>
    </xf>
    <xf numFmtId="0" fontId="8" fillId="19" borderId="7" xfId="0" applyFont="1" applyFill="1" applyBorder="1" applyAlignment="1">
      <alignment vertical="top" wrapText="1"/>
    </xf>
    <xf numFmtId="0" fontId="13" fillId="37" borderId="38" xfId="0" applyFont="1" applyFill="1" applyBorder="1" applyAlignment="1">
      <alignment vertical="top" wrapText="1"/>
    </xf>
    <xf numFmtId="0" fontId="13" fillId="5" borderId="38" xfId="0" applyFont="1" applyFill="1" applyBorder="1" applyAlignment="1">
      <alignment vertical="top"/>
    </xf>
    <xf numFmtId="0" fontId="13" fillId="5" borderId="38" xfId="0" applyFont="1" applyFill="1" applyBorder="1" applyAlignment="1">
      <alignment vertical="top" wrapText="1"/>
    </xf>
    <xf numFmtId="0" fontId="13" fillId="34" borderId="38" xfId="0" applyFont="1" applyFill="1" applyBorder="1" applyAlignment="1">
      <alignment vertical="top" wrapText="1"/>
    </xf>
    <xf numFmtId="0" fontId="10" fillId="38" borderId="0" xfId="0" applyFont="1" applyFill="1" applyAlignment="1">
      <alignment vertical="top"/>
    </xf>
    <xf numFmtId="0" fontId="10" fillId="33" borderId="0" xfId="0" applyFont="1" applyFill="1" applyAlignment="1">
      <alignment vertical="top" wrapText="1"/>
    </xf>
    <xf numFmtId="0" fontId="13" fillId="59" borderId="7" xfId="0" applyFont="1" applyFill="1" applyBorder="1" applyAlignment="1">
      <alignment vertical="top" wrapText="1"/>
    </xf>
    <xf numFmtId="0" fontId="10" fillId="33" borderId="1" xfId="0" applyFont="1" applyFill="1" applyBorder="1" applyAlignment="1">
      <alignment vertical="top" wrapText="1"/>
    </xf>
    <xf numFmtId="0" fontId="10" fillId="0" borderId="0" xfId="0" applyFont="1" applyAlignment="1">
      <alignment vertical="top"/>
    </xf>
    <xf numFmtId="0" fontId="0" fillId="0" borderId="0" xfId="0" applyAlignment="1">
      <alignment vertical="top"/>
    </xf>
    <xf numFmtId="0" fontId="8" fillId="19" borderId="0" xfId="0" applyFont="1" applyFill="1" applyAlignment="1">
      <alignment vertical="top" wrapText="1"/>
    </xf>
    <xf numFmtId="0" fontId="8" fillId="56" borderId="42" xfId="0" applyFont="1" applyFill="1" applyBorder="1" applyAlignment="1">
      <alignment vertical="top" wrapText="1"/>
    </xf>
    <xf numFmtId="0" fontId="8" fillId="56" borderId="43" xfId="0" applyFont="1" applyFill="1" applyBorder="1" applyAlignment="1">
      <alignment vertical="top" wrapText="1"/>
    </xf>
    <xf numFmtId="0" fontId="8" fillId="19" borderId="39" xfId="0" applyFont="1" applyFill="1" applyBorder="1" applyAlignment="1">
      <alignment vertical="top" wrapText="1"/>
    </xf>
    <xf numFmtId="0" fontId="8"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6" fillId="0" borderId="0" xfId="0" applyFont="1" applyAlignment="1">
      <alignment horizontal="center"/>
    </xf>
    <xf numFmtId="0" fontId="13" fillId="5" borderId="49" xfId="0" applyFont="1" applyFill="1" applyBorder="1"/>
    <xf numFmtId="0" fontId="13" fillId="5" borderId="39" xfId="0" applyFont="1" applyFill="1" applyBorder="1" applyAlignment="1">
      <alignment wrapText="1"/>
    </xf>
    <xf numFmtId="0" fontId="13" fillId="37" borderId="39" xfId="0" applyFont="1" applyFill="1" applyBorder="1" applyAlignment="1">
      <alignment wrapText="1"/>
    </xf>
    <xf numFmtId="0" fontId="13" fillId="37" borderId="39" xfId="0" applyFont="1" applyFill="1" applyBorder="1" applyAlignment="1">
      <alignment vertical="top" wrapText="1"/>
    </xf>
    <xf numFmtId="0" fontId="13" fillId="37" borderId="50" xfId="0" applyFont="1" applyFill="1" applyBorder="1" applyAlignment="1">
      <alignment wrapText="1"/>
    </xf>
    <xf numFmtId="0" fontId="118" fillId="0" borderId="30" xfId="0" applyFont="1" applyBorder="1"/>
    <xf numFmtId="0" fontId="8" fillId="51" borderId="7" xfId="0" applyFont="1" applyFill="1" applyBorder="1" applyAlignment="1">
      <alignment horizontal="left" wrapText="1"/>
    </xf>
    <xf numFmtId="0" fontId="45" fillId="0" borderId="0" xfId="0" applyFont="1"/>
    <xf numFmtId="0" fontId="106" fillId="48" borderId="38" xfId="0" applyFont="1" applyFill="1" applyBorder="1" applyAlignment="1">
      <alignment vertical="center"/>
    </xf>
    <xf numFmtId="0" fontId="106" fillId="48" borderId="39" xfId="0" applyFont="1" applyFill="1" applyBorder="1" applyAlignment="1">
      <alignment vertical="center"/>
    </xf>
    <xf numFmtId="0" fontId="8" fillId="48" borderId="38" xfId="0" applyFont="1" applyFill="1" applyBorder="1" applyAlignment="1">
      <alignment vertical="center"/>
    </xf>
    <xf numFmtId="0" fontId="8" fillId="48" borderId="39" xfId="0" applyFont="1" applyFill="1" applyBorder="1" applyAlignment="1">
      <alignment vertical="center"/>
    </xf>
    <xf numFmtId="0" fontId="106" fillId="31" borderId="30" xfId="0" applyFont="1" applyFill="1" applyBorder="1"/>
    <xf numFmtId="0" fontId="106" fillId="31" borderId="39" xfId="0" applyFont="1" applyFill="1" applyBorder="1" applyAlignment="1">
      <alignment vertical="center"/>
    </xf>
    <xf numFmtId="0" fontId="8" fillId="0" borderId="39" xfId="0" applyFont="1" applyBorder="1" applyAlignment="1">
      <alignment wrapText="1"/>
    </xf>
    <xf numFmtId="0" fontId="8" fillId="46" borderId="39" xfId="0" applyFont="1" applyFill="1" applyBorder="1" applyAlignment="1">
      <alignment wrapText="1"/>
    </xf>
    <xf numFmtId="0" fontId="106" fillId="43" borderId="52" xfId="0" applyFont="1" applyFill="1" applyBorder="1" applyAlignment="1">
      <alignment vertical="center"/>
    </xf>
    <xf numFmtId="0" fontId="8" fillId="48" borderId="52" xfId="0" applyFont="1" applyFill="1" applyBorder="1" applyAlignment="1">
      <alignment vertical="center"/>
    </xf>
    <xf numFmtId="0" fontId="106" fillId="48" borderId="52" xfId="0" applyFont="1" applyFill="1" applyBorder="1" applyAlignment="1">
      <alignment vertical="center"/>
    </xf>
    <xf numFmtId="0" fontId="8" fillId="19" borderId="52" xfId="0" applyFont="1" applyFill="1" applyBorder="1" applyAlignment="1">
      <alignment wrapText="1"/>
    </xf>
    <xf numFmtId="0" fontId="8" fillId="19" borderId="52" xfId="0" quotePrefix="1" applyFont="1" applyFill="1" applyBorder="1" applyAlignment="1">
      <alignment wrapText="1"/>
    </xf>
    <xf numFmtId="0" fontId="0" fillId="0" borderId="51" xfId="0" applyBorder="1"/>
    <xf numFmtId="0" fontId="8" fillId="46" borderId="52" xfId="0" applyFont="1" applyFill="1" applyBorder="1" applyAlignment="1">
      <alignment wrapText="1"/>
    </xf>
    <xf numFmtId="0" fontId="56" fillId="0" borderId="51" xfId="0" applyFont="1" applyBorder="1" applyAlignment="1">
      <alignment horizontal="center"/>
    </xf>
    <xf numFmtId="0" fontId="56" fillId="0" borderId="51" xfId="0" applyFont="1" applyBorder="1"/>
    <xf numFmtId="0" fontId="106" fillId="24" borderId="53" xfId="0" applyFont="1" applyFill="1" applyBorder="1"/>
    <xf numFmtId="0" fontId="106" fillId="43" borderId="52" xfId="0" applyFont="1" applyFill="1" applyBorder="1"/>
    <xf numFmtId="0" fontId="8" fillId="31" borderId="52" xfId="0" applyFont="1" applyFill="1" applyBorder="1"/>
    <xf numFmtId="0" fontId="106" fillId="31" borderId="52" xfId="0" applyFont="1" applyFill="1" applyBorder="1"/>
    <xf numFmtId="0" fontId="8" fillId="19" borderId="51" xfId="0" applyFont="1" applyFill="1" applyBorder="1" applyAlignment="1">
      <alignment vertical="top" wrapText="1"/>
    </xf>
    <xf numFmtId="0" fontId="8" fillId="57" borderId="51" xfId="0" applyFont="1" applyFill="1" applyBorder="1"/>
    <xf numFmtId="0" fontId="117" fillId="19" borderId="52" xfId="0" applyFont="1" applyFill="1" applyBorder="1"/>
    <xf numFmtId="0" fontId="8" fillId="55" borderId="52" xfId="0" applyFont="1" applyFill="1" applyBorder="1" applyAlignment="1">
      <alignment wrapText="1"/>
    </xf>
    <xf numFmtId="0" fontId="106" fillId="31" borderId="52" xfId="0" applyFont="1" applyFill="1" applyBorder="1" applyAlignment="1">
      <alignment vertical="center"/>
    </xf>
    <xf numFmtId="0" fontId="106" fillId="48" borderId="51" xfId="0" applyFont="1" applyFill="1" applyBorder="1" applyAlignment="1">
      <alignment vertical="center"/>
    </xf>
    <xf numFmtId="0" fontId="8" fillId="52" borderId="52" xfId="0" applyFont="1" applyFill="1" applyBorder="1" applyAlignment="1">
      <alignment wrapText="1"/>
    </xf>
    <xf numFmtId="0" fontId="8" fillId="0" borderId="51" xfId="0" applyFont="1" applyBorder="1" applyAlignment="1">
      <alignment wrapText="1"/>
    </xf>
    <xf numFmtId="0" fontId="8" fillId="0" borderId="51" xfId="0" applyFont="1" applyBorder="1" applyAlignment="1">
      <alignment horizontal="left" wrapText="1"/>
    </xf>
    <xf numFmtId="0" fontId="62" fillId="0" borderId="51" xfId="0" applyFont="1" applyBorder="1" applyAlignment="1">
      <alignment wrapText="1"/>
    </xf>
    <xf numFmtId="0" fontId="0" fillId="0" borderId="51" xfId="0" applyBorder="1" applyAlignment="1">
      <alignment horizontal="center"/>
    </xf>
    <xf numFmtId="0" fontId="56" fillId="14" borderId="0" xfId="0" applyFont="1" applyFill="1" applyAlignment="1">
      <alignment wrapText="1"/>
    </xf>
    <xf numFmtId="0" fontId="56" fillId="14" borderId="0" xfId="0" applyFont="1" applyFill="1" applyAlignment="1">
      <alignment horizontal="left"/>
    </xf>
    <xf numFmtId="0" fontId="87" fillId="14" borderId="0" xfId="0" applyFont="1" applyFill="1" applyAlignment="1">
      <alignment horizontal="left"/>
    </xf>
    <xf numFmtId="0" fontId="59" fillId="0" borderId="0" xfId="0" applyFont="1" applyAlignment="1">
      <alignment horizontal="left" wrapText="1"/>
    </xf>
    <xf numFmtId="0" fontId="119" fillId="0" borderId="0" xfId="0" applyFont="1" applyAlignment="1">
      <alignment horizontal="left" wrapText="1"/>
    </xf>
    <xf numFmtId="0" fontId="3"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16" xfId="0" applyFont="1" applyBorder="1" applyAlignment="1">
      <alignment horizontal="left" wrapText="1"/>
    </xf>
    <xf numFmtId="0" fontId="59" fillId="0" borderId="0" xfId="0" applyFont="1" applyAlignment="1">
      <alignment vertical="top" wrapText="1"/>
    </xf>
    <xf numFmtId="0" fontId="59" fillId="26" borderId="0" xfId="0" applyFont="1" applyFill="1"/>
    <xf numFmtId="0" fontId="59" fillId="20" borderId="0" xfId="0" applyFont="1" applyFill="1" applyAlignment="1">
      <alignment horizontal="left" vertical="top" wrapText="1"/>
    </xf>
    <xf numFmtId="0" fontId="3" fillId="0" borderId="0" xfId="0" applyFont="1" applyAlignment="1">
      <alignment horizontal="left"/>
    </xf>
    <xf numFmtId="0" fontId="3" fillId="0" borderId="0" xfId="0" applyFont="1" applyAlignment="1">
      <alignment horizontal="left" vertical="top" wrapText="1"/>
    </xf>
    <xf numFmtId="0" fontId="3" fillId="0" borderId="0" xfId="0" quotePrefix="1" applyFont="1" applyAlignment="1">
      <alignment horizontal="left" wrapText="1"/>
    </xf>
    <xf numFmtId="0" fontId="3" fillId="0" borderId="7" xfId="0" applyFont="1" applyBorder="1" applyAlignment="1">
      <alignment wrapText="1"/>
    </xf>
    <xf numFmtId="0" fontId="3" fillId="0" borderId="0" xfId="0" applyFont="1"/>
    <xf numFmtId="0" fontId="3" fillId="0" borderId="0" xfId="0" applyFont="1" applyAlignment="1">
      <alignment wrapText="1" shrinkToFit="1"/>
    </xf>
    <xf numFmtId="0" fontId="3" fillId="19" borderId="7" xfId="0" applyFont="1" applyFill="1" applyBorder="1" applyAlignment="1">
      <alignment wrapText="1"/>
    </xf>
    <xf numFmtId="0" fontId="3" fillId="20" borderId="0" xfId="0" applyFont="1" applyFill="1" applyAlignment="1">
      <alignment wrapText="1"/>
    </xf>
    <xf numFmtId="0" fontId="3" fillId="0" borderId="0" xfId="0" applyFont="1" applyAlignment="1">
      <alignment vertical="top" wrapText="1"/>
    </xf>
    <xf numFmtId="0" fontId="117" fillId="19" borderId="7" xfId="0" applyFont="1" applyFill="1" applyBorder="1" applyAlignment="1">
      <alignment horizontal="center" vertical="center"/>
    </xf>
    <xf numFmtId="0" fontId="117" fillId="19" borderId="36" xfId="0" applyFont="1" applyFill="1" applyBorder="1" applyAlignment="1">
      <alignment horizontal="center" vertical="center"/>
    </xf>
    <xf numFmtId="0" fontId="87" fillId="0" borderId="0" xfId="0" applyFont="1"/>
    <xf numFmtId="0" fontId="87" fillId="0" borderId="51" xfId="0" applyFont="1" applyBorder="1"/>
    <xf numFmtId="0" fontId="8" fillId="19" borderId="39" xfId="0" applyFont="1" applyFill="1" applyBorder="1"/>
    <xf numFmtId="0" fontId="27" fillId="19" borderId="39" xfId="0" applyFont="1" applyFill="1" applyBorder="1"/>
    <xf numFmtId="0" fontId="8" fillId="19" borderId="52" xfId="0" applyFont="1" applyFill="1" applyBorder="1"/>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0" xfId="0" applyFont="1" applyAlignment="1">
      <alignment horizontal="left"/>
    </xf>
    <xf numFmtId="0" fontId="1" fillId="0" borderId="0" xfId="0" applyFont="1" applyAlignment="1">
      <alignment wrapText="1"/>
    </xf>
    <xf numFmtId="0" fontId="0" fillId="5" borderId="1" xfId="0" applyFill="1" applyBorder="1"/>
    <xf numFmtId="0" fontId="64" fillId="15" borderId="8" xfId="0" applyFont="1" applyFill="1" applyBorder="1" applyAlignment="1">
      <alignment horizontal="left"/>
    </xf>
    <xf numFmtId="0" fontId="64" fillId="15" borderId="9" xfId="0" applyFont="1" applyFill="1" applyBorder="1" applyAlignment="1">
      <alignment horizontal="left"/>
    </xf>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68" fillId="0" borderId="23" xfId="0" applyNumberFormat="1" applyFont="1" applyBorder="1" applyAlignment="1">
      <alignment horizontal="center" vertical="center" wrapText="1"/>
    </xf>
    <xf numFmtId="49" fontId="69" fillId="0" borderId="17" xfId="0" applyNumberFormat="1" applyFont="1" applyBorder="1" applyAlignment="1">
      <alignment horizontal="center"/>
    </xf>
    <xf numFmtId="49" fontId="69" fillId="0" borderId="18" xfId="0" applyNumberFormat="1" applyFont="1" applyBorder="1" applyAlignment="1">
      <alignment horizontal="center"/>
    </xf>
    <xf numFmtId="49" fontId="69" fillId="0" borderId="19" xfId="0" applyNumberFormat="1" applyFont="1" applyBorder="1" applyAlignment="1">
      <alignment horizontal="center"/>
    </xf>
    <xf numFmtId="49" fontId="78" fillId="0" borderId="20" xfId="0" applyNumberFormat="1" applyFont="1" applyBorder="1" applyAlignment="1">
      <alignment horizontal="center" vertical="center" wrapText="1"/>
    </xf>
    <xf numFmtId="49" fontId="78" fillId="0" borderId="21" xfId="0" applyNumberFormat="1" applyFont="1" applyBorder="1" applyAlignment="1">
      <alignment horizontal="center" vertical="center" wrapText="1"/>
    </xf>
    <xf numFmtId="49" fontId="78" fillId="0" borderId="22" xfId="0" applyNumberFormat="1" applyFont="1" applyBorder="1" applyAlignment="1">
      <alignment horizontal="center"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horizontal="left" vertical="center"/>
    </xf>
    <xf numFmtId="0" fontId="43" fillId="13" borderId="0" xfId="0" applyFont="1" applyFill="1" applyAlignment="1">
      <alignment horizontal="center" vertical="center" wrapText="1"/>
    </xf>
    <xf numFmtId="0" fontId="36" fillId="0" borderId="0" xfId="0" applyFont="1" applyAlignment="1">
      <alignment horizontal="center" wrapText="1"/>
    </xf>
    <xf numFmtId="0" fontId="61" fillId="21" borderId="0" xfId="0" applyFont="1" applyFill="1" applyAlignment="1">
      <alignment horizontal="center" wrapText="1"/>
    </xf>
    <xf numFmtId="0" fontId="61" fillId="23" borderId="0" xfId="0" applyFont="1" applyFill="1" applyAlignment="1">
      <alignment horizontal="center" wrapText="1"/>
    </xf>
    <xf numFmtId="0" fontId="43" fillId="29" borderId="0" xfId="0" applyFont="1" applyFill="1" applyAlignment="1">
      <alignment wrapText="1"/>
    </xf>
    <xf numFmtId="0" fontId="38" fillId="33" borderId="0" xfId="0" applyFont="1" applyFill="1" applyAlignment="1">
      <alignment wrapText="1"/>
    </xf>
    <xf numFmtId="0" fontId="38" fillId="34" borderId="0" xfId="0" applyFont="1" applyFill="1" applyAlignment="1">
      <alignment wrapText="1"/>
    </xf>
    <xf numFmtId="0" fontId="38" fillId="35" borderId="0" xfId="0" applyFont="1" applyFill="1" applyAlignment="1">
      <alignment wrapText="1"/>
    </xf>
    <xf numFmtId="0" fontId="114" fillId="23" borderId="0" xfId="0" applyFont="1" applyFill="1" applyAlignment="1">
      <alignment horizontal="center" wrapText="1"/>
    </xf>
    <xf numFmtId="0" fontId="37" fillId="28" borderId="0" xfId="0" applyFont="1" applyFill="1" applyAlignment="1">
      <alignment horizontal="center" vertical="center"/>
    </xf>
    <xf numFmtId="0" fontId="36" fillId="0" borderId="0" xfId="0" applyFont="1" applyAlignment="1">
      <alignment wrapText="1"/>
    </xf>
    <xf numFmtId="0" fontId="116" fillId="34" borderId="0" xfId="0" applyFont="1" applyFill="1" applyAlignment="1">
      <alignment wrapText="1"/>
    </xf>
    <xf numFmtId="0" fontId="63" fillId="53" borderId="40" xfId="0" applyFont="1" applyFill="1" applyBorder="1" applyAlignment="1">
      <alignment horizontal="center" vertical="center"/>
    </xf>
    <xf numFmtId="0" fontId="63" fillId="53" borderId="29" xfId="0" applyFont="1" applyFill="1" applyBorder="1" applyAlignment="1">
      <alignment horizontal="center" vertical="center"/>
    </xf>
    <xf numFmtId="0" fontId="37" fillId="32" borderId="41" xfId="0" applyFont="1" applyFill="1" applyBorder="1" applyAlignment="1">
      <alignment horizontal="center" vertical="center"/>
    </xf>
    <xf numFmtId="0" fontId="37" fillId="32" borderId="34" xfId="0" applyFont="1" applyFill="1" applyBorder="1" applyAlignment="1">
      <alignment horizontal="center" vertical="center"/>
    </xf>
    <xf numFmtId="0" fontId="37" fillId="31" borderId="0" xfId="0" applyFont="1" applyFill="1" applyAlignment="1">
      <alignment horizontal="center" vertical="center"/>
    </xf>
    <xf numFmtId="0" fontId="37" fillId="30" borderId="0" xfId="0" applyFont="1" applyFill="1" applyAlignment="1">
      <alignment horizontal="center" vertical="center"/>
    </xf>
    <xf numFmtId="0" fontId="8" fillId="0" borderId="0" xfId="0" applyFont="1" applyAlignment="1">
      <alignment horizontal="left" vertical="top" wrapText="1"/>
    </xf>
    <xf numFmtId="0" fontId="8" fillId="0" borderId="0" xfId="0" applyFont="1" applyAlignment="1">
      <alignment horizontal="left" vertical="center" wrapText="1"/>
    </xf>
    <xf numFmtId="0" fontId="120" fillId="0" borderId="0" xfId="0" applyFont="1" applyAlignment="1">
      <alignment wrapText="1"/>
    </xf>
    <xf numFmtId="0" fontId="120" fillId="0" borderId="0" xfId="0" applyFont="1" applyAlignment="1">
      <alignment horizontal="left"/>
    </xf>
    <xf numFmtId="0" fontId="121" fillId="0" borderId="0" xfId="0" applyFont="1" applyAlignment="1">
      <alignment horizontal="left"/>
    </xf>
    <xf numFmtId="0" fontId="122" fillId="0" borderId="0" xfId="0" applyFont="1" applyAlignment="1">
      <alignment vertical="top" wrapText="1"/>
    </xf>
    <xf numFmtId="0" fontId="122" fillId="0" borderId="0" xfId="0" applyFont="1" applyAlignment="1">
      <alignment horizontal="left" wrapText="1"/>
    </xf>
    <xf numFmtId="0" fontId="122" fillId="0" borderId="0" xfId="0" applyFont="1" applyAlignment="1">
      <alignment wrapText="1"/>
    </xf>
    <xf numFmtId="0" fontId="111" fillId="0" borderId="0" xfId="0" applyFont="1" applyAlignment="1">
      <alignment horizontal="left" wrapText="1"/>
    </xf>
    <xf numFmtId="0" fontId="111" fillId="0" borderId="0" xfId="0" applyFont="1" applyAlignment="1">
      <alignment horizontal="center" vertical="center" wrapText="1"/>
    </xf>
    <xf numFmtId="0" fontId="111" fillId="20" borderId="0" xfId="0" applyFont="1" applyFill="1" applyAlignment="1">
      <alignment wrapText="1"/>
    </xf>
    <xf numFmtId="0" fontId="123" fillId="0" borderId="0" xfId="0" applyFont="1" applyAlignment="1">
      <alignment horizontal="center" wrapText="1"/>
    </xf>
    <xf numFmtId="0" fontId="122" fillId="0" borderId="0" xfId="0" applyFont="1" applyAlignment="1">
      <alignment horizontal="center" vertical="center" wrapText="1"/>
    </xf>
    <xf numFmtId="0" fontId="122" fillId="0" borderId="16" xfId="0" applyFont="1" applyBorder="1" applyAlignment="1">
      <alignment horizontal="center" wrapText="1"/>
    </xf>
    <xf numFmtId="0" fontId="120" fillId="26" borderId="0" xfId="0" applyFont="1" applyFill="1"/>
    <xf numFmtId="0" fontId="124" fillId="20" borderId="0" xfId="0" applyFont="1" applyFill="1" applyAlignment="1">
      <alignment horizontal="left" vertical="top" wrapText="1"/>
    </xf>
    <xf numFmtId="0" fontId="125" fillId="0" borderId="0" xfId="0" applyFont="1" applyAlignment="1">
      <alignment wrapText="1"/>
    </xf>
    <xf numFmtId="0" fontId="122" fillId="0" borderId="16" xfId="0" applyFont="1" applyBorder="1" applyAlignment="1">
      <alignment horizontal="left" wrapText="1"/>
    </xf>
    <xf numFmtId="0" fontId="111" fillId="0" borderId="0" xfId="0" applyFont="1" applyAlignment="1">
      <alignment horizontal="center" wrapText="1"/>
    </xf>
    <xf numFmtId="0" fontId="122" fillId="0" borderId="0" xfId="0" applyFo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904">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903" dataDxfId="902">
  <autoFilter ref="A8:AD20" xr:uid="{EF99425A-BF7C-494D-843B-A436A28F1D50}"/>
  <tableColumns count="30">
    <tableColumn id="26" xr3:uid="{F6E0102F-6A62-4676-8743-12C78DFD5AAE}" name="ID" totalsRowFunction="count" dataDxfId="901" totalsRowDxfId="900"/>
    <tableColumn id="34" xr3:uid="{C5C184C6-181D-45CF-A63D-7AEDCADFA43B}" name="Donnée (Niveau 1)" dataDxfId="899" totalsRowDxfId="898"/>
    <tableColumn id="1" xr3:uid="{48BA0677-2A51-4516-901D-245A32C9EF11}" name="Donnée (Niveau 2)" totalsRowFunction="count" dataDxfId="897" totalsRowDxfId="896"/>
    <tableColumn id="2" xr3:uid="{22B866D0-1B5E-4581-93E5-86229BC69C02}" name="Donnée (Niveau 3)" totalsRowFunction="count" dataDxfId="895" totalsRowDxfId="894"/>
    <tableColumn id="3" xr3:uid="{888BC815-3A76-4EEA-B68B-9A9CFFA21AC6}" name="Donnée (Niveau 4)" totalsRowFunction="count" dataDxfId="893" totalsRowDxfId="892"/>
    <tableColumn id="4" xr3:uid="{A1D31B95-E51B-44D1-A7C2-8E42F9D33E13}" name="Donnée (Niveau 5)" totalsRowFunction="count" dataDxfId="891" totalsRowDxfId="890"/>
    <tableColumn id="5" xr3:uid="{EA6D57DD-52EF-4D70-B539-0505DC6517EC}" name="Donnée (Niveau 6)" totalsRowFunction="count" dataDxfId="889" totalsRowDxfId="888"/>
    <tableColumn id="6" xr3:uid="{3FE552E2-2FEF-4E1A-B5DE-F4C21C13A296}" name="Description" totalsRowFunction="count" dataDxfId="887" totalsRowDxfId="886"/>
    <tableColumn id="14" xr3:uid="{BE5AEDCA-1CC5-4938-964E-9C68E6A07DC7}" name="Exemples" totalsRowFunction="count" dataDxfId="885" totalsRowDxfId="884"/>
    <tableColumn id="13" xr3:uid="{ED5FE47C-9997-4511-9856-83AF83A90171}" name="Fichier XSD" totalsRowFunction="count" dataDxfId="883" totalsRowDxfId="882"/>
    <tableColumn id="32" xr3:uid="{5C8C2495-D269-4E47-88B5-00584EF6B484}" name="Balise EMSI" dataDxfId="881" totalsRowDxfId="880"/>
    <tableColumn id="7" xr3:uid="{5C4F4C1E-17D3-4C4E-9650-A41F0BBB82B0}" name="Balise NexSIS" totalsRowFunction="count" dataDxfId="879" totalsRowDxfId="878"/>
    <tableColumn id="21" xr3:uid="{D8470834-C8F8-4F70-9302-7A4C602B72E6}" name="Nouvelle balise" totalsRowFunction="count" dataDxfId="877" totalsRowDxfId="876"/>
    <tableColumn id="8" xr3:uid="{D4E41060-B282-4AE5-8C87-3716CFB70625}" name="Nantes - balise" totalsRowFunction="count" dataDxfId="875" totalsRowDxfId="874"/>
    <tableColumn id="15" xr3:uid="{BB0E9A10-45CE-44DE-802C-D3A58D081A2F}" name="Nantes - description" totalsRowFunction="count" dataDxfId="873" totalsRowDxfId="872"/>
    <tableColumn id="18" xr3:uid="{8FE17C2A-E229-4B7F-B204-F356EEB4AE45}" name="GT399" totalsRowFunction="count" dataDxfId="871" totalsRowDxfId="870"/>
    <tableColumn id="9" xr3:uid="{4C9E2B92-3A78-454F-B9FF-8B97A2EAE3ED}" name="GT399 description" totalsRowFunction="count" dataDxfId="869" totalsRowDxfId="868"/>
    <tableColumn id="10" xr3:uid="{CCF33634-CF25-46BD-8DE3-12B24D24D5F8}" name="Priorisation" totalsRowFunction="count" dataDxfId="867" totalsRowDxfId="866"/>
    <tableColumn id="11" xr3:uid="{85B3828E-8687-4AA3-88CE-D610FCBDCFDE}" name="Cardinalité" dataDxfId="865" totalsRowDxfId="864"/>
    <tableColumn id="27" xr3:uid="{CF8F2F83-80E1-4F34-8CA4-101022C31379}" name="Objet" totalsRowFunction="count" dataDxfId="863" totalsRowDxfId="862"/>
    <tableColumn id="12" xr3:uid="{9491E93A-73C3-4214-8227-2A99EABCA3C1}" name="Format (ou type)" totalsRowFunction="count" dataDxfId="861" totalsRowDxfId="860"/>
    <tableColumn id="31" xr3:uid="{97801A1D-505C-4F61-ACF5-6EE844F5E23A}" name="Détails de format" dataDxfId="859" totalsRowDxfId="858"/>
    <tableColumn id="36" xr3:uid="{62248724-3AC6-48C6-B62F-D3C050A5A08F}" name="15-18" dataDxfId="857" totalsRowDxfId="856"/>
    <tableColumn id="35" xr3:uid="{2A6F94A4-B86B-4A8C-8862-6337DBF190B2}" name="15-15" dataDxfId="855" totalsRowDxfId="854"/>
    <tableColumn id="37" xr3:uid="{01782744-2942-D140-994A-3D343B0E0342}" name="CUT" dataDxfId="853" totalsRowDxfId="852"/>
    <tableColumn id="19" xr3:uid="{B112D546-E236-4723-880E-6D39731D2093}" name="Commentaire Hub Santé" totalsRowFunction="count" dataDxfId="851" totalsRowDxfId="850"/>
    <tableColumn id="16" xr3:uid="{E6CB6828-8B65-4F12-95B0-B9304BA135D8}" name="Commentaire Philippe Dreyfus" totalsRowFunction="count" dataDxfId="849" totalsRowDxfId="848"/>
    <tableColumn id="33" xr3:uid="{9AEA7D2D-C467-4E16-9414-C9877028EA11}" name="Commentaire FBE" dataDxfId="847" totalsRowDxfId="846"/>
    <tableColumn id="17" xr3:uid="{ACE48C56-220E-4341-8BEC-04B45FF1F728}" name="Commentaire Yann Penverne" totalsRowFunction="count" dataDxfId="845" totalsRowDxfId="844"/>
    <tableColumn id="20" xr3:uid="{A0AF1313-269D-4060-8F91-417D2F081DEB}" name="NexSIS" totalsRowFunction="custom" dataDxfId="843" totalsRowDxfId="842">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449" totalsRowDxfId="446" headerRowBorderDxfId="448" tableBorderDxfId="447" totalsRowBorderDxfId="445">
  <autoFilter ref="A8:W14" xr:uid="{E931F4C5-87AC-4B70-ADC3-93962301DA67}"/>
  <tableColumns count="23">
    <tableColumn id="1" xr3:uid="{1E224984-052D-4A13-B622-AE0F71DD159A}" name="ID" totalsRowFunction="count" dataDxfId="444" totalsRowDxfId="443"/>
    <tableColumn id="2" xr3:uid="{C0689F99-92F2-497E-8FC9-D5C9893BC7E9}" name="Donnée (Niveau 1)" totalsRowFunction="custom" dataDxfId="442" totalsRowDxfId="441">
      <totalsRowFormula>SUBTOTAL(103,Tableau9[Donnée (Niveau 1)])</totalsRowFormula>
    </tableColumn>
    <tableColumn id="3" xr3:uid="{415D4766-C4FA-4EA5-814E-1F0F00B07B37}" name="Donnée (Niveau 2)" totalsRowFunction="custom" dataDxfId="440" totalsRowDxfId="439">
      <totalsRowFormula>SUBTOTAL(103,Tableau9[Donnée (Niveau 2)])</totalsRowFormula>
    </tableColumn>
    <tableColumn id="4" xr3:uid="{3376F3F3-12CC-4AD9-9955-3EC68C5C3DD9}" name="Donnée (Niveau 3)" totalsRowFunction="custom" dataDxfId="438" totalsRowDxfId="437">
      <totalsRowFormula>SUBTOTAL(103,Tableau9[Donnée (Niveau 3)])</totalsRowFormula>
    </tableColumn>
    <tableColumn id="5" xr3:uid="{541A98F6-3A3C-473C-86A3-80321C6E2798}" name="Donnée (Niveau 4)" totalsRowFunction="custom" dataDxfId="436" totalsRowDxfId="435">
      <totalsRowFormula>SUBTOTAL(103,Tableau9[Donnée (Niveau 4)])</totalsRowFormula>
    </tableColumn>
    <tableColumn id="6" xr3:uid="{9860160A-69B0-43CC-ACC3-513CC21BBCC9}" name="Donnée (Niveau 5)" totalsRowFunction="custom" dataDxfId="434" totalsRowDxfId="433">
      <totalsRowFormula>SUBTOTAL(103,Tableau9[Donnée (Niveau 5)])</totalsRowFormula>
    </tableColumn>
    <tableColumn id="7" xr3:uid="{A283BE6B-5F72-4E28-A1D0-C3CEFC3A3203}" name="Donnée (Niveau 6)" totalsRowFunction="custom" dataDxfId="432" totalsRowDxfId="431">
      <totalsRowFormula>SUBTOTAL(103,Tableau9[Donnée (Niveau 6)])</totalsRowFormula>
    </tableColumn>
    <tableColumn id="8" xr3:uid="{19DF1CAC-A34E-4D6F-9152-7E372105A411}" name="Description" totalsRowFunction="custom" totalsRowDxfId="430">
      <totalsRowFormula>SUBTOTAL(103,Tableau9[Description])</totalsRowFormula>
    </tableColumn>
    <tableColumn id="9" xr3:uid="{19C7F4C5-FBF2-4DDF-8C18-64844C80A068}" name="Exemples" totalsRowFunction="custom" totalsRowDxfId="429">
      <totalsRowFormula>SUBTOTAL(103,Tableau9[Exemples])</totalsRowFormula>
    </tableColumn>
    <tableColumn id="10" xr3:uid="{25BE0A12-B3F7-4026-80D6-5AED0D62F912}" name="Balise NexSIS" totalsRowFunction="custom" totalsRowDxfId="428">
      <totalsRowFormula>SUBTOTAL(103,Tableau9[Balise NexSIS])</totalsRowFormula>
    </tableColumn>
    <tableColumn id="11" xr3:uid="{7578B8D2-C435-4424-9B0B-FE7DB8E3AC98}" name="Nouvelle balise" totalsRowFunction="custom" totalsRowDxfId="427">
      <totalsRowFormula>SUBTOTAL(103,Tableau9[Nouvelle balise])</totalsRowFormula>
    </tableColumn>
    <tableColumn id="12" xr3:uid="{BED9B1DE-1D7A-44E1-B55A-77D8F2867832}" name="Nantes - balise" totalsRowFunction="custom" totalsRowDxfId="426">
      <totalsRowFormula>SUBTOTAL(103,Tableau9[Nantes - balise])</totalsRowFormula>
    </tableColumn>
    <tableColumn id="13" xr3:uid="{0A269333-965B-47E6-A39A-3828EC8525D7}" name="Nantes - description" totalsRowFunction="custom" totalsRowDxfId="425">
      <totalsRowFormula>SUBTOTAL(103,Tableau9[Nantes - description])</totalsRowFormula>
    </tableColumn>
    <tableColumn id="14" xr3:uid="{9551F7F9-F22B-4AE0-8C95-D6D0EABBF631}" name="GT399" totalsRowFunction="custom" totalsRowDxfId="424">
      <totalsRowFormula>SUBTOTAL(103,Tableau9[GT399])</totalsRowFormula>
    </tableColumn>
    <tableColumn id="15" xr3:uid="{B250F388-C8B6-4941-A85E-C23834348517}" name="GT399 description" totalsRowFunction="custom" totalsRowDxfId="423">
      <totalsRowFormula>SUBTOTAL(103,Tableau9[GT399 description])</totalsRowFormula>
    </tableColumn>
    <tableColumn id="16" xr3:uid="{A477B070-59A8-4A28-9E4D-9B4503B0FCDC}" name="Priorisation" totalsRowFunction="custom" totalsRowDxfId="422">
      <totalsRowFormula>SUBTOTAL(103,Tableau9[Priorisation])</totalsRowFormula>
    </tableColumn>
    <tableColumn id="17" xr3:uid="{8D44E1CE-FB68-4E9B-AE44-0ADF0DFE048B}" name="Cardinalité" totalsRowFunction="custom" dataDxfId="421" totalsRowDxfId="420">
      <totalsRowFormula>SUBTOTAL(103,Tableau9[Cardinalité])</totalsRowFormula>
    </tableColumn>
    <tableColumn id="18" xr3:uid="{F5551B1C-1DCC-4580-B858-E095724B74EC}" name="Objet" totalsRowFunction="custom" totalsRowDxfId="419">
      <totalsRowFormula>SUBTOTAL(103,Tableau9[Objet])</totalsRowFormula>
    </tableColumn>
    <tableColumn id="19" xr3:uid="{836B344A-EF05-48E1-9A56-678F7B1B5ECF}" name="Format (ou type)" totalsRowFunction="custom" totalsRowDxfId="418">
      <totalsRowFormula>SUBTOTAL(103,Tableau9[Format (ou type)])</totalsRowFormula>
    </tableColumn>
    <tableColumn id="20" xr3:uid="{622F58D5-8FA2-4261-957A-F5060FF0501F}" name="Nomenclature/ énumération" totalsRowFunction="custom" totalsRowDxfId="417">
      <totalsRowFormula>SUBTOTAL(103,Tableau9[Nomenclature/ énumération])</totalsRowFormula>
    </tableColumn>
    <tableColumn id="21" xr3:uid="{EE4A67A2-A8BB-40C5-B66B-2C677A555E0D}" name="Détails de format" totalsRowFunction="custom" totalsRowDxfId="416">
      <totalsRowFormula>SUBTOTAL(103,Tableau9[Détails de format])</totalsRowFormula>
    </tableColumn>
    <tableColumn id="22" xr3:uid="{74252E4D-4A09-4C3D-A70C-71232233BE99}" name="15-18" totalsRowFunction="custom" totalsRowDxfId="415">
      <totalsRowFormula>SUBTOTAL(103,Tableau9[15-18])</totalsRowFormula>
    </tableColumn>
    <tableColumn id="23" xr3:uid="{9A825B74-72E7-4083-95A6-ADAB0B83FA51}" name="15-15" totalsRowFunction="custom" totalsRowDxfId="414">
      <totalsRowFormula>SUBTOTAL(103,Tableau9[15-15])</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413" headerRowBorderDxfId="412" tableBorderDxfId="411">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410">
      <totalsRowFormula>SUBTOTAL(103,Tableau911[Nantes - balise])</totalsRowFormula>
    </tableColumn>
    <tableColumn id="24" xr3:uid="{B812F9CB-695C-4233-9210-247EE7E30D5C}" name="Nantes - description" totalsRowFunction="custom" dataDxfId="409">
      <totalsRowFormula>SUBTOTAL(103,Tableau911[Nantes - description])</totalsRowFormula>
    </tableColumn>
    <tableColumn id="23" xr3:uid="{369A7FC9-8210-45F8-B7CE-7CA66D94704C}" name="GT399" totalsRowFunction="custom" dataDxfId="408">
      <totalsRowFormula>SUBTOTAL(103,Tableau911[GT399])</totalsRowFormula>
    </tableColumn>
    <tableColumn id="22" xr3:uid="{CC0C4430-85CE-4749-B0EF-01F38758D213}" name="GT399 description" totalsRowFunction="custom" dataDxfId="407">
      <totalsRowFormula>SUBTOTAL(103,Tableau911[GT399 description])</totalsRowFormula>
    </tableColumn>
    <tableColumn id="21" xr3:uid="{C8812723-9205-4252-A00F-7EA4ABD87E9F}" name="Priorisation" totalsRowFunction="custom" dataDxfId="406">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405" headerRowBorderDxfId="404" tableBorderDxfId="403">
  <autoFilter ref="A8:W11" xr:uid="{4F62EADF-21E3-48F1-8B6F-5A3984C01C34}"/>
  <tableColumns count="23">
    <tableColumn id="1" xr3:uid="{B6643D7A-4C2D-4D5B-82CD-9FB6A5509A72}" name="ID" totalsRowFunction="count"/>
    <tableColumn id="2" xr3:uid="{D8AD65B6-1FCA-4B50-9A1E-843B91A13A63}" name="Donnée (Niveau 1)" totalsRowFunction="custom" dataDxfId="402">
      <totalsRowFormula>SUBTOTAL(103,Tableau12[Donnée (Niveau 1)])</totalsRowFormula>
    </tableColumn>
    <tableColumn id="3" xr3:uid="{C51845AD-B914-429D-B634-E93F9EB2C6E2}" name="Donnée (Niveau 2)" totalsRowFunction="custom" dataDxfId="401">
      <totalsRowFormula>SUBTOTAL(103,Tableau12[Donnée (Niveau 2)])</totalsRowFormula>
    </tableColumn>
    <tableColumn id="4" xr3:uid="{708D3FF7-D497-49D4-A121-91CEB536EDC0}" name="Donnée (Niveau 3)" totalsRowFunction="custom" dataDxfId="400">
      <totalsRowFormula>SUBTOTAL(103,Tableau12[Donnée (Niveau 3)])</totalsRowFormula>
    </tableColumn>
    <tableColumn id="5" xr3:uid="{36BBF4F3-B871-4924-B1DF-09F52BEC9A84}" name="Donnée (Niveau 4)" totalsRowFunction="custom" dataDxfId="399">
      <totalsRowFormula>SUBTOTAL(103,Tableau12[Donnée (Niveau 4)])</totalsRowFormula>
    </tableColumn>
    <tableColumn id="6" xr3:uid="{912708D6-C037-4264-88D3-7DEB49F9D269}" name="Donnée (Niveau 5)" totalsRowFunction="custom" dataDxfId="398">
      <totalsRowFormula>SUBTOTAL(103,Tableau12[Donnée (Niveau 5)])</totalsRowFormula>
    </tableColumn>
    <tableColumn id="7" xr3:uid="{AEB42A44-4C97-42F7-968F-F3445075B977}" name="Donnée (Niveau 6)" totalsRowFunction="custom" dataDxfId="397">
      <totalsRowFormula>SUBTOTAL(103,Tableau12[Donnée (Niveau 6)])</totalsRowFormula>
    </tableColumn>
    <tableColumn id="8" xr3:uid="{05104B7E-48BC-48C5-B4C9-B0719BA33344}" name="Description" totalsRowFunction="custom" dataDxfId="396">
      <totalsRowFormula>SUBTOTAL(103,Tableau12[Description])</totalsRowFormula>
    </tableColumn>
    <tableColumn id="9" xr3:uid="{614AAED4-0FFF-4312-9849-5269BBACA5F4}" name="Exemples" totalsRowFunction="custom" dataDxfId="395">
      <totalsRowFormula>SUBTOTAL(103,Tableau12[Exemples])</totalsRowFormula>
    </tableColumn>
    <tableColumn id="24" xr3:uid="{E4AE869A-0CB6-491F-A644-3F5631849EE2}" name="Balise NexSIS" totalsRowFunction="custom" dataDxfId="394">
      <totalsRowFormula>SUBTOTAL(103,Tableau12[Balise NexSIS])</totalsRowFormula>
    </tableColumn>
    <tableColumn id="10" xr3:uid="{591036EA-D7D7-4CDB-9E72-F34570B08579}" name="Nouvelle balise" totalsRowFunction="custom" dataDxfId="393">
      <totalsRowFormula>SUBTOTAL(103,Tableau12[Nouvelle balise])</totalsRowFormula>
    </tableColumn>
    <tableColumn id="23" xr3:uid="{17E8B19F-5463-4A93-9375-F25F24920A06}" name="Nantes - balise" totalsRowFunction="custom" dataDxfId="392">
      <totalsRowFormula>SUBTOTAL(103,Tableau12[Nantes - balise])</totalsRowFormula>
    </tableColumn>
    <tableColumn id="22" xr3:uid="{752C5DB9-CA47-4947-BC51-EA0AB6CAF178}" name="Nantes - description" totalsRowFunction="custom" dataDxfId="391">
      <totalsRowFormula>SUBTOTAL(103,Tableau12[Nantes - description])</totalsRowFormula>
    </tableColumn>
    <tableColumn id="21" xr3:uid="{3086C8B1-9331-471D-85E4-DFE9ECD0778B}" name="GT399" totalsRowFunction="custom" dataDxfId="390">
      <totalsRowFormula>SUBTOTAL(103,Tableau12[GT399])</totalsRowFormula>
    </tableColumn>
    <tableColumn id="20" xr3:uid="{7161B64A-7444-47C0-A0EB-FBE31CB32883}" name="GT399 description" totalsRowFunction="custom" dataDxfId="389">
      <totalsRowFormula>SUBTOTAL(103,Tableau12[GT399 description])</totalsRowFormula>
    </tableColumn>
    <tableColumn id="19" xr3:uid="{7B7F428D-98DE-48C1-B4C7-1B8FEF343340}" name="Priorisation" totalsRowFunction="custom" dataDxfId="388">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841" dataDxfId="840" totalsRowDxfId="839">
  <autoFilter ref="A8:AD14" xr:uid="{EF99425A-BF7C-494D-843B-A436A28F1D50}"/>
  <tableColumns count="30">
    <tableColumn id="26" xr3:uid="{D5B2518C-6D8E-6147-8C4F-B866728B3834}" name="ID" totalsRowFunction="count" dataDxfId="838" totalsRowDxfId="837"/>
    <tableColumn id="34" xr3:uid="{87148819-B7A5-7947-82EE-7CD825960AED}" name="Donnée (Niveau 1)" dataDxfId="836" totalsRowDxfId="835"/>
    <tableColumn id="1" xr3:uid="{D13C8DA4-A6E7-6647-83BF-735A36445504}" name="Donnée (Niveau 2)" totalsRowFunction="count" dataDxfId="834" totalsRowDxfId="833"/>
    <tableColumn id="2" xr3:uid="{9844E3D8-484C-674F-A6FE-C5E74C0BECD7}" name="Donnée (Niveau 3)" totalsRowFunction="count" dataDxfId="832" totalsRowDxfId="831"/>
    <tableColumn id="3" xr3:uid="{EDEAC3BB-E6E5-6D4A-81D4-0D53BDE32BE7}" name="Donnée (Niveau 4)" totalsRowFunction="count" dataDxfId="830" totalsRowDxfId="829"/>
    <tableColumn id="4" xr3:uid="{02D62420-0C0A-4A42-BF62-D538EE277DA2}" name="Donnée (Niveau 5)" totalsRowFunction="count" dataDxfId="828" totalsRowDxfId="827"/>
    <tableColumn id="5" xr3:uid="{AEDF2332-EB8E-3F47-A30F-62F4B295DC6E}" name="Donnée (Niveau 6)" totalsRowFunction="count" dataDxfId="826" totalsRowDxfId="825"/>
    <tableColumn id="6" xr3:uid="{6B82679A-C79E-B942-87C2-2A9AC62DFE61}" name="Description" totalsRowFunction="count" dataDxfId="824" totalsRowDxfId="823"/>
    <tableColumn id="14" xr3:uid="{64EB0DE7-7110-B649-B47F-39D14AB54769}" name="Exemples" totalsRowFunction="count" dataDxfId="822" totalsRowDxfId="821"/>
    <tableColumn id="7" xr3:uid="{30859462-25E2-6C4B-8D3C-5F2310CF2710}" name="Balise NexSIS" totalsRowFunction="count" dataDxfId="820" totalsRowDxfId="819"/>
    <tableColumn id="21" xr3:uid="{C7789C87-5B0F-9240-95BB-36A6DBBF16F7}" name="Nouvelle balise" totalsRowFunction="count" dataDxfId="818" totalsRowDxfId="817"/>
    <tableColumn id="8" xr3:uid="{56A311D2-6944-B44A-BA90-1B44FB783B25}" name="Nantes - balise" totalsRowFunction="count" dataDxfId="816" totalsRowDxfId="815"/>
    <tableColumn id="15" xr3:uid="{CC481BC4-1ACF-7849-B03D-7121652EE416}" name="Nantes - description" totalsRowFunction="count" dataDxfId="814" totalsRowDxfId="813"/>
    <tableColumn id="18" xr3:uid="{DA3EC825-B94E-6142-B1D1-58F763F6812E}" name="GT399" totalsRowFunction="count" dataDxfId="812" totalsRowDxfId="811"/>
    <tableColumn id="9" xr3:uid="{A60F6B9F-CF7A-6F48-A3FD-7FC591506696}" name="GT399 description" totalsRowFunction="count" dataDxfId="810" totalsRowDxfId="809"/>
    <tableColumn id="10" xr3:uid="{F183E99A-8936-D242-9E2F-7DF202579449}" name="Priorisation" totalsRowFunction="count" dataDxfId="808" totalsRowDxfId="807"/>
    <tableColumn id="11" xr3:uid="{0C55DBEB-B030-EB40-8778-44C43E402B7D}" name="Cardinalité" dataDxfId="806" totalsRowDxfId="805"/>
    <tableColumn id="27" xr3:uid="{3EA0014F-1F9E-3346-86AA-D19E79E32F71}" name="Objet" totalsRowFunction="count" dataDxfId="804" totalsRowDxfId="803"/>
    <tableColumn id="12" xr3:uid="{A3CD3B4C-97D3-9741-9A73-087C7A9F8936}" name="Format (ou type)" totalsRowFunction="count" dataDxfId="802" totalsRowDxfId="801"/>
    <tableColumn id="37" xr3:uid="{3FE45E5F-AD1E-7B48-BE25-BC7327DD16EC}" name="Nomenclature/ énumération" dataDxfId="800" totalsRowDxfId="799"/>
    <tableColumn id="31" xr3:uid="{9CB46CA4-597C-5148-8480-F8796E3C5AFD}" name="Détails de format" dataDxfId="798" totalsRowDxfId="797"/>
    <tableColumn id="36" xr3:uid="{97A47004-218F-7749-B82B-5B2AEE40A23C}" name="15-18" dataDxfId="796" totalsRowDxfId="795"/>
    <tableColumn id="35" xr3:uid="{544CEA0F-DCB5-C64C-9CDE-A40F1906888F}" name="15-15" dataDxfId="794" totalsRowDxfId="793"/>
    <tableColumn id="39" xr3:uid="{6DB8C4C4-E592-DA4D-B502-CA1F3A98FF18}" name="CUT" dataDxfId="792" totalsRowDxfId="791"/>
    <tableColumn id="19" xr3:uid="{F48E57B7-0080-CD4F-8CC0-D9866BEEABEE}" name="Commentaire Hub Santé" totalsRowFunction="count" dataDxfId="790" totalsRowDxfId="789"/>
    <tableColumn id="16" xr3:uid="{93611743-80E2-3A49-9F47-6E81E63C36BC}" name="Commentaire Philippe Dreyfus" totalsRowFunction="count" dataDxfId="788" totalsRowDxfId="787"/>
    <tableColumn id="33" xr3:uid="{E8582012-E1AA-5C48-84F3-81E85831EA3D}" name="Commentaire FBE" dataDxfId="786" totalsRowDxfId="785"/>
    <tableColumn id="17" xr3:uid="{10CD9342-79AA-B840-BD59-F6A02345EC01}" name="Commentaire Yann Penverne" totalsRowFunction="count" dataDxfId="784" totalsRowDxfId="783"/>
    <tableColumn id="20" xr3:uid="{36DD8A92-EC42-2849-A047-5EE0AABF1132}" name="NexSIS" totalsRowFunction="custom" dataDxfId="782" totalsRowDxfId="781">
      <totalsRowFormula>SUBTOTAL(103,createCase3[NexSIS])-COUNTIFS(createCase3[NexSIS],"=X")</totalsRowFormula>
    </tableColumn>
    <tableColumn id="22" xr3:uid="{055A2D99-D525-3349-A349-779652E6F495}" name="Métier" totalsRowFunction="custom" dataDxfId="780" totalsRowDxfId="779">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5" totalsRowCount="1" headerRowDxfId="778" dataDxfId="777" totalsRowDxfId="776">
  <autoFilter ref="A8:AD184" xr:uid="{EF99425A-BF7C-494D-843B-A436A28F1D50}"/>
  <tableColumns count="30">
    <tableColumn id="26" xr3:uid="{F89F79B0-EC13-4626-8B8B-E72803CF8D7F}" name="ID" totalsRowFunction="count" dataDxfId="775" totalsRowDxfId="29"/>
    <tableColumn id="34" xr3:uid="{82D9E408-6E89-6548-8064-32C2C1C49796}" name="Donnée (Niveau 1)" dataDxfId="774" totalsRowDxfId="28"/>
    <tableColumn id="1" xr3:uid="{A4D81CB2-5DBF-46A1-831A-3B0CB8713987}" name="Donnée (Niveau 2)" totalsRowFunction="count" dataDxfId="773" totalsRowDxfId="27"/>
    <tableColumn id="2" xr3:uid="{70FEA672-42A5-4D50-83E3-20F1DC99F826}" name="Donnée (Niveau 3)" totalsRowFunction="count" dataDxfId="772" totalsRowDxfId="26"/>
    <tableColumn id="3" xr3:uid="{E5F546D4-3F7C-49D3-ACAD-5C0AA86EEA72}" name="Donnée (Niveau 4)" totalsRowFunction="count" dataDxfId="771" totalsRowDxfId="25"/>
    <tableColumn id="4" xr3:uid="{C36F63D5-6F86-4068-8553-7E11F2FF2E34}" name="Donnée (Niveau 5)" totalsRowFunction="count" dataDxfId="770" totalsRowDxfId="24"/>
    <tableColumn id="5" xr3:uid="{BCD32C8B-1BF5-4152-A4E3-856EB454D41F}" name="Donnée (Niveau 6)" totalsRowFunction="count" dataDxfId="769" totalsRowDxfId="23"/>
    <tableColumn id="6" xr3:uid="{31AB271A-A79E-4AD6-A425-139013E5C0ED}" name="Description" totalsRowFunction="count" dataDxfId="768" totalsRowDxfId="22"/>
    <tableColumn id="14" xr3:uid="{42356E16-5C2C-47EF-96D9-1439EB52D654}" name="Exemples" totalsRowFunction="count" dataDxfId="767" totalsRowDxfId="21"/>
    <tableColumn id="7" xr3:uid="{05B3DFF6-BC4E-40A1-862A-0EBD5F2686D8}" name="Balise NexSIS" totalsRowFunction="count" dataDxfId="766" totalsRowDxfId="20"/>
    <tableColumn id="21" xr3:uid="{A67EAB5D-C889-4A87-AEDD-CB5D507B5224}" name="Nouvelle balise" totalsRowFunction="count" dataDxfId="765" totalsRowDxfId="19"/>
    <tableColumn id="8" xr3:uid="{142E6E6B-2EEA-41C0-969F-103EB7FEE77B}" name="Nantes - balise" totalsRowFunction="count" dataDxfId="764" totalsRowDxfId="18"/>
    <tableColumn id="15" xr3:uid="{4B3C95EC-2C41-42CE-9528-75F02E532B07}" name="Nantes - description" totalsRowFunction="count" dataDxfId="763" totalsRowDxfId="17"/>
    <tableColumn id="18" xr3:uid="{DD4C49C8-6EEB-4810-B6DF-F5EA0958E68F}" name="GT399" totalsRowFunction="count" dataDxfId="762" totalsRowDxfId="16"/>
    <tableColumn id="9" xr3:uid="{1EF347D1-5F3C-455F-B7CC-0411A0A13BA5}" name="GT399 description" totalsRowFunction="count" dataDxfId="761" totalsRowDxfId="15"/>
    <tableColumn id="10" xr3:uid="{A688C13F-43B2-4D38-AB61-5A8FA70F8877}" name="Priorisation" totalsRowFunction="count" dataDxfId="760" totalsRowDxfId="14"/>
    <tableColumn id="11" xr3:uid="{740E98DF-4145-4688-96B5-1DB2B4C65860}" name="Cardinalité" dataDxfId="759" totalsRowDxfId="13"/>
    <tableColumn id="27" xr3:uid="{5362BDCB-F398-463F-807C-5642BE8139A3}" name="Objet" totalsRowFunction="count" dataDxfId="758" totalsRowDxfId="12"/>
    <tableColumn id="12" xr3:uid="{F99D40B9-B75A-4B6D-AD14-A9CC94A67A94}" name="Format (ou type)" totalsRowFunction="count" dataDxfId="757" totalsRowDxfId="11"/>
    <tableColumn id="37" xr3:uid="{C4249FC6-D549-4A35-98D7-D98FEFD604C7}" name="Nomenclature/ énumération" dataDxfId="756" totalsRowDxfId="10"/>
    <tableColumn id="31" xr3:uid="{165DCEEB-09D9-4414-9EB1-071322B65527}" name="Détails de format" dataDxfId="755" totalsRowDxfId="9"/>
    <tableColumn id="36" xr3:uid="{DFE77849-E589-4C00-A974-5EA32CAC9950}" name="15-18" dataDxfId="754" totalsRowDxfId="8"/>
    <tableColumn id="35" xr3:uid="{6F7422E5-A9F0-4CB5-94CC-23CADED3A1EA}" name="15-15" dataDxfId="753" totalsRowDxfId="7"/>
    <tableColumn id="39" xr3:uid="{D123E456-B227-404D-9075-2C12B6D79281}" name="CUT" dataDxfId="752" totalsRowDxfId="6"/>
    <tableColumn id="19" xr3:uid="{0E27CA97-E0CC-4707-8A95-C2EB8B822A50}" name="Commentaire Hub Santé" totalsRowFunction="count" dataDxfId="751" totalsRowDxfId="5"/>
    <tableColumn id="16" xr3:uid="{85C90A89-19FA-4640-8DE9-5BC81E29801A}" name="Commentaire Philippe Dreyfus" totalsRowFunction="count" dataDxfId="750" totalsRowDxfId="4"/>
    <tableColumn id="33" xr3:uid="{F9B7E469-F267-4217-89F6-2332B9BE9F00}" name="Commentaire FBE" dataDxfId="749" totalsRowDxfId="3"/>
    <tableColumn id="17" xr3:uid="{AF1719C0-5CFC-4F9F-8447-1E16DD154E8D}" name="Commentaire Yann Penverne" totalsRowFunction="count" dataDxfId="748" totalsRowDxfId="2"/>
    <tableColumn id="20" xr3:uid="{A1AC7405-8CAD-4797-ACD3-A6DB9BD4973A}" name="NexSIS" totalsRowFunction="custom" dataDxfId="747" totalsRowDxfId="1">
      <totalsRowFormula>SUBTOTAL(103,createCase[NexSIS])-COUNTIFS(createCase[NexSIS],"=X")</totalsRowFormula>
    </tableColumn>
    <tableColumn id="22" xr3:uid="{BFD15786-BC47-434A-8C58-1A07EC8D4305}" name="Métier" totalsRowFunction="custom" dataDxfId="746"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9B08A9-6E95-44C3-AAF2-47A1E041A300}" name="createCase2" displayName="createCase2" ref="A8:AD41" totalsRowCount="1" headerRowDxfId="745" dataDxfId="744" totalsRowDxfId="743">
  <autoFilter ref="A8:AD40" xr:uid="{139B08A9-6E95-44C3-AAF2-47A1E041A300}"/>
  <tableColumns count="30">
    <tableColumn id="26" xr3:uid="{76B09BD2-765E-4FE8-A29E-4F59C0D3711E}" name="ID" totalsRowFunction="count" dataDxfId="742" totalsRowDxfId="741"/>
    <tableColumn id="34" xr3:uid="{E6A9750D-7053-42BF-B6E9-5D60426C66F9}" name="Donnée (Niveau 1)" dataDxfId="740" totalsRowDxfId="739"/>
    <tableColumn id="1" xr3:uid="{4A041B0F-51F6-4EC2-81E6-BF60C95ABF25}" name="Donnée (Niveau 2)" totalsRowFunction="count" dataDxfId="738" totalsRowDxfId="737"/>
    <tableColumn id="2" xr3:uid="{508E268C-7E33-4DCA-9D64-83D885B49EC5}" name="Donnée (Niveau 3)" totalsRowFunction="count" dataDxfId="736" totalsRowDxfId="735"/>
    <tableColumn id="3" xr3:uid="{9071058B-1804-4AB5-AAE7-D8C9C7B172A4}" name="Donnée (Niveau 4)" totalsRowFunction="count" dataDxfId="734" totalsRowDxfId="733"/>
    <tableColumn id="4" xr3:uid="{1DD618A4-ED59-43AE-A0EF-48925F5F1DF7}" name="Donnée (Niveau 5)" totalsRowFunction="count" dataDxfId="732" totalsRowDxfId="731"/>
    <tableColumn id="5" xr3:uid="{DC181194-2591-4E2C-B612-885B1DD860D2}" name="Donnée (Niveau 6)" totalsRowFunction="count" dataDxfId="730" totalsRowDxfId="729"/>
    <tableColumn id="6" xr3:uid="{3E49BD0B-2C80-4D4F-A659-BBF50E5B0114}" name="Description" totalsRowFunction="count" dataDxfId="728" totalsRowDxfId="727"/>
    <tableColumn id="14" xr3:uid="{C549C695-BAEF-49B5-A6D0-DD9B2603E7F0}" name="Exemples" totalsRowFunction="count" dataDxfId="726" totalsRowDxfId="725"/>
    <tableColumn id="7" xr3:uid="{3A029491-29BB-4A14-A068-783A3BE9CC02}" name="Balise NexSIS" totalsRowFunction="count" dataDxfId="724" totalsRowDxfId="723"/>
    <tableColumn id="21" xr3:uid="{35970E5D-CE82-4B4E-8042-878639816E01}" name="Nouvelle balise" totalsRowFunction="count" dataDxfId="722" totalsRowDxfId="721"/>
    <tableColumn id="8" xr3:uid="{674D42D7-849A-4D38-BBE6-32BE88031AC3}" name="Nantes - balise" totalsRowFunction="count" dataDxfId="720" totalsRowDxfId="719"/>
    <tableColumn id="15" xr3:uid="{C98D4E8E-1263-466C-B977-9228E42E6B00}" name="Nantes - description" totalsRowFunction="count" dataDxfId="718" totalsRowDxfId="717"/>
    <tableColumn id="18" xr3:uid="{DE1FC6D8-BAB2-4E3D-9655-D3AFFDC7901A}" name="GT399" totalsRowFunction="count" dataDxfId="716" totalsRowDxfId="715"/>
    <tableColumn id="9" xr3:uid="{CB79D2B8-2C86-4243-85BB-74FBC8C27E99}" name="GT399 description" totalsRowFunction="count" dataDxfId="714" totalsRowDxfId="713"/>
    <tableColumn id="10" xr3:uid="{2D46238A-3590-40BF-8718-041D8D64C9ED}" name="Priorisation" totalsRowFunction="count" dataDxfId="712" totalsRowDxfId="711"/>
    <tableColumn id="11" xr3:uid="{2C5C1662-A3D3-4057-93B5-F0916A89A3F7}" name="Cardinalité" dataDxfId="710" totalsRowDxfId="709"/>
    <tableColumn id="27" xr3:uid="{37755F76-E837-4DB7-8AC8-ACA5F1ADBDE4}" name="Objet" totalsRowFunction="count" dataDxfId="708" totalsRowDxfId="707"/>
    <tableColumn id="12" xr3:uid="{C9A7FA5F-4EF8-43F5-873B-C866A2D24F9C}" name="Format (ou type)" totalsRowFunction="count" dataDxfId="706" totalsRowDxfId="705"/>
    <tableColumn id="37" xr3:uid="{D2628546-E974-4FE9-85CF-345D22D4CAEA}" name="Nomenclature/ énumération" dataDxfId="704" totalsRowDxfId="703"/>
    <tableColumn id="31" xr3:uid="{8834D6C9-91D9-4EE6-A7FE-EA935206C97A}" name="Détails de format" dataDxfId="702" totalsRowDxfId="701"/>
    <tableColumn id="36" xr3:uid="{F3CF33D2-5F9B-4F42-ADEC-C7558AA3D097}" name="15-18" dataDxfId="700" totalsRowDxfId="699"/>
    <tableColumn id="35" xr3:uid="{A4B741B2-27ED-4D6E-83EA-5674583CB8F7}" name="15-15" dataDxfId="698" totalsRowDxfId="697"/>
    <tableColumn id="39" xr3:uid="{82EF489F-83FD-44B6-98BE-98C0B08DCF31}" name="CUT" dataDxfId="696" totalsRowDxfId="695"/>
    <tableColumn id="19" xr3:uid="{E14635D2-4836-49E1-B486-3A7B5BADDE08}" name="Commentaire Hub Santé" totalsRowFunction="count" dataDxfId="694" totalsRowDxfId="693"/>
    <tableColumn id="16" xr3:uid="{0944CC7E-4137-4097-9CC1-0EB22831617D}" name="Commentaire Philippe Dreyfus" totalsRowFunction="count" dataDxfId="692" totalsRowDxfId="691"/>
    <tableColumn id="33" xr3:uid="{489D7767-92B8-4DF9-98DC-35CB934214D2}" name="Commentaire FBE" dataDxfId="690" totalsRowDxfId="689"/>
    <tableColumn id="17" xr3:uid="{CD72D700-F87C-4002-9D2D-800596DC1B5C}" name="Commentaire Yann Penverne" totalsRowFunction="count" dataDxfId="688" totalsRowDxfId="687"/>
    <tableColumn id="20" xr3:uid="{CE76C422-74CC-405E-A0AB-2C07404599C5}" name="NexSIS" totalsRowFunction="custom" dataDxfId="686" totalsRowDxfId="685">
      <totalsRowFormula>SUBTOTAL(103,createCase2[NexSIS])-COUNTIFS(createCase2[NexSIS],"=X")</totalsRowFormula>
    </tableColumn>
    <tableColumn id="22" xr3:uid="{FA49D6E4-4797-4E5F-9319-F66E82C15CDA}" name="Métier" totalsRowFunction="custom" dataDxfId="684" totalsRowDxfId="683">
      <totalsRowFormula>SUBTOTAL(103,createCase2[Métier])-COUNTIFS(createCase2[Métier],"=X")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D57" totalsRowCount="1" headerRowDxfId="682" dataDxfId="681" totalsRowDxfId="680">
  <autoFilter ref="A8:AD56" xr:uid="{63D50B21-49FD-4724-931E-4B74BF8476B1}"/>
  <tableColumns count="30">
    <tableColumn id="26" xr3:uid="{8D5EDC39-215F-4E94-846A-3D4ACA1D2C53}" name="ID" totalsRowFunction="count" dataDxfId="679" totalsRowDxfId="678"/>
    <tableColumn id="34" xr3:uid="{207093F4-4D8B-4CEB-9D2D-235D14641525}" name="Donnée (Niveau 1)" dataDxfId="677" totalsRowDxfId="676"/>
    <tableColumn id="1" xr3:uid="{9E73ABC5-269F-4BD3-9995-81E72371DAE3}" name="Donnée (Niveau 2)" totalsRowFunction="count" dataDxfId="675" totalsRowDxfId="674"/>
    <tableColumn id="2" xr3:uid="{2161A585-4F28-44FE-A023-7DB4D8C14776}" name="Donnée (Niveau 3)" totalsRowFunction="count" dataDxfId="673" totalsRowDxfId="672"/>
    <tableColumn id="3" xr3:uid="{B4AC3C84-E90A-41BE-8D7E-B00512446AA0}" name="Donnée (Niveau 4)" totalsRowFunction="count" dataDxfId="671" totalsRowDxfId="670"/>
    <tableColumn id="4" xr3:uid="{7625C9EB-D58E-42FE-879B-9F8F2027D9BC}" name="Donnée (Niveau 5)" totalsRowFunction="count" dataDxfId="669" totalsRowDxfId="668"/>
    <tableColumn id="5" xr3:uid="{F9A74558-8C8F-45C8-835B-46F0B31B479D}" name="Donnée (Niveau 6)" totalsRowFunction="count" dataDxfId="667" totalsRowDxfId="666"/>
    <tableColumn id="6" xr3:uid="{09509801-3591-48A7-8985-CCEA3490DE3C}" name="Description" totalsRowFunction="count" dataDxfId="665" totalsRowDxfId="664"/>
    <tableColumn id="14" xr3:uid="{8545E83F-C13A-48FC-82C5-4A224D3A6106}" name="Exemples" totalsRowFunction="count" dataDxfId="663" totalsRowDxfId="662"/>
    <tableColumn id="7" xr3:uid="{F7282465-AB67-4D8A-90B4-CAF4CDB5007B}" name="Balise NexSIS" totalsRowFunction="count" dataDxfId="661" totalsRowDxfId="660"/>
    <tableColumn id="21" xr3:uid="{44DD35C0-3D58-465E-82FF-70ABB11F29EF}" name="Nouvelle balise" totalsRowFunction="count" dataDxfId="659" totalsRowDxfId="658"/>
    <tableColumn id="8" xr3:uid="{8F87BED5-B74C-4B7A-B29D-D91C208A9F73}" name="Nantes - balise" totalsRowFunction="count" dataDxfId="657" totalsRowDxfId="656"/>
    <tableColumn id="15" xr3:uid="{718CC66C-29F4-4C63-B0E0-D70789F55F8F}" name="Nantes - description" totalsRowFunction="count" dataDxfId="655" totalsRowDxfId="654"/>
    <tableColumn id="18" xr3:uid="{65F92B88-E7A2-45E5-8796-E162FAED8248}" name="GT399" totalsRowFunction="count" dataDxfId="653" totalsRowDxfId="652"/>
    <tableColumn id="9" xr3:uid="{A24D6524-4257-4D93-94F9-A3667397DDBA}" name="GT399 description" totalsRowFunction="count" dataDxfId="651" totalsRowDxfId="650"/>
    <tableColumn id="10" xr3:uid="{E016D53B-CB5B-4F83-A1DA-7C210BE8E926}" name="Priorisation" totalsRowFunction="count" dataDxfId="649" totalsRowDxfId="648"/>
    <tableColumn id="11" xr3:uid="{17AE5B25-E42A-4545-AF36-AE2BF5D231F1}" name="Cardinalité" dataDxfId="647" totalsRowDxfId="646"/>
    <tableColumn id="27" xr3:uid="{0646FC2D-E448-497F-9566-96B9E754D7B3}" name="Objet" totalsRowFunction="count" dataDxfId="645" totalsRowDxfId="644"/>
    <tableColumn id="12" xr3:uid="{9F463A79-A8A7-456D-BC30-1910D14EEA3A}" name="Format (ou type)" totalsRowFunction="count" dataDxfId="643" totalsRowDxfId="642"/>
    <tableColumn id="37" xr3:uid="{B034C9F4-78BE-4F4D-9B79-BA9F5DAB2826}" name="Nomenclature/ énumération" dataDxfId="641" totalsRowDxfId="640"/>
    <tableColumn id="31" xr3:uid="{3158C7A2-A99D-4EF2-8BAE-8667747DCF73}" name="Détails de format" dataDxfId="639" totalsRowDxfId="638"/>
    <tableColumn id="36" xr3:uid="{89279DA3-D94C-4AAB-B817-DF00FFBA9888}" name="15-18" dataDxfId="637" totalsRowDxfId="636"/>
    <tableColumn id="35" xr3:uid="{EE84F553-FEE7-4CD0-89C0-C8DD492F4429}" name="15-15" dataDxfId="635" totalsRowDxfId="634"/>
    <tableColumn id="39" xr3:uid="{DA320A45-45B6-4963-91DD-917A38D8DF49}" name="CUT" dataDxfId="633" totalsRowDxfId="632"/>
    <tableColumn id="19" xr3:uid="{FF109D4E-4787-4AB3-9E15-478656FCDADF}" name="Commentaire Hub Santé" totalsRowFunction="count" dataDxfId="631" totalsRowDxfId="630"/>
    <tableColumn id="16" xr3:uid="{642C8AF9-3354-4F6C-A37B-363B64C9780B}" name="Commentaire Philippe Dreyfus" totalsRowFunction="count" dataDxfId="629" totalsRowDxfId="628"/>
    <tableColumn id="33" xr3:uid="{44001357-ED08-4953-9C2E-B2302A17E223}" name="Commentaire FBE" dataDxfId="627" totalsRowDxfId="626"/>
    <tableColumn id="17" xr3:uid="{D9CE2245-CA19-44A0-94CC-CE702DFB5445}" name="Commentaire Yann Penverne" totalsRowFunction="count" dataDxfId="625" totalsRowDxfId="624"/>
    <tableColumn id="20" xr3:uid="{2A0BBAC6-9A77-4C1A-BA6E-777232E44EA6}" name="NexSIS" totalsRowFunction="custom" dataDxfId="623" totalsRowDxfId="622">
      <totalsRowFormula>SUBTOTAL(103,createCase2912[NexSIS])-COUNTIFS(createCase2912[NexSIS],"=X")</totalsRowFormula>
    </tableColumn>
    <tableColumn id="22" xr3:uid="{2D3A15A0-662A-48E8-A3A3-1095AE1804CC}" name="Métier" totalsRowFunction="custom" dataDxfId="621" totalsRowDxfId="620">
      <totalsRowFormula>SUBTOTAL(103,createCase2912[Métier])-COUNTIFS(createCase2912[Métier],"=X")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619" dataDxfId="618" totalsRowDxfId="617">
  <autoFilter ref="A8:AD18" xr:uid="{3932ADEA-DC88-4A0F-8DAC-A587FD7E4148}"/>
  <tableColumns count="30">
    <tableColumn id="26" xr3:uid="{3299B1BE-9E8D-4297-8D33-E8B4E6314998}" name="ID" totalsRowFunction="count" dataDxfId="616" totalsRowDxfId="615"/>
    <tableColumn id="34" xr3:uid="{943EB1AA-FC87-47D8-9208-417FE7A33ACF}" name="Donnée (Niveau 1)" dataDxfId="614" totalsRowDxfId="613"/>
    <tableColumn id="1" xr3:uid="{9AB0B7F6-617C-49F5-8E21-C93976E9DCDA}" name="Donnée (Niveau 2)" totalsRowFunction="count" dataDxfId="612" totalsRowDxfId="611"/>
    <tableColumn id="2" xr3:uid="{A48A81EF-3C17-489D-BCD8-5B425E174DCF}" name="Donnée (Niveau 3)" totalsRowFunction="count" dataDxfId="610" totalsRowDxfId="609"/>
    <tableColumn id="3" xr3:uid="{AEF972B8-4C2B-48DE-9661-295612B8D9D4}" name="Donnée (Niveau 4)" totalsRowFunction="count" dataDxfId="608" totalsRowDxfId="607"/>
    <tableColumn id="4" xr3:uid="{3788DC23-8937-4CF6-BF8E-302839D5FFDD}" name="Donnée (Niveau 5)" totalsRowFunction="count" dataDxfId="606" totalsRowDxfId="605"/>
    <tableColumn id="5" xr3:uid="{52D81477-ABE6-4966-B95A-C02F570AE73A}" name="Donnée (Niveau 6)" totalsRowFunction="count" dataDxfId="604" totalsRowDxfId="603"/>
    <tableColumn id="6" xr3:uid="{8CBF540E-BEA4-4436-8262-A7C687CE3E2D}" name="Description" totalsRowFunction="count" dataDxfId="602" totalsRowDxfId="601"/>
    <tableColumn id="14" xr3:uid="{64D795F4-1995-494F-810E-260DF2C5085A}" name="Exemples" totalsRowFunction="count" dataDxfId="600" totalsRowDxfId="599"/>
    <tableColumn id="7" xr3:uid="{D6B3F761-7C6E-417A-9BDD-696632C9F5FF}" name="Balise NexSIS" totalsRowFunction="count" dataDxfId="598" totalsRowDxfId="597"/>
    <tableColumn id="21" xr3:uid="{9DFC9AE6-5781-4CF5-9259-45DCFD672294}" name="Nouvelle balise" totalsRowFunction="count" dataDxfId="596" totalsRowDxfId="595"/>
    <tableColumn id="8" xr3:uid="{01EECBEF-753B-4F59-99A4-4790E47E73EE}" name="Nantes - balise" totalsRowFunction="count" dataDxfId="594" totalsRowDxfId="593"/>
    <tableColumn id="15" xr3:uid="{0A856445-1DFB-47A0-8F98-1BB704EBE9BB}" name="Nantes - description" totalsRowFunction="count" dataDxfId="592" totalsRowDxfId="591"/>
    <tableColumn id="18" xr3:uid="{C7281F1D-46DF-4F03-B261-CAA071B10445}" name="GT399" totalsRowFunction="count" dataDxfId="590" totalsRowDxfId="589"/>
    <tableColumn id="9" xr3:uid="{8F75A270-1699-45B9-AEE8-46DC9C103E9A}" name="GT399 description" totalsRowFunction="count" dataDxfId="588" totalsRowDxfId="587"/>
    <tableColumn id="10" xr3:uid="{C4EF9828-8BEA-45BA-9358-37C041F8BE93}" name="Priorisation" totalsRowFunction="count" dataDxfId="586" totalsRowDxfId="585"/>
    <tableColumn id="11" xr3:uid="{C8A1EB70-9D5E-41CB-888E-94DB682F73EE}" name="Cardinalité" dataDxfId="584" totalsRowDxfId="583"/>
    <tableColumn id="27" xr3:uid="{CA1C1D4B-6AA0-4DEB-8946-D2D88578F7E3}" name="Objet" totalsRowFunction="count" dataDxfId="582" totalsRowDxfId="581"/>
    <tableColumn id="12" xr3:uid="{DE654E76-8FBA-4354-9CF8-6E6A462E6409}" name="Format (ou type)" totalsRowFunction="count" dataDxfId="580" totalsRowDxfId="579"/>
    <tableColumn id="37" xr3:uid="{C96CA3D7-42EC-4F04-A68A-7444B82822C8}" name="Nomenclature/ énumération" dataDxfId="578" totalsRowDxfId="577"/>
    <tableColumn id="31" xr3:uid="{D0A863DE-C408-4007-8ED1-035E6F8C1949}" name="Détails de format" dataDxfId="576" totalsRowDxfId="575"/>
    <tableColumn id="36" xr3:uid="{4FBDDCB5-6890-404E-AF57-163DA21D490D}" name="15-18" dataDxfId="574" totalsRowDxfId="573"/>
    <tableColumn id="35" xr3:uid="{31AA9CC8-C176-428C-BF54-6A11D6D81BB2}" name="15-15" dataDxfId="572" totalsRowDxfId="571"/>
    <tableColumn id="39" xr3:uid="{8866D17E-800C-4E85-BE99-1E028619BE67}" name="CUT" dataDxfId="570" totalsRowDxfId="569"/>
    <tableColumn id="19" xr3:uid="{89AE86E7-D981-4E55-B036-1545CE5A0149}" name="Commentaire Hub Santé" totalsRowFunction="count" dataDxfId="568" totalsRowDxfId="567"/>
    <tableColumn id="16" xr3:uid="{ACDAA173-B451-4B80-A3E5-E5A1D928393F}" name="Commentaire Philippe Dreyfus" totalsRowFunction="count" dataDxfId="566" totalsRowDxfId="565"/>
    <tableColumn id="33" xr3:uid="{9B4758BD-1388-4079-8A50-1F8C39538EDF}" name="Commentaire FBE" dataDxfId="564" totalsRowDxfId="563"/>
    <tableColumn id="17" xr3:uid="{BF13D23C-C019-4EEE-96CD-540F8E568157}" name="Commentaire Yann Penverne" totalsRowFunction="count" dataDxfId="562" totalsRowDxfId="561"/>
    <tableColumn id="20" xr3:uid="{CA95465C-6ED7-43BD-96F7-66CA68FFA6DF}" name="NexSIS" totalsRowFunction="custom" dataDxfId="560" totalsRowDxfId="559">
      <totalsRowFormula>SUBTOTAL(103,createCase29[NexSIS])-COUNTIFS(createCase29[NexSIS],"=X")</totalsRowFormula>
    </tableColumn>
    <tableColumn id="22" xr3:uid="{A91321AB-D5A1-492C-80AF-94204824579D}" name="Métier" totalsRowFunction="custom" dataDxfId="558" totalsRowDxfId="557">
      <totalsRowFormula>SUBTOTAL(103,createCase29[Métier])-COUNTIFS(createCase29[Métier],"=X")</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556">
  <autoFilter ref="A8:W23" xr:uid="{EEF68223-2157-47F6-9133-264D671F0942}"/>
  <tableColumns count="23">
    <tableColumn id="1" xr3:uid="{0308532B-296F-49D7-B76E-23948A2F1FAE}" name="ID" totalsRowFunction="count" dataDxfId="555" totalsRowDxfId="554"/>
    <tableColumn id="2" xr3:uid="{4E5CA3CD-74C0-41D7-A064-93B29A44F6EA}" name="Donnée (Niveau 1)" totalsRowFunction="custom" dataDxfId="553" totalsRowDxfId="552">
      <totalsRowFormula>SUBTOTAL(103,Tableau3[Donnée (Niveau 1)])</totalsRowFormula>
    </tableColumn>
    <tableColumn id="3" xr3:uid="{099F4D11-28E8-482A-B443-FA0B35F69A5A}" name="Donnée (Niveau 2)" totalsRowFunction="custom" dataDxfId="551" totalsRowDxfId="550">
      <totalsRowFormula>SUBTOTAL(103,Tableau3[Donnée (Niveau 2)])</totalsRowFormula>
    </tableColumn>
    <tableColumn id="4" xr3:uid="{894FFF8F-C344-436B-8995-6D977D9EE845}" name="Donnée (Niveau 3)" totalsRowFunction="custom" dataDxfId="549" totalsRowDxfId="548">
      <totalsRowFormula>SUBTOTAL(103,Tableau3[Donnée (Niveau 3)])</totalsRowFormula>
    </tableColumn>
    <tableColumn id="5" xr3:uid="{AB815DDF-5ECF-4083-A621-45835C8FE42C}" name="Donnée (Niveau 4)" totalsRowFunction="custom" dataDxfId="547" totalsRowDxfId="546">
      <totalsRowFormula>SUBTOTAL(103,Tableau3[Donnée (Niveau 4)])</totalsRowFormula>
    </tableColumn>
    <tableColumn id="6" xr3:uid="{20F05C10-E73C-4ECE-95CB-368439F635A4}" name="Donnée (Niveau 5)" totalsRowFunction="custom" dataDxfId="545" totalsRowDxfId="544">
      <totalsRowFormula>SUBTOTAL(103,Tableau3[Donnée (Niveau 5)])</totalsRowFormula>
    </tableColumn>
    <tableColumn id="7" xr3:uid="{CD2D80B3-AFB4-4A43-A25F-9936020F0A33}" name="Donnée (Niveau 6)" totalsRowFunction="custom" dataDxfId="543" totalsRowDxfId="542">
      <totalsRowFormula>SUBTOTAL(103,Tableau3[Donnée (Niveau 6)])</totalsRowFormula>
    </tableColumn>
    <tableColumn id="8" xr3:uid="{6D534A97-72D3-4D26-ACDA-1E36EFF5A5D1}" name="Description" totalsRowFunction="custom" totalsRowDxfId="541">
      <totalsRowFormula>SUBTOTAL(103,Tableau3[Description])</totalsRowFormula>
    </tableColumn>
    <tableColumn id="9" xr3:uid="{1C7F0F41-E26E-4A31-99F7-36DA6F587FD4}" name="Exemples" totalsRowFunction="custom" totalsRowDxfId="540">
      <totalsRowFormula>SUBTOTAL(103,Tableau3[Exemples])</totalsRowFormula>
    </tableColumn>
    <tableColumn id="10" xr3:uid="{16E03419-7018-452F-85C4-FD235A5FD831}" name="Balise NexSIS" totalsRowFunction="custom" totalsRowDxfId="539">
      <totalsRowFormula>SUBTOTAL(103,Tableau3[Balise NexSIS])</totalsRowFormula>
    </tableColumn>
    <tableColumn id="11" xr3:uid="{B07E8B63-480E-4E4D-B3C9-5480DBD4EBFD}" name="Nouvelle balise" totalsRowFunction="custom" totalsRowDxfId="538">
      <totalsRowFormula>SUBTOTAL(103,Tableau3[Nouvelle balise])</totalsRowFormula>
    </tableColumn>
    <tableColumn id="12" xr3:uid="{580E514F-043D-4789-9329-386B22D4622D}" name="Nantes - balise" totalsRowFunction="custom" totalsRowDxfId="537">
      <totalsRowFormula>SUBTOTAL(103,Tableau3[Nantes - balise])</totalsRowFormula>
    </tableColumn>
    <tableColumn id="13" xr3:uid="{0C60FD75-9B70-4899-B643-430300539392}" name="Nantes - description" totalsRowFunction="custom" totalsRowDxfId="536">
      <totalsRowFormula>SUBTOTAL(103,Tableau3[Nantes - description])</totalsRowFormula>
    </tableColumn>
    <tableColumn id="14" xr3:uid="{A80B0132-E4A5-41BF-9151-A57B2C45E16D}" name="GT399" totalsRowFunction="custom" totalsRowDxfId="535">
      <totalsRowFormula>SUBTOTAL(103,Tableau3[GT399])</totalsRowFormula>
    </tableColumn>
    <tableColumn id="15" xr3:uid="{8E187925-974B-4A24-81D7-AB82144912F1}" name="GT399 description" totalsRowFunction="custom" totalsRowDxfId="534">
      <totalsRowFormula>SUBTOTAL(103,Tableau3[GT399 description])</totalsRowFormula>
    </tableColumn>
    <tableColumn id="16" xr3:uid="{42F38D08-76CB-4B3A-A731-4207FB6FBE23}" name="Priorisation" totalsRowFunction="custom" totalsRowDxfId="533">
      <totalsRowFormula>SUBTOTAL(103,Tableau3[Priorisation])</totalsRowFormula>
    </tableColumn>
    <tableColumn id="17" xr3:uid="{9F68F1ED-1480-436C-8BC5-AA551A9025A4}" name="Cardinalité" totalsRowFunction="custom" dataDxfId="532" totalsRowDxfId="531">
      <totalsRowFormula>SUBTOTAL(103,Tableau3[Cardinalité])</totalsRowFormula>
    </tableColumn>
    <tableColumn id="18" xr3:uid="{8D71687D-B67F-4FBE-A91C-E3D7AF1CF7CE}" name="Objet" totalsRowFunction="custom" dataDxfId="530" totalsRowDxfId="529">
      <totalsRowFormula>SUBTOTAL(103,Tableau3[Objet])</totalsRowFormula>
    </tableColumn>
    <tableColumn id="19" xr3:uid="{3997D7F5-733D-4A1D-97E2-3BDAED2B9FE3}" name="Format (ou type)" totalsRowFunction="custom" dataDxfId="528" totalsRowDxfId="527">
      <totalsRowFormula>SUBTOTAL(103,Tableau3[Format (ou type)])</totalsRowFormula>
    </tableColumn>
    <tableColumn id="20" xr3:uid="{33562809-70DE-436A-940D-49F45D5F14A8}" name="Nomenclature/ énumération" totalsRowFunction="custom" totalsRowDxfId="526">
      <totalsRowFormula>SUBTOTAL(103,Tableau3[Nomenclature/ énumération])</totalsRowFormula>
    </tableColumn>
    <tableColumn id="21" xr3:uid="{0FBF9953-AE08-41BF-9CDE-EA27950F10D4}" name="Détails de format" totalsRowFunction="custom" totalsRowDxfId="525">
      <totalsRowFormula>SUBTOTAL(103,Tableau3[Détails de format])</totalsRowFormula>
    </tableColumn>
    <tableColumn id="22" xr3:uid="{9F868D8D-588A-4128-8291-ABF86AE38F9A}" name="15-18" totalsRowFunction="custom" dataDxfId="524" totalsRowDxfId="523">
      <totalsRowFormula>SUBTOTAL(103,Tableau3[15-18])</totalsRowFormula>
    </tableColumn>
    <tableColumn id="23" xr3:uid="{87B18F95-525A-4A9B-860F-C7A99278233D}" name="15-15" totalsRowFunction="custom" dataDxfId="522" totalsRowDxfId="521">
      <totalsRowFormula>SUBTOTAL(103,Tableau3[15-15])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520">
  <autoFilter ref="A8:W9" xr:uid="{75253F3A-254C-4618-A5FE-BEE9E9C3C612}"/>
  <tableColumns count="23">
    <tableColumn id="1" xr3:uid="{B9312955-B2A3-439B-98E2-35497FC3B9CD}" name="ID" totalsRowFunction="count" dataDxfId="519" totalsRowDxfId="518"/>
    <tableColumn id="2" xr3:uid="{A41A30AA-1973-446D-97F1-BB8048C22A4F}" name="Donnée (Niveau 1)" totalsRowFunction="custom" dataDxfId="517" totalsRowDxfId="516">
      <totalsRowFormula>SUBTOTAL(103,Tableau35[Donnée (Niveau 1)])</totalsRowFormula>
    </tableColumn>
    <tableColumn id="3" xr3:uid="{DFE7CE8D-9D20-4AEF-A0BD-66C619A3B39A}" name="Donnée (Niveau 2)" totalsRowFunction="custom" dataDxfId="515" totalsRowDxfId="514">
      <totalsRowFormula>SUBTOTAL(103,Tableau35[Donnée (Niveau 2)])</totalsRowFormula>
    </tableColumn>
    <tableColumn id="4" xr3:uid="{D4BCA6FB-BEEB-4675-B373-97CA3247D3B3}" name="Donnée (Niveau 3)" totalsRowFunction="custom" dataDxfId="513" totalsRowDxfId="512">
      <totalsRowFormula>SUBTOTAL(103,Tableau35[Donnée (Niveau 3)])</totalsRowFormula>
    </tableColumn>
    <tableColumn id="5" xr3:uid="{98330C77-3D56-4BE0-94A2-82DDC5827C96}" name="Donnée (Niveau 4)" totalsRowFunction="custom" dataDxfId="511" totalsRowDxfId="510">
      <totalsRowFormula>SUBTOTAL(103,Tableau35[Donnée (Niveau 4)])</totalsRowFormula>
    </tableColumn>
    <tableColumn id="6" xr3:uid="{3D011196-6587-48FF-87E2-AE1D56773EE7}" name="Donnée (Niveau 5)" totalsRowFunction="custom" dataDxfId="509" totalsRowDxfId="508">
      <totalsRowFormula>SUBTOTAL(103,Tableau35[Donnée (Niveau 5)])</totalsRowFormula>
    </tableColumn>
    <tableColumn id="7" xr3:uid="{9EBCC79E-BB78-43E2-8390-99AED4817490}" name="Donnée (Niveau 6)" totalsRowFunction="custom" dataDxfId="507" totalsRowDxfId="506">
      <totalsRowFormula>SUBTOTAL(103,Tableau35[Donnée (Niveau 6)])</totalsRowFormula>
    </tableColumn>
    <tableColumn id="8" xr3:uid="{E26B9737-D2F7-4253-9691-0FAB27540899}" name="Description" totalsRowFunction="custom" totalsRowDxfId="505">
      <totalsRowFormula>SUBTOTAL(103,Tableau35[Description])</totalsRowFormula>
    </tableColumn>
    <tableColumn id="9" xr3:uid="{CD269DAD-CD7B-426A-8623-52708A75A9F3}" name="Exemples" totalsRowFunction="custom" totalsRowDxfId="504">
      <totalsRowFormula>SUBTOTAL(103,Tableau35[Exemples])</totalsRowFormula>
    </tableColumn>
    <tableColumn id="10" xr3:uid="{20924355-7D5C-49E1-BBA9-453A972E5FD5}" name="Balise NexSIS" totalsRowFunction="custom" totalsRowDxfId="503">
      <totalsRowFormula>SUBTOTAL(103,Tableau35[Balise NexSIS])</totalsRowFormula>
    </tableColumn>
    <tableColumn id="11" xr3:uid="{E6886C03-3B0D-46D0-99EE-5173E67D42D5}" name="Nouvelle balise" totalsRowFunction="custom" totalsRowDxfId="502">
      <totalsRowFormula>SUBTOTAL(103,Tableau35[Nouvelle balise])</totalsRowFormula>
    </tableColumn>
    <tableColumn id="12" xr3:uid="{FC0A1304-6D18-4479-8A8D-40E1640CC417}" name="Nantes - balise" totalsRowFunction="custom" totalsRowDxfId="501">
      <totalsRowFormula>SUBTOTAL(103,Tableau35[Nantes - balise])</totalsRowFormula>
    </tableColumn>
    <tableColumn id="13" xr3:uid="{F13FED84-5993-4B0F-9596-BB54F03D8CD2}" name="Nantes - description" totalsRowFunction="custom" totalsRowDxfId="500">
      <totalsRowFormula>SUBTOTAL(103,Tableau35[Nantes - description])</totalsRowFormula>
    </tableColumn>
    <tableColumn id="14" xr3:uid="{D10C28EC-5A2B-4C5A-9DF5-FA610DC16AB7}" name="GT399" totalsRowFunction="custom" totalsRowDxfId="499">
      <totalsRowFormula>SUBTOTAL(103,Tableau35[GT399])</totalsRowFormula>
    </tableColumn>
    <tableColumn id="15" xr3:uid="{BEB12139-7DD8-42F5-B1E1-2ECBC4C5542E}" name="GT399 description" totalsRowFunction="custom" totalsRowDxfId="498">
      <totalsRowFormula>SUBTOTAL(103,Tableau35[GT399 description])</totalsRowFormula>
    </tableColumn>
    <tableColumn id="16" xr3:uid="{188B779B-92B8-4FEF-8EED-51C2A38708D0}" name="Priorisation" totalsRowFunction="custom" totalsRowDxfId="497">
      <totalsRowFormula>SUBTOTAL(103,Tableau35[Priorisation])</totalsRowFormula>
    </tableColumn>
    <tableColumn id="17" xr3:uid="{F4CC96EB-6D1D-4960-BCD8-CD461F381ED8}" name="Cardinalité" totalsRowFunction="custom" dataDxfId="496" totalsRowDxfId="495">
      <totalsRowFormula>SUBTOTAL(103,Tableau35[Cardinalité])</totalsRowFormula>
    </tableColumn>
    <tableColumn id="18" xr3:uid="{B0090839-6783-4E0E-8106-4E6A56CCAFD2}" name="Objet" totalsRowFunction="custom" dataDxfId="494" totalsRowDxfId="493">
      <totalsRowFormula>SUBTOTAL(103,Tableau35[Objet])</totalsRowFormula>
    </tableColumn>
    <tableColumn id="19" xr3:uid="{A81D9ACE-1BA2-42E2-A7BF-AD6A21D051B7}" name="Format (ou type)" totalsRowFunction="custom" dataDxfId="492" totalsRowDxfId="491">
      <totalsRowFormula>SUBTOTAL(103,Tableau35[Format (ou type)])</totalsRowFormula>
    </tableColumn>
    <tableColumn id="20" xr3:uid="{395551A0-AF3E-4BCA-A2D1-B5B3AFE7BB0F}" name="Nomenclature/ énumération" totalsRowFunction="custom" totalsRowDxfId="490">
      <totalsRowFormula>SUBTOTAL(103,Tableau35[Nomenclature/ énumération])</totalsRowFormula>
    </tableColumn>
    <tableColumn id="21" xr3:uid="{CA6C9852-2D54-43AF-A983-D0F4CF56B2B4}" name="Détails de format" totalsRowFunction="custom" totalsRowDxfId="489">
      <totalsRowFormula>SUBTOTAL(103,Tableau35[Détails de format])</totalsRowFormula>
    </tableColumn>
    <tableColumn id="22" xr3:uid="{15560D52-4B8E-408C-878A-EEE9AFD8D183}" name="15-18" totalsRowFunction="custom" totalsRowDxfId="488">
      <totalsRowFormula>SUBTOTAL(103,Tableau35[15-18])</totalsRowFormula>
    </tableColumn>
    <tableColumn id="23" xr3:uid="{F8085B3C-2A10-48F6-B2F1-428BF4D2A4F6}" name="15-15" totalsRowFunction="custom" totalsRowDxfId="487">
      <totalsRowFormula>SUBTOTAL(103,Tableau35[15-15])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486">
  <autoFilter ref="A8:W19" xr:uid="{1FE8A3AF-4E94-4B60-8D0F-BDD2D3ECE80A}"/>
  <tableColumns count="23">
    <tableColumn id="1" xr3:uid="{2194A6A9-978B-49BF-92EC-24BA1F982865}" name="ID" totalsRowFunction="count" dataDxfId="485" totalsRowDxfId="484"/>
    <tableColumn id="2" xr3:uid="{7639722A-2F33-4FF5-974B-AF23A0A6AFB1}" name="Donnée (Niveau 1)" totalsRowFunction="custom" dataDxfId="483" totalsRowDxfId="482">
      <totalsRowFormula>SUBTOTAL(103,Tableau357[Donnée (Niveau 1)])</totalsRowFormula>
    </tableColumn>
    <tableColumn id="3" xr3:uid="{9BD64E43-D2AF-489F-A571-5D02F069CB5A}" name="Donnée (Niveau 2)" totalsRowFunction="custom" dataDxfId="481" totalsRowDxfId="480">
      <totalsRowFormula>SUBTOTAL(103,Tableau357[Donnée (Niveau 2)])</totalsRowFormula>
    </tableColumn>
    <tableColumn id="4" xr3:uid="{3A15C35A-E24A-431E-9B0F-5AA03F1DEC65}" name="Donnée (Niveau 3)" totalsRowFunction="custom" dataDxfId="479" totalsRowDxfId="478">
      <totalsRowFormula>SUBTOTAL(103,Tableau357[Donnée (Niveau 3)])</totalsRowFormula>
    </tableColumn>
    <tableColumn id="5" xr3:uid="{30450838-7269-4B21-AED9-DE744E6D7BE7}" name="Donnée (Niveau 4)" totalsRowFunction="custom" dataDxfId="477" totalsRowDxfId="476">
      <totalsRowFormula>SUBTOTAL(103,Tableau357[Donnée (Niveau 4)])</totalsRowFormula>
    </tableColumn>
    <tableColumn id="6" xr3:uid="{3660E566-E514-413D-B57E-5899D7E2C97A}" name="Donnée (Niveau 5)" totalsRowFunction="custom" dataDxfId="475" totalsRowDxfId="474">
      <totalsRowFormula>SUBTOTAL(103,Tableau357[Donnée (Niveau 5)])</totalsRowFormula>
    </tableColumn>
    <tableColumn id="7" xr3:uid="{9C7BB915-267A-4C5A-AA02-029048F4DC4E}" name="Donnée (Niveau 6)" totalsRowFunction="custom" dataDxfId="473" totalsRowDxfId="472">
      <totalsRowFormula>SUBTOTAL(103,Tableau357[Donnée (Niveau 6)])</totalsRowFormula>
    </tableColumn>
    <tableColumn id="8" xr3:uid="{E5B15786-B76A-4BEA-9067-9613FD29334F}" name="Description" totalsRowFunction="custom" totalsRowDxfId="471">
      <totalsRowFormula>SUBTOTAL(103,Tableau357[Description])</totalsRowFormula>
    </tableColumn>
    <tableColumn id="9" xr3:uid="{8DB05C06-6CE9-4263-BA6F-48CE0AE9983C}" name="Exemples" totalsRowFunction="custom" totalsRowDxfId="470">
      <totalsRowFormula>SUBTOTAL(103,Tableau357[Exemples])</totalsRowFormula>
    </tableColumn>
    <tableColumn id="10" xr3:uid="{1837705E-85D2-43D6-9CDA-E6F77570DBBD}" name="Balise NexSIS" totalsRowFunction="custom" totalsRowDxfId="469">
      <totalsRowFormula>SUBTOTAL(103,Tableau357[Balise NexSIS])</totalsRowFormula>
    </tableColumn>
    <tableColumn id="11" xr3:uid="{957F756D-730B-4641-8748-30510E6525C0}" name="Nouvelle balise" totalsRowFunction="custom" dataDxfId="468" totalsRowDxfId="467">
      <totalsRowFormula>SUBTOTAL(103,Tableau357[Nouvelle balise])</totalsRowFormula>
    </tableColumn>
    <tableColumn id="12" xr3:uid="{3169EF9C-BB85-4FFA-B5E7-A3B8B73FC3A2}" name="Nantes - balise" totalsRowFunction="custom" totalsRowDxfId="466">
      <totalsRowFormula>SUBTOTAL(103,Tableau357[Nantes - balise])</totalsRowFormula>
    </tableColumn>
    <tableColumn id="13" xr3:uid="{E548F095-B313-42ED-B82E-D4F99D2C0A04}" name="Nantes - description" totalsRowFunction="custom" totalsRowDxfId="465">
      <totalsRowFormula>SUBTOTAL(103,Tableau357[Nantes - description])</totalsRowFormula>
    </tableColumn>
    <tableColumn id="14" xr3:uid="{CC704391-8DDA-45F3-B8AB-AE5DEBD43C11}" name="GT399" totalsRowFunction="custom" totalsRowDxfId="464">
      <totalsRowFormula>SUBTOTAL(103,Tableau357[GT399])</totalsRowFormula>
    </tableColumn>
    <tableColumn id="15" xr3:uid="{A5BB6FA3-0492-4977-AD3E-CEAAE8366B7A}" name="GT399 description" totalsRowFunction="custom" totalsRowDxfId="463">
      <totalsRowFormula>SUBTOTAL(103,Tableau357[GT399 description])</totalsRowFormula>
    </tableColumn>
    <tableColumn id="16" xr3:uid="{6BC9EA61-5862-4D25-B98C-EA9E88DF081C}" name="Priorisation" totalsRowFunction="custom" totalsRowDxfId="462">
      <totalsRowFormula>SUBTOTAL(103,Tableau357[Priorisation])</totalsRowFormula>
    </tableColumn>
    <tableColumn id="17" xr3:uid="{F8CC7813-2529-4AB6-8673-B22D55F47970}" name="Cardinalité" totalsRowFunction="custom" dataDxfId="461" totalsRowDxfId="460">
      <totalsRowFormula>SUBTOTAL(103,Tableau357[Cardinalité])</totalsRowFormula>
    </tableColumn>
    <tableColumn id="18" xr3:uid="{F8AA89E9-3720-467E-92C2-F847AE5D62EB}" name="Objet" totalsRowFunction="custom" dataDxfId="459" totalsRowDxfId="458">
      <totalsRowFormula>SUBTOTAL(103,Tableau357[Objet])</totalsRowFormula>
    </tableColumn>
    <tableColumn id="19" xr3:uid="{044C8000-1042-455B-8904-0733131290E6}" name="Format (ou type)" totalsRowFunction="custom" dataDxfId="457" totalsRowDxfId="456">
      <totalsRowFormula>SUBTOTAL(103,Tableau357[Format (ou type)])</totalsRowFormula>
    </tableColumn>
    <tableColumn id="20" xr3:uid="{4C43F220-1FFF-4D6A-B274-6AC8F1923DC0}" name="Nomenclature/ énumération" totalsRowFunction="custom" dataDxfId="455" totalsRowDxfId="454">
      <totalsRowFormula>SUBTOTAL(103,Tableau357[Nomenclature/ énumération])</totalsRowFormula>
    </tableColumn>
    <tableColumn id="21" xr3:uid="{F3647E69-0E89-450A-AF38-B5627E006D73}" name="Détails de format" totalsRowFunction="custom" dataDxfId="453" totalsRowDxfId="452">
      <totalsRowFormula>SUBTOTAL(103,Tableau357[Détails de format])</totalsRowFormula>
    </tableColumn>
    <tableColumn id="22" xr3:uid="{BDA6CEC4-51B8-4CFB-B6B6-B7AF21F84DE9}" name="15-18" totalsRowFunction="custom" totalsRowDxfId="451">
      <totalsRowFormula>SUBTOTAL(103,Tableau357[15-18])</totalsRowFormula>
    </tableColumn>
    <tableColumn id="23" xr3:uid="{A7D9FC89-3D3C-442A-BF60-2B5E8CAB8757}" name="15-15" totalsRowFunction="custom" totalsRowDxfId="450">
      <totalsRowFormula>SUBTOTAL(103,Tableau357[15-15])</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U35" dT="2024-03-22T14:10:43.40" personId="{E9A6DF60-F9B3-4BD0-BB8A-DE1D37E26830}" id="{0CFF5582-9153-4C81-BF2B-0E3E475CB201}">
    <text>Voir pour compléter cette liste ?</text>
  </threadedComment>
  <threadedComment ref="D44"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4"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4"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4" dT="2023-06-15T08:20:05.47" personId="{C9A89B3A-A5FD-6849-8E65-1CD4E6C7CFF2}" id="{62D969EF-9883-4543-B543-50F15B16ED43}" parentId="{8DE310B9-0615-45CC-A644-35176EC52B6C}">
    <text>Rq : lieu-dits permettent aussi de séparer 2 rives</text>
  </threadedComment>
  <threadedComment ref="D44"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4" dT="2023-06-15T08:21:45.68" personId="{C9A89B3A-A5FD-6849-8E65-1CD4E6C7CFF2}" id="{29E0E845-8D17-4F32-BBCA-3117A62A82CF}" parentId="{8DE310B9-0615-45CC-A644-35176EC52B6C}">
    <text>Pas sûr qu'on puisse les exploiter...</text>
  </threadedComment>
  <threadedComment ref="D44" dT="2023-06-15T08:22:12.60" personId="{C9A89B3A-A5FD-6849-8E65-1CD4E6C7CFF2}" id="{E22B87A0-3BCA-4E15-AB4D-3E7D7E799EF9}" parentId="{8DE310B9-0615-45CC-A644-35176EC52B6C}">
    <text xml:space="preserve">Autoroute dans un sens = 1 commune et lieu-dits pour les tronçons </text>
  </threadedComment>
  <threadedComment ref="D44"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4" dT="2023-06-15T08:23:09.21" personId="{C9A89B3A-A5FD-6849-8E65-1CD4E6C7CFF2}" id="{3CC5A5F7-7E87-4EEE-8B8C-05E635D40FC7}" parentId="{8DE310B9-0615-45CC-A644-35176EC52B6C}">
    <text>Pas de dictionnaire opérationnel commun...</text>
  </threadedComment>
  <threadedComment ref="D44"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8"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8" dT="2023-09-21T08:26:59.23" personId="{ABFB0C52-AC18-4406-B6D7-B9BCF5A2A0D7}" id="{DADC5CF8-F488-411A-AE3B-4C5106A577E2}" parentId="{49FC8FAC-1BAF-45B2-887C-3878DB0CEBFB}">
    <text>On peut limiter le nombre de détails à 20 par exemple</text>
  </threadedComment>
  <threadedComment ref="D57" dT="2023-11-28T09:23:33.55" personId="{E9A6DF60-F9B3-4BD0-BB8A-DE1D37E26830}" id="{8B068B41-6738-4D89-AE95-7DBE47687C8B}">
    <text xml:space="preserve">Faut-il utiliser un autre objet, déjà existant ? </text>
  </threadedComment>
  <threadedComment ref="Q60" dT="2023-10-26T21:36:55.27" personId="{C9A89B3A-A5FD-6849-8E65-1CD4E6C7CFF2}" id="{82E4F400-D3A9-2343-9417-D338A272253E}" done="1">
    <text>Nécessaire de le passer obligatoire pour NexSIS (retour Scriptal) ?</text>
  </threadedComment>
  <threadedComment ref="H68" dT="2023-06-15T08:29:05.80" personId="{C9A89B3A-A5FD-6849-8E65-1CD4E6C7CFF2}" id="{4ED4D63E-99DA-4C40-8B3F-74484A91486A}" done="1">
    <text>Pourquoi passer par EPSG-4326 et pas dire WGS-84 direct ?</text>
  </threadedComment>
  <threadedComment ref="H68" dT="2023-06-15T08:29:45.24" personId="{C9A89B3A-A5FD-6849-8E65-1CD4E6C7CFF2}" id="{7B030752-5833-4DC9-AD05-3BBB102E62CA}" parentId="{4ED4D63E-99DA-4C40-8B3F-74484A91486A}">
    <text>WGS système de projection et EPSG système de coordonnées ?</text>
  </threadedComment>
  <threadedComment ref="D69" dT="2023-09-21T18:09:18.83" personId="{ABFB0C52-AC18-4406-B6D7-B9BCF5A2A0D7}" id="{F2C29A76-9B08-4696-A7FF-552A24CA01B1}">
    <text xml:space="preserve">En attente précision NexSIS
</text>
  </threadedComment>
  <threadedComment ref="H69" dT="2023-11-06T15:00:23.61" personId="{ABFB0C52-AC18-4406-B6D7-B9BCF5A2A0D7}" id="{A443D7D1-FE76-42EE-B140-98BBD5AEDCB9}">
    <text>Attention, pas d'équivalent strict du GML en json</text>
  </threadedComment>
  <threadedComment ref="S69" dT="2023-09-15T20:46:47.38" personId="{C9A89B3A-A5FD-6849-8E65-1CD4E6C7CFF2}" id="{44161FD7-DA29-2241-8A73-168E646C6F3C}">
    <text>Pourquoi est-ce une string ?</text>
  </threadedComment>
  <threadedComment ref="S69" dT="2023-09-19T08:55:24.63" personId="{ABFB0C52-AC18-4406-B6D7-B9BCF5A2A0D7}" id="{C4FA73F1-A3E9-4362-B6DA-8609738BA1A7}" parentId="{44161FD7-DA29-2241-8A73-168E646C6F3C}">
    <text>À confirmer avec NexSIS, est-ce qu'on passe bien un fichier .sketch via une string ?</text>
  </threadedComment>
  <threadedComment ref="S69" dT="2023-10-11T16:20:12.31" personId="{ABFB0C52-AC18-4406-B6D7-B9BCF5A2A0D7}" id="{0ABDFDBF-CB19-4FD4-B295-E323559D0024}" parentId="{44161FD7-DA29-2241-8A73-168E646C6F3C}">
    <text>En attente exemple NexSIS</text>
  </threadedComment>
  <threadedComment ref="D70"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0"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0"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71" dT="2023-11-08T13:56:26.21" personId="{ABFB0C52-AC18-4406-B6D7-B9BCF5A2A0D7}" id="{82723964-123F-464F-AC6E-1559C240D31E}">
    <text>Vraiment une enum ?</text>
  </threadedComment>
  <threadedComment ref="H74" dT="2023-09-21T10:47:24.82" personId="{ABFB0C52-AC18-4406-B6D7-B9BCF5A2A0D7}" id="{F6DBF483-4352-48F3-A605-280A47B8FAE1}" done="1">
    <text>Voir si il y'a une nomenclature NexSIS</text>
  </threadedComment>
  <threadedComment ref="H74" dT="2023-10-11T16:20:34.55" personId="{ABFB0C52-AC18-4406-B6D7-B9BCF5A2A0D7}" id="{3D1BFA56-129F-4F59-AEC8-B2129F29C6DE}" parentId="{F6DBF483-4352-48F3-A605-280A47B8FAE1}">
    <text>=&gt; se rapprocher d'ISO</text>
  </threadedComment>
  <threadedComment ref="B76"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6"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6"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6"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6" dT="2023-09-22T09:00:11.92" personId="{C9A89B3A-A5FD-6849-8E65-1CD4E6C7CFF2}" id="{E4DBF580-F695-1240-B403-399ED7FC597D}" parentId="{36EBE513-9CB4-3348-B010-D39B51DF2455}">
    <text>-&gt; Dans tous les cas, les LRM doivent prendre la plus récente !</text>
  </threadedComment>
  <threadedComment ref="Q76"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6" dT="2023-09-22T09:03:47.31" personId="{C9A89B3A-A5FD-6849-8E65-1CD4E6C7CFF2}" id="{864DEDA1-82F2-BE42-883E-A0DE68C6DABF}" parentId="{36EBE513-9CB4-3348-B010-D39B51DF2455}">
    <text>Nader creuse le sujet côté NexSIS pour voir comment c’est fait / modifiable côté NexSIS</text>
  </threadedComment>
  <threadedComment ref="Q76"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7" dT="2023-09-21T09:46:56.60" personId="{ABFB0C52-AC18-4406-B6D7-B9BCF5A2A0D7}" id="{2185076E-A743-4FEC-950F-43630CD6417E}" done="1">
    <text>REGEX à définir</text>
  </threadedComment>
  <threadedComment ref="Q77" dT="2023-10-16T11:55:16.89" personId="{C9A89B3A-A5FD-6849-8E65-1CD4E6C7CFF2}" id="{2A6A195C-5D26-FA4B-91BD-34DAEC1D051C}" done="1">
    <text>Pas vraiment géré côté Santé, possible de passer la cardinalité à 0..1 ?</text>
  </threadedComment>
  <threadedComment ref="C78" dT="2023-09-22T09:00:43.88" personId="{ABFB0C52-AC18-4406-B6D7-B9BCF5A2A0D7}" id="{C5B6241A-BACF-47B3-9FCB-3D62B0208AEB}" done="1">
    <text>Pour savoir quelle alerte utiliser dans une affaire :
=&gt; Regarder cette date de réception</text>
  </threadedComment>
  <threadedComment ref="D80" dT="2023-07-03T14:32:04.26" personId="{6D908C62-98CE-5042-81E4-8ACAD1B880FE}" id="{849D9658-5404-49CC-A650-D8E23CF68C04}">
    <text>Comment on gère le fait que des informations médicales et personnelles peuvent être saisies dans ce champs par le SAMU</text>
  </threadedComment>
  <threadedComment ref="D80" dT="2023-09-25T11:53:05.92" personId="{C9A89B3A-A5FD-6849-8E65-1CD4E6C7CFF2}" id="{7E857887-808A-2345-B2BE-7D90DB86AB49}" parentId="{849D9658-5404-49CC-A650-D8E23CF68C04}">
    <text>Quelle politique HDS côté NexSIS ?</text>
  </threadedComment>
  <threadedComment ref="J80" dT="2023-09-21T09:49:59.10" personId="{ABFB0C52-AC18-4406-B6D7-B9BCF5A2A0D7}" id="{6A447ED8-B3D9-4E56-96E2-F03AE558F91D}" done="1">
    <text>Passer tous les champs dans un style freetext avec un label freetext</text>
  </threadedComment>
  <threadedComment ref="H82" dT="2023-09-20T13:13:53.48" personId="{ABFB0C52-AC18-4406-B6D7-B9BCF5A2A0D7}" id="{1045B670-B272-44B0-BDBC-183806654ACA}" done="1">
    <text>Un peu flou sur les valeurs autorisées pour le type canal, prévoir quelques grands types ? (style "tel", "mail", "other" etc)</text>
  </threadedComment>
  <threadedComment ref="H82" dT="2023-09-26T16:55:36.18" personId="{ABFB0C52-AC18-4406-B6D7-B9BCF5A2A0D7}" id="{E209311C-A599-460D-B95A-FD0D555846ED}" parentId="{1045B670-B272-44B0-BDBC-183806654ACA}">
    <text>Reprendre la nomenclature CHANNEL d'EMSI ?</text>
  </threadedComment>
  <threadedComment ref="H82" dT="2023-09-26T17:04:41.07" personId="{ABFB0C52-AC18-4406-B6D7-B9BCF5A2A0D7}" id="{51201774-5B67-4D66-A841-88BC6298DFB4}" parentId="{1045B670-B272-44B0-BDBC-183806654ACA}">
    <text>Pour aller au bout de la logique, le passer en objet CONTACT</text>
  </threadedComment>
  <threadedComment ref="U83" dT="2024-01-08T13:02:05.69" personId="{C9A89B3A-A5FD-6849-8E65-1CD4E6C7CFF2}" id="{564332DB-ADA6-844E-907A-3843E012B57E}">
    <text>N’autoriser que les n° de tel (PHNADD) et mettre la regex du n° de tel de l’interface : REGEX: tel:([#\+\*]|37000|00+)?[0-9]{2,15} ?</text>
  </threadedComment>
  <threadedComment ref="U83"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3" dT="2024-01-24T17:33:12.16" personId="{C9A89B3A-A5FD-6849-8E65-1CD4E6C7CFF2}" id="{216B13EB-ECF4-43F3-81A9-C97B25053F33}" parentId="{564332DB-ADA6-844E-907A-3843E012B57E}">
    <text>OK pas de souci, qui peut le plus peut le moins</text>
  </threadedComment>
  <threadedComment ref="H85" dT="2023-09-26T17:04:43.98" personId="{ABFB0C52-AC18-4406-B6D7-B9BCF5A2A0D7}" id="{50663E24-E8B2-4610-BB55-CDEDCB0AEBE2}" done="1">
    <text>Pour aller au bout de la logique, le passer en objet CONTACT</text>
  </threadedComment>
  <threadedComment ref="Q85" dT="2023-09-18T14:50:47.97" personId="{ABFB0C52-AC18-4406-B6D7-B9BCF5A2A0D7}" id="{449D854F-D1BC-4874-A270-C7FBD5C53315}">
    <text>A priori un seul appelant à l'origine mais potentiellement plusieurs données de contact en retour ?</text>
  </threadedComment>
  <threadedComment ref="Q85" dT="2023-11-08T14:07:11.17" personId="{ABFB0C52-AC18-4406-B6D7-B9BCF5A2A0D7}" id="{4E0EDB80-0D0C-450A-A95B-31415A9B0896}" parentId="{449D854F-D1BC-4874-A270-C7FBD5C53315}">
    <text>Passer à 0..n</text>
  </threadedComment>
  <threadedComment ref="Q85"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5"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5"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5"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6" dT="2023-09-21T09:55:48.46" personId="{ABFB0C52-AC18-4406-B6D7-B9BCF5A2A0D7}" id="{D22EB006-FD31-4905-A0BA-E809AB322C44}" done="1">
    <text>Demander en annexe côté NexSIS si ils mettent une nomenclature</text>
  </threadedComment>
  <threadedComment ref="H86" dT="2023-09-25T11:54:42.17" personId="{ABFB0C52-AC18-4406-B6D7-B9BCF5A2A0D7}" id="{897F4059-91E9-4A21-9A63-505005BA3B7B}" parentId="{D22EB006-FD31-4905-A0BA-E809AB322C44}">
    <text>=&gt; Utiliser le référentiel SI-SAMU pour les langues</text>
  </threadedComment>
  <threadedComment ref="H86" dT="2023-10-11T16:22:12.70" personId="{ABFB0C52-AC18-4406-B6D7-B9BCF5A2A0D7}" id="{146C9C91-4F95-4CAD-B7CF-0D1625D0D9F0}" parentId="{D22EB006-FD31-4905-A0BA-E809AB322C44}">
    <text>=&gt; Plutôt ISO finalement</text>
  </threadedComment>
  <threadedComment ref="U87" dT="2024-01-23T14:38:54.44" personId="{E9A6DF60-F9B3-4BD0-BB8A-DE1D37E26830}" id="{EC4CA26B-FA56-44B7-9485-D7650DC1B372}">
    <text>NOMENCLATURE: TYPAPPLT_v1r01a.csv</text>
  </threadedComment>
  <threadedComment ref="U88" dT="2024-01-23T14:40:43.03" personId="{E9A6DF60-F9B3-4BD0-BB8A-DE1D37E26830}" id="{0EC36618-96EE-478D-81B9-54F0CAEE9F88}">
    <text>NOMENCLATURE: PBAPL_v1r01a.csv</text>
  </threadedComment>
  <threadedComment ref="D89" dT="2023-10-17T14:05:10.67" personId="{C9A89B3A-A5FD-6849-8E65-1CD4E6C7CFF2}" id="{0700921D-3E22-E44A-B10A-66139D58EFD3}" done="1">
    <text>Inetum a une codification ! Pas possible de faire concordance sur du texte libre… Avoir une nomenclature + libre ?</text>
  </threadedComment>
  <threadedComment ref="D89"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9" dT="2023-06-15T07:45:15.69" personId="{C9A89B3A-A5FD-6849-8E65-1CD4E6C7CFF2}" id="{8B70DA13-018B-4BE7-9D85-CAD41DEDE16B}" done="1">
    <text>Avoir une nomenclature ?</text>
  </threadedComment>
  <threadedComment ref="E89" dT="2023-06-16T08:45:22.06" personId="{6D908C62-98CE-5042-81E4-8ACAD1B880FE}" id="{12BEE0B6-53B7-4B84-A323-4525B9F070DD}" parentId="{8B70DA13-018B-4BE7-9D85-CAD41DEDE16B}">
    <text>Champs libre côté NexSIS</text>
  </threadedComment>
  <threadedComment ref="E89"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9" dT="2023-06-22T17:50:55.63" personId="{C9A89B3A-A5FD-6849-8E65-1CD4E6C7CFF2}" id="{2D2C7BD2-8228-41A1-A494-53F903F3574F}" parentId="{8B70DA13-018B-4BE7-9D85-CAD41DEDE16B}">
    <text>https://ansforge.github.io/SAMU-interface-LRM/DST%20SI%20SAMU%20Interfa%C3%A7age%20LRM_V1.2.pdf</text>
  </threadedComment>
  <threadedComment ref="E89" dT="2023-06-23T08:39:19.32" personId="{C9A89B3A-A5FD-6849-8E65-1CD4E6C7CFF2}" id="{EC8F23F2-468E-44A3-AE50-6327E2B06555}" parentId="{8B70DA13-018B-4BE7-9D85-CAD41DEDE16B}">
    <text>=&gt; OK pour une approche “nomenclature libre”</text>
  </threadedComment>
  <threadedComment ref="J89" dT="2023-09-21T09:56:11.24" personId="{C9A89B3A-A5FD-6849-8E65-1CD4E6C7CFF2}" id="{3343E777-8CBA-824D-A290-B18AD61B9129}" done="1">
    <text>freetext ?</text>
  </threadedComment>
  <threadedComment ref="E90" dT="2023-06-16T08:45:57.42" personId="{6D908C62-98CE-5042-81E4-8ACAD1B880FE}" id="{456C6261-46FE-47A3-ABE3-21780523066A}" done="1">
    <text>Réfléchir à une structure récursive / détaillée également</text>
  </threadedComment>
  <threadedComment ref="E90" dT="2023-06-22T17:55:16.22" personId="{C9A89B3A-A5FD-6849-8E65-1CD4E6C7CFF2}" id="{E99CE092-3BC0-4BC8-B207-43E0B20784D0}" parentId="{456C6261-46FE-47A3-ABE3-21780523066A}">
    <text>callerName 
- complete (basé sur un template {firstName} {lastName})
- firstName
- lastName</text>
  </threadedComment>
  <threadedComment ref="E90" dT="2023-06-23T08:42:43.54" personId="{C9A89B3A-A5FD-6849-8E65-1CD4E6C7CFF2}" id="{FAA64B8B-3383-4504-879B-0CFB30392649}" parentId="{456C6261-46FE-47A3-ABE3-21780523066A}">
    <text>Complete ? Aggregated ? Full ? 
-&gt; Nader regarde si le SitRep propose des trucs comme ça</text>
  </threadedComment>
  <threadedComment ref="E90" dT="2023-06-30T08:32:08.88" personId="{C9A89B3A-A5FD-6849-8E65-1CD4E6C7CFF2}" id="{26DEA5A2-F472-42AB-8F87-859012FF50F6}" parentId="{456C6261-46FE-47A3-ABE3-21780523066A}">
    <text>Ok de le présenter comme ça sur le 4 juillet, on avisera ensuite en fonction du SItrep</text>
  </threadedComment>
  <threadedComment ref="E93" dT="2023-09-25T11:56:28.41" personId="{ABFB0C52-AC18-4406-B6D7-B9BCF5A2A0D7}" id="{F862C684-B65A-4FC1-AEC4-870221995080}" done="1">
    <text>Règle sur les prénoms pour les prénoms composés</text>
  </threadedComment>
  <threadedComment ref="E93" dT="2023-10-11T14:32:18.84" personId="{E9A6DF60-F9B3-4BD0-BB8A-DE1D37E26830}" id="{B9E4C68E-9524-4FA5-84AF-6EF596D19BF3}" parentId="{F862C684-B65A-4FC1-AEC4-870221995080}">
    <text>De quelle règle parle-t-on ? 
Et pour les noms composés pas de règle ?</text>
  </threadedComment>
  <threadedComment ref="E93" dT="2023-10-11T16:23:17.75" personId="{ABFB0C52-AC18-4406-B6D7-B9BCF5A2A0D7}" id="{01379FDB-1840-4004-B244-23F1BA83A282}" parentId="{F862C684-B65A-4FC1-AEC4-870221995080}">
    <text>Pas de règle a date justement pour les prénoms composés =&gt; libre</text>
  </threadedComment>
  <threadedComment ref="F93" dT="2023-05-12T08:44:54.69" personId="{15E60E5B-8F12-4B01-8E2A-D3C877CDBAC1}" id="{6EB96170-F11A-4E55-BFF9-911EA46C448F}" done="1">
    <text>Pas possible de séparer dans l'interface. 
NexSIS regarde si la PFLAU envoie les 2 ensemble</text>
  </threadedComment>
  <threadedComment ref="H96" dT="2023-11-28T09:34:56.00" personId="{E9A6DF60-F9B3-4BD0-BB8A-DE1D37E26830}" id="{FB8B17FD-812B-4D45-91E1-3C0557FCEA2D}">
    <text xml:space="preserve">On peut donc avoir des nomenclatures EMSI dans un message RC-EDA ?
</text>
  </threadedComment>
  <threadedComment ref="C98" dT="2023-10-17T13:57:39.74" personId="{C9A89B3A-A5FD-6849-8E65-1CD4E6C7CFF2}" id="{F9DFBDFD-1215-9341-9E1E-3024F293D141}">
    <text>Localisation de l’appelant ? Ou d’intervention ?</text>
  </threadedComment>
  <threadedComment ref="C98" dT="2023-11-08T14:14:06.57" personId="{ABFB0C52-AC18-4406-B6D7-B9BCF5A2A0D7}" id="{EA2DA816-C4B8-4227-A75C-1BF943FC0D33}" parentId="{F9DFBDFD-1215-9341-9E1E-3024F293D141}">
    <text>Plutôt lieu ou se trouve l'appelant car lieu d'affaire renseigné en haut</text>
  </threadedComment>
  <threadedComment ref="D98" dT="2023-07-04T13:01:55.92" personId="{C9A89B3A-A5FD-6849-8E65-1CD4E6C7CFF2}" id="{A3B7AE35-2849-4423-8AE8-6B9911E6561D}" done="1">
    <text>Vont vraiment être différentes de la localisation de l’affaire ?</text>
  </threadedComment>
  <threadedComment ref="Q98" dT="2023-09-28T16:19:13.29" personId="{ABFB0C52-AC18-4406-B6D7-B9BCF5A2A0D7}" id="{902D6982-CF5B-4CB7-B9F4-E53F0BDFA27A}" done="1">
    <text>Obligatoire du coup vu qu'on a une location dans l'affaire ?</text>
  </threadedComment>
  <threadedComment ref="Q99" dT="2024-03-18T12:42:32.39" personId="{E9A6DF60-F9B3-4BD0-BB8A-DE1D37E26830}" id="{CC5C1D76-D97F-4BE5-B966-DD495B85204C}">
    <text>Retour de Philippe : peut-on le passer en optionnel, ce qui n'oblige pas les SAMU à répéter la qualification à chaque fois ?</text>
  </threadedComment>
  <threadedComment ref="D101" dT="2023-09-21T16:30:38.12" personId="{ABFB0C52-AC18-4406-B6D7-B9BCF5A2A0D7}" id="{663EEC70-25D1-4531-8E3C-8B803A28B6D5}" done="1">
    <text>Un concept emprunté au ROR est intéressant et transposable ici, parler d'unité de service pour décrire la plus petite maille</text>
  </threadedComment>
  <threadedComment ref="E101" dT="2023-06-15T07:50:06.13" personId="{C9A89B3A-A5FD-6849-8E65-1CD4E6C7CFF2}" id="{3BA75720-6FD7-4770-B19D-58D93FFDC9E8}" done="1">
    <text>Nomenclature sur ça ?</text>
  </threadedComment>
  <threadedComment ref="E101" dT="2023-06-22T21:24:05.20" personId="{C9A89B3A-A5FD-6849-8E65-1CD4E6C7CFF2}" id="{876E9C94-2532-4344-A05A-9DF2692B0ECD}" parentId="{3BA75720-6FD7-4770-B19D-58D93FFDC9E8}">
    <text>Juste réfléchir aux valeurs possibles : SDIS, SAMU, ... ?
Et les départements FRXXX en centre ?</text>
  </threadedComment>
  <threadedComment ref="D103"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3" dT="2023-12-20T16:55:28.15" personId="{9D129102-2382-4ACD-99FE-0A45F267AA1A}" id="{32F7371F-532E-4483-BA02-85ED2898A502}">
    <text>je retire la croix tant que la nomenclature n'existe pas</text>
  </threadedComment>
  <threadedComment ref="U103" dT="2023-12-21T09:37:15.19" personId="{9D129102-2382-4ACD-99FE-0A45F267AA1A}" id="{17677DF8-67EB-4AE7-861C-BE96B97E6CBC}">
    <text>NOMENCLATURE: PERSO (nomenclature SI-SAMU)</text>
  </threadedComment>
  <threadedComment ref="H104" dT="2023-09-21T10:18:27.87" personId="{ABFB0C52-AC18-4406-B6D7-B9BCF5A2A0D7}" id="{7A1ACB5D-9506-421C-B92B-1CBD98910C4E}" done="1">
    <text>Aligner en mode URI</text>
  </threadedComment>
  <threadedComment ref="H104" dT="2023-09-26T17:04:33.97" personId="{ABFB0C52-AC18-4406-B6D7-B9BCF5A2A0D7}" id="{5E5E6B8C-D443-4F6F-8E17-7C83800DF187}" parentId="{7A1ACB5D-9506-421C-B92B-1CBD98910C4E}">
    <text>Pour aller au bout de la logique, le passer en objet CONTACT</text>
  </threadedComment>
  <threadedComment ref="H104" dT="2023-09-28T12:51:10.37" personId="{ABFB0C52-AC18-4406-B6D7-B9BCF5A2A0D7}" id="{28964279-F625-4E18-9B3A-1F4416C1598C}" parentId="{7A1ACB5D-9506-421C-B92B-1CBD98910C4E}">
    <text>Mettre attachement</text>
  </threadedComment>
  <threadedComment ref="T107" dT="2023-09-19T08:50:44.73" personId="{ABFB0C52-AC18-4406-B6D7-B9BCF5A2A0D7}" id="{07B5D5D0-B502-47B6-A891-DAEF39BCC4D8}" done="1">
    <text>Impose-t-on une liste de type de ressource ou est-ce laissé libre pour les éditeurs ?</text>
  </threadedComment>
  <threadedComment ref="U107" dT="2024-02-13T10:24:23.28" personId="{15E60E5B-8F12-4B01-8E2A-D3C877CDBAC1}" id="{8BCB09BF-A48C-8242-B3C8-18F71F97C7AD}">
    <text xml:space="preserve">Impose-t-on une liste de type de ressource ou est-ce laissé libre pour les éditeurs ?
</text>
  </threadedComment>
  <threadedComment ref="D112" dT="2023-09-21T10:23:46.33" personId="{ABFB0C52-AC18-4406-B6D7-B9BCF5A2A0D7}" id="{F7E40DD6-D14F-4AC4-95ED-C43838656AE4}">
    <text>Indiquer comment on fait le Hash =&gt; pas évident comme on fait le contrôle d'intégrité</text>
  </threadedComment>
  <threadedComment ref="D112" dT="2023-11-08T14:21:20.60" personId="{ABFB0C52-AC18-4406-B6D7-B9BCF5A2A0D7}" id="{1634B54C-DE58-48BE-B1A8-B8DC14E63DD3}" parentId="{F7E40DD6-D14F-4AC4-95ED-C43838656AE4}">
    <text>Sha-256</text>
  </threadedComment>
  <threadedComment ref="U113" dT="2024-01-24T10:54:29.36" personId="{E9A6DF60-F9B3-4BD0-BB8A-DE1D37E26830}" id="{3A4DE914-B324-41EC-B1CE-789615C59923}">
    <text>Implémenter ici la liste des valeurs fr.health.samu possible.</text>
  </threadedComment>
  <threadedComment ref="B114" dT="2023-11-14T15:29:39.07" personId="{E9A6DF60-F9B3-4BD0-BB8A-DE1D37E26830}" id="{A9F8EF48-108A-4EAB-A6C9-DAA6E6A1C56C}">
    <text>Objet Agent qui existe dans la qualification de l'affaire : à réutiliser ici ? Doit on ajouter nom prénom à l'objet ?</text>
  </threadedComment>
  <threadedComment ref="B118" dT="2024-02-13T09:55:48.02" personId="{D6952652-30E5-479A-9FFE-AD0BC8CBB562}" id="{E40A2F45-E340-487F-9FD6-2404E4F5A700}">
    <text>A renvoyer dans le SGV</text>
  </threadedComment>
  <threadedComment ref="B118"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8" dT="2023-07-06T14:47:40.47" personId="{ABFB0C52-AC18-4406-B6D7-B9BCF5A2A0D7}" id="{9EEB9362-90F5-494F-BB71-06EF0D54376B}" done="1">
    <text>Est-ce qu'il faut un objet Bilan qui incorpore les patients/victime ?</text>
  </threadedComment>
  <threadedComment ref="C118" dT="2023-07-12T08:35:36.42" personId="{ABFB0C52-AC18-4406-B6D7-B9BCF5A2A0D7}" id="{1D9D9BCA-BCEF-469D-983A-D2536F65A96C}" parentId="{9EEB9362-90F5-494F-BB71-06EF0D54376B}">
    <text>Il faudra à terme pouvoir faire le lien avec SGV</text>
  </threadedComment>
  <threadedComment ref="C118" dT="2023-11-14T20:28:23.68" personId="{E9A6DF60-F9B3-4BD0-BB8A-DE1D37E26830}" id="{8E067E92-BFB2-4B46-8AA0-21A22F61C7CC}" parentId="{9EEB9362-90F5-494F-BB71-06EF0D54376B}">
    <text>Le bilan se fait-il pour chaque patient/victime ? Si oui, le bilan est lié au patient</text>
  </threadedComment>
  <threadedComment ref="U122" dT="2023-07-04T15:19:48.30" personId="{C9A89B3A-A5FD-6849-8E65-1CD4E6C7CFF2}" id="{CB950F1D-7F07-43E1-850B-913CBE20F585}">
    <text>ENUM ?</text>
  </threadedComment>
  <threadedComment ref="H124" dT="2023-09-20T13:13:53.48" personId="{ABFB0C52-AC18-4406-B6D7-B9BCF5A2A0D7}" id="{258F99A5-CCAC-44B3-9CB2-E5E5FB7A031F}" done="1">
    <text>Un peu flou sur les valeurs autorisées pour le type canal, prévoir quelques grands types ? (style "tel", "mail", "other" etc)</text>
  </threadedComment>
  <threadedComment ref="H124" dT="2023-09-26T16:55:36.18" personId="{ABFB0C52-AC18-4406-B6D7-B9BCF5A2A0D7}" id="{2429CD2E-1350-4C77-B1E7-D9BF95D0DE0F}" parentId="{258F99A5-CCAC-44B3-9CB2-E5E5FB7A031F}">
    <text>Reprendre la nomenclature CHANNEL d'EMSI ?</text>
  </threadedComment>
  <threadedComment ref="H124" dT="2023-09-26T17:04:41.07" personId="{ABFB0C52-AC18-4406-B6D7-B9BCF5A2A0D7}" id="{1586761D-C2A8-459D-A734-E7C93943C0A9}" parentId="{258F99A5-CCAC-44B3-9CB2-E5E5FB7A031F}">
    <text>Pour aller au bout de la logique, le passer en objet CONTACT</text>
  </threadedComment>
  <threadedComment ref="Q124"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4" dT="2024-01-23T14:49:31.14" personId="{E9A6DF60-F9B3-4BD0-BB8A-DE1D37E26830}" id="{10CBED9B-33B3-4F2D-9D08-CE6F15806504}">
    <text>Remettre la nomenclature EMSI complète dans l'objet contact qu'on réutilise ici</text>
  </threadedComment>
  <threadedComment ref="U130" dT="2024-01-23T15:00:16.04" personId="{E9A6DF60-F9B3-4BD0-BB8A-DE1D37E26830}" id="{47F99561-A768-4B9A-96FB-A8753B229875}">
    <text>vérifier le format du numéro RPPS seulement, ne pas implémenter la nomenclature complète</text>
  </threadedComment>
  <threadedComment ref="H132" dT="2023-09-20T13:13:53.48" personId="{ABFB0C52-AC18-4406-B6D7-B9BCF5A2A0D7}" id="{647A8527-7AF1-45AA-BB58-53C964C0E6F0}" done="1">
    <text>Un peu flou sur les valeurs autorisées pour le type canal, prévoir quelques grands types ? (style "tel", "mail", "other" etc)</text>
  </threadedComment>
  <threadedComment ref="H132" dT="2023-09-26T16:55:36.18" personId="{ABFB0C52-AC18-4406-B6D7-B9BCF5A2A0D7}" id="{FECFF266-C864-428C-9966-9B138242FB95}" parentId="{647A8527-7AF1-45AA-BB58-53C964C0E6F0}">
    <text>Reprendre la nomenclature CHANNEL d'EMSI ?</text>
  </threadedComment>
  <threadedComment ref="H132" dT="2023-09-26T17:04:41.07" personId="{ABFB0C52-AC18-4406-B6D7-B9BCF5A2A0D7}" id="{72BF1BA8-2AFF-404A-9193-020D6474E505}" parentId="{647A8527-7AF1-45AA-BB58-53C964C0E6F0}">
    <text>Pour aller au bout de la logique, le passer en objet CONTACT</text>
  </threadedComment>
  <threadedComment ref="Q132"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7"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8"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8" dT="2024-01-23T15:05:32.39" personId="{E9A6DF60-F9B3-4BD0-BB8A-DE1D37E26830}" id="{63885E42-5898-4ECF-8108-E0BD8B826BE8}">
    <text>Vérifier uniquement le format du matricule INS : 13 caractères alphanumériques + une clé sur 2 chiffres</text>
  </threadedComment>
  <threadedComment ref="E139"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9" dT="2024-01-23T15:06:28.79" personId="{E9A6DF60-F9B3-4BD0-BB8A-DE1D37E26830}" id="{B64AB07A-CA5D-41C4-905E-0AFD3F67254F}">
    <text>Voir pour implémenter une énum, ou une simple vérification de format</text>
  </threadedComment>
  <threadedComment ref="D140"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0"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4"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4"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4" dT="2024-01-25T09:18:10.46" personId="{DF4F572D-2211-4D3A-83E1-5495966E637E}" id="{53D659E6-E2BA-475C-AF89-C73FC88E56F5}" parentId="{24B071A5-FE22-46B3-B0AC-65924FDC1BDF}">
    <text>ok</text>
  </threadedComment>
  <threadedComment ref="U145" dT="2024-01-23T15:10:58.58" personId="{E9A6DF60-F9B3-4BD0-BB8A-DE1D37E26830}" id="{014DE198-64E2-4507-A3FC-DF421F511779}">
    <text>Implémenter la nomenclature CISU (cf. Fichier transmis par Philippe)</text>
  </threadedComment>
  <threadedComment ref="E146"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6" dT="2024-01-23T15:12:26.27" personId="{E9A6DF60-F9B3-4BD0-BB8A-DE1D37E26830}" id="{BA91A5D4-B745-43C1-AD05-F9E9B9B84277}">
    <text>Trouver le format du code INSEE, et mettre une simple vérification</text>
  </threadedComment>
  <threadedComment ref="C148"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8" dT="2024-01-24T10:30:46.17" personId="{E9A6DF60-F9B3-4BD0-BB8A-DE1D37E26830}" id="{FFA7F0E1-3845-469A-B7CF-A4621D3089F0}">
    <text>Idem nomenclature 15-18 car exactement le même objet</text>
  </threadedComment>
  <threadedComment ref="D150"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2"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2"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3" dT="2024-01-24T11:06:36.27" personId="{E9A6DF60-F9B3-4BD0-BB8A-DE1D37E26830}" id="{2D9ECE82-3D73-4587-8C50-69F305FE6D3A}">
    <text>NOMENCLATURE: GRAVITE_SF21.csv</text>
  </threadedComment>
  <threadedComment ref="U155" dT="2024-01-24T10:39:46.13" personId="{E9A6DF60-F9B3-4BD0-BB8A-DE1D37E26830}" id="{000D1EF5-EA8D-4028-887E-09B730402CB5}">
    <text>CIM11 : récupérer le format des codes, et ne vérifier que le format</text>
  </threadedComment>
  <threadedComment ref="Q156" dT="2023-06-15T08:43:45.62" personId="{C9A89B3A-A5FD-6849-8E65-1CD4E6C7CFF2}" id="{B2A46742-7986-49EC-BFF2-E5B137820840}" done="1">
    <text>Vraiment 0..n ??? Plutôt 0..1 !</text>
  </threadedComment>
  <threadedComment ref="Q156" dT="2023-06-15T08:44:13.57" personId="{C9A89B3A-A5FD-6849-8E65-1CD4E6C7CFF2}" id="{0A6061F6-9572-4E76-8A7E-B49B7B3754F0}" parentId="{B2A46742-7986-49EC-BFF2-E5B137820840}">
    <text>Quid des autres alertes ultérieures ? -&gt; pas ici ! Pas 0..n</text>
  </threadedComment>
  <threadedComment ref="Q156" dT="2023-06-15T08:47:32.60" personId="{C9A89B3A-A5FD-6849-8E65-1CD4E6C7CFF2}" id="{B4482AEB-107B-477C-8801-43834D34BA26}" parentId="{B2A46742-7986-49EC-BFF2-E5B137820840}">
    <text>Pourquoi faire initiale et nouvelle alerte ??? Juste partager une liste de n alertes non ?</text>
  </threadedComment>
  <threadedComment ref="Q156"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6" dT="2024-01-24T10:39:49.44" personId="{E9A6DF60-F9B3-4BD0-BB8A-DE1D37E26830}" id="{55DD76D7-71AA-4415-B5EF-4C960C6C5F04}">
    <text>CIM11 : récupérer le format des codes, et ne vérifier que le format</text>
  </threadedComment>
  <threadedComment ref="C157" dT="2023-11-28T10:26:59.01" personId="{E9A6DF60-F9B3-4BD0-BB8A-DE1D37E26830}" id="{DC749AE9-4EDB-4A7F-8A7B-0D009E03AED0}">
    <text xml:space="preserve">Quelle nomenclature  + est-ce un objet code + libellé ? </text>
  </threadedComment>
  <threadedComment ref="U157" dT="2024-01-24T10:40:00.12" personId="{E9A6DF60-F9B3-4BD0-BB8A-DE1D37E26830}" id="{522C021E-FCFD-4A22-8243-F9B9E8F1567F}">
    <text>CIM11 : récupérer le format des codes, et ne vérifier que le format</text>
  </threadedComment>
  <threadedComment ref="D160" dT="2023-11-14T15:29:39.07" personId="{E9A6DF60-F9B3-4BD0-BB8A-DE1D37E26830}" id="{A01A1601-D876-42A1-B7E1-CAFC7CAE43BD}">
    <text>Objet Agent qui existe dans la qualification de l'affaire : à réutiliser ici ? Doit on ajouter nom prénom à l'objet ?</text>
  </threadedComment>
  <threadedComment ref="B166" dT="2024-02-13T09:57:22.61" personId="{D6952652-30E5-479A-9FFE-AD0BC8CBB562}" id="{6542F462-2A54-48A5-9A62-7E7CFBDF2B9A}">
    <text>A envoyer au SGV (qui fait le lien vers la tablette du SIS)</text>
  </threadedComment>
  <threadedComment ref="B166"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9" dT="2024-01-24T10:43:18.99" personId="{E9A6DF60-F9B3-4BD0-BB8A-DE1D37E26830}" id="{4DB9FC1B-FE92-4AA7-B2F3-BFF17D976413}">
    <text>Implémenter nomenclature SI-SAMU : type_dec</text>
  </threadedComment>
  <threadedComment ref="C170" dT="2023-09-20T15:45:30.85" personId="{ABFB0C52-AC18-4406-B6D7-B9BCF5A2A0D7}" id="{DFEBA3BC-8166-4F9F-A129-402A4AB175F7}" done="1">
    <text>Y'a-t-il une nomenclature derrière ? Sinon mettre plutôt du freetext</text>
  </threadedComment>
  <threadedComment ref="U170" dT="2024-01-24T10:43:34.09" personId="{E9A6DF60-F9B3-4BD0-BB8A-DE1D37E26830}" id="{04411F78-544D-4A29-9486-C852BE16B4A1}">
    <text>A revoir</text>
  </threadedComment>
  <threadedComment ref="C171" dT="2023-09-21T08:24:16.97" personId="{ABFB0C52-AC18-4406-B6D7-B9BCF5A2A0D7}" id="{D34D40C8-9930-4697-941A-5B0307605F2D}">
    <text>Mettre plutôt un type ressource cf. EMSI</text>
  </threadedComment>
  <threadedComment ref="C171"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71"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71" dT="2024-02-14T15:17:27.42" personId="{E9A6DF60-F9B3-4BD0-BB8A-DE1D37E26830}" id="{EBAE4D6E-6A63-4CA5-9FDB-E1A7DB2624F0}" parentId="{D34D40C8-9930-4697-941A-5B0307605F2D}">
    <text>A revoir avec Philippe, ce n'est pas arrêté.</text>
  </threadedComment>
  <threadedComment ref="C171" dT="2024-02-14T15:18:02.76" personId="{E9A6DF60-F9B3-4BD0-BB8A-DE1D37E26830}" id="{AACD2844-8F8A-46C1-86DD-90D033A54A15}" parentId="{D34D40C8-9930-4697-941A-5B0307605F2D}">
    <text>Sachant que c'est le médecin qui décide quel type de vecteur envoyer dans sa décision.</text>
  </threadedComment>
  <threadedComment ref="K171" dT="2023-11-24T17:15:01.30" personId="{E9A6DF60-F9B3-4BD0-BB8A-DE1D37E26830}" id="{67DC72F8-6B7D-47A0-BEBA-53124836E50B}">
    <text>Il faut que ce soit idem EMSI ?</text>
  </threadedComment>
  <threadedComment ref="U171" dT="2024-01-24T10:43:34.09" personId="{E9A6DF60-F9B3-4BD0-BB8A-DE1D37E26830}" id="{F5B47079-EDF2-4F5B-8F3A-6F444147F2DD}">
    <text>A revoir</text>
  </threadedComment>
  <threadedComment ref="K172" dT="2023-11-24T17:15:01.30" personId="{E9A6DF60-F9B3-4BD0-BB8A-DE1D37E26830}" id="{6729E6ED-B0CD-41F4-BDE9-63A71C3B0080}">
    <text>Il faut que ce soit idem EMSI ?</text>
  </threadedComment>
  <threadedComment ref="C173" dT="2023-09-21T08:23:36.30" personId="{ABFB0C52-AC18-4406-B6D7-B9BCF5A2A0D7}" id="{94CB63FF-3915-49D6-9867-9F61128C5ACD}" done="1">
    <text>Définir la nomenclature</text>
  </threadedComment>
  <threadedComment ref="C173" dT="2023-11-27T12:34:46.55" personId="{E9A6DF60-F9B3-4BD0-BB8A-DE1D37E26830}" id="{78649DAB-1804-4F5E-803E-2A96DDADC5CA}" parentId="{94CB63FF-3915-49D6-9867-9F61128C5ACD}">
    <text xml:space="preserve">Pas la même signification, que le "niveau de soins" d'engagement du vecteur. </text>
  </threadedComment>
  <threadedComment ref="C173" dT="2023-11-27T12:36:58.47" personId="{E9A6DF60-F9B3-4BD0-BB8A-DE1D37E26830}" id="{CE30DA1C-AAEC-444F-94DF-638CE30D50EC}" parentId="{94CB63FF-3915-49D6-9867-9F61128C5ACD}">
    <text>Dans le vecteur de transport : niveau de médicalisation du transport</text>
  </threadedComment>
  <threadedComment ref="C173" dT="2023-11-27T12:38:39.20" personId="{E9A6DF60-F9B3-4BD0-BB8A-DE1D37E26830}" id="{F3C6268C-0C86-44B1-AEDD-07A7E6BDA651}" parentId="{94CB63FF-3915-49D6-9867-9F61128C5ACD}">
    <text>Pas de nomenclature</text>
  </threadedComment>
  <threadedComment ref="C173"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73"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73"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4" dT="2023-09-21T08:23:20.98" personId="{ABFB0C52-AC18-4406-B6D7-B9BCF5A2A0D7}" id="{418F6048-D82E-4151-A527-DD3375E32EDF}">
    <text>Reprendre un objet position du modèle adresse EMSI ?</text>
  </threadedComment>
  <threadedComment ref="C174" dT="2024-02-13T10:05:46.40" personId="{D6952652-30E5-479A-9FFE-AD0BC8CBB562}" id="{26B6DF9B-DDBF-426E-AFCA-74101BE11566}" parentId="{418F6048-D82E-4151-A527-DD3375E32EDF}">
    <text>Typer la destination : domicile, hôpital, établissement X, etc.</text>
  </threadedComment>
  <threadedComment ref="C174" dT="2024-02-14T15:12:00.47" personId="{E9A6DF60-F9B3-4BD0-BB8A-DE1D37E26830}" id="{EC2B03C6-95C8-4E80-9783-E89E90359424}" parentId="{418F6048-D82E-4151-A527-DD3375E32EDF}">
    <text>Idem, en cours avec Philippe</text>
  </threadedComment>
  <threadedComment ref="C174" dT="2024-03-18T12:59:52.07" personId="{E9A6DF60-F9B3-4BD0-BB8A-DE1D37E26830}" id="{49421C2E-53B8-437A-B2D0-8F7F929B893E}" parentId="{418F6048-D82E-4151-A527-DD3375E32EDF}">
    <text>Mettre un objet identique à l'adresse de localisation. Pour pouvoir amener les personnes à n'importe quel endroit (y compris à domicile).
+ ajouter un champ FINESS ?</text>
  </threadedComment>
  <threadedComment ref="D175" dT="2024-03-11T08:28:41.81" personId="{D6952652-30E5-479A-9FFE-AD0BC8CBB562}" id="{B2E36609-985A-480B-9D00-3FA79278887B}">
    <text>Ajouté suite au retour de Philippe</text>
  </threadedComment>
  <threadedComment ref="C177" dT="2023-07-04T13:01:55.92" personId="{C9A89B3A-A5FD-6849-8E65-1CD4E6C7CFF2}" id="{3E4494E4-4D0B-482E-8C44-6CA902FCAA01}" done="1">
    <text>Vont vraiment être différentes de la localisation de l’affaire ?</text>
  </threadedComment>
  <threadedComment ref="Q177" dT="2023-06-15T08:43:45.62" personId="{C9A89B3A-A5FD-6849-8E65-1CD4E6C7CFF2}" id="{12397E16-0DD2-4B81-8BEC-31510D881B5D}" done="1">
    <text>Vraiment 0..n ??? Plutôt 0..1 !</text>
  </threadedComment>
  <threadedComment ref="Q177" dT="2023-06-15T08:44:13.57" personId="{C9A89B3A-A5FD-6849-8E65-1CD4E6C7CFF2}" id="{874C3690-704A-4135-9A27-9126AC7954EF}" parentId="{12397E16-0DD2-4B81-8BEC-31510D881B5D}">
    <text>Quid des autres alertes ultérieures ? -&gt; pas ici ! Pas 0..n</text>
  </threadedComment>
  <threadedComment ref="Q177" dT="2023-06-15T08:47:32.60" personId="{C9A89B3A-A5FD-6849-8E65-1CD4E6C7CFF2}" id="{C595C92E-EE11-44EA-80CE-6225C1299968}" parentId="{12397E16-0DD2-4B81-8BEC-31510D881B5D}">
    <text>Pourquoi faire initiale et nouvelle alerte ??? Juste partager une liste de n alertes non ?</text>
  </threadedComment>
  <threadedComment ref="Q177"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9" dT="2023-06-13T09:17:02.34" personId="{C9A89B3A-A5FD-6849-8E65-1CD4E6C7CFF2}" id="{68BF9403-31A1-4258-9F69-305F60612509}" done="1">
    <text>Gérer ça dans les règles Excel +  script de génération</text>
  </threadedComment>
  <threadedComment ref="A184" dT="2023-11-10T16:14:36.81" personId="{74379435-529A-4754-96FF-EF4318F87F1A}" id="{D6BBFD18-B7C3-44E9-AAAF-C0520A0384D3}">
    <text>doublon avec l'ID 5. Pourquoi ne pas avoir une donnée (niveau 2) "Informations supplémentaires" en freetext ?</text>
  </threadedComment>
  <threadedComment ref="B184"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8.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537"/>
      <c r="K1" s="537"/>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Normal="100" workbookViewId="0">
      <pane xSplit="7" ySplit="8" topLeftCell="Q41" activePane="bottomRight" state="frozen"/>
      <selection pane="topRight" activeCell="H1" sqref="H1"/>
      <selection pane="bottomLeft" activeCell="A9" sqref="A9"/>
      <selection pane="bottomRight" activeCell="B85" sqref="B85"/>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1592</v>
      </c>
      <c r="B1" s="287"/>
      <c r="C1" s="129" t="s">
        <v>813</v>
      </c>
      <c r="D1" s="128"/>
      <c r="E1" s="294" t="s">
        <v>814</v>
      </c>
      <c r="F1" s="157">
        <v>0.7</v>
      </c>
      <c r="G1" s="128"/>
      <c r="H1" s="555" t="s">
        <v>1593</v>
      </c>
      <c r="I1" s="555"/>
      <c r="J1" s="555"/>
      <c r="K1" s="555"/>
      <c r="L1" s="555"/>
      <c r="M1" s="295" t="s">
        <v>1593</v>
      </c>
      <c r="N1" s="295" t="s">
        <v>1593</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555"/>
      <c r="I2" s="555"/>
      <c r="J2" s="555"/>
      <c r="K2" s="555"/>
      <c r="L2" s="555"/>
      <c r="M2" s="295" t="s">
        <v>1593</v>
      </c>
      <c r="N2" s="295" t="s">
        <v>1593</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1593</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1593</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1593</v>
      </c>
      <c r="C7" s="304" t="s">
        <v>1593</v>
      </c>
      <c r="D7" s="304" t="s">
        <v>1593</v>
      </c>
      <c r="E7" s="304" t="s">
        <v>1593</v>
      </c>
      <c r="F7" s="96"/>
      <c r="G7" s="96"/>
      <c r="H7" s="96"/>
      <c r="I7" s="96"/>
      <c r="J7" s="96"/>
      <c r="K7" s="96"/>
      <c r="L7" s="96"/>
      <c r="M7" s="96"/>
      <c r="N7" s="96"/>
      <c r="O7" s="556" t="s">
        <v>1594</v>
      </c>
      <c r="P7" s="556"/>
      <c r="Q7" s="556"/>
      <c r="R7" s="556"/>
      <c r="S7" s="305"/>
      <c r="T7" s="96"/>
      <c r="U7" s="96"/>
      <c r="V7" s="96"/>
      <c r="W7" s="96"/>
      <c r="X7" s="96"/>
      <c r="Y7" s="96"/>
      <c r="Z7" s="96"/>
      <c r="AA7" s="557" t="s">
        <v>829</v>
      </c>
      <c r="AB7" s="557"/>
      <c r="AD7" s="96"/>
      <c r="AE7" s="96"/>
      <c r="AF7" s="96"/>
      <c r="AG7" s="558" t="s">
        <v>830</v>
      </c>
      <c r="AH7" s="55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1595</v>
      </c>
      <c r="J8" s="308" t="s">
        <v>838</v>
      </c>
      <c r="K8" s="308" t="s">
        <v>1596</v>
      </c>
      <c r="L8" s="309" t="s">
        <v>840</v>
      </c>
      <c r="M8" s="309" t="s">
        <v>841</v>
      </c>
      <c r="N8" s="310" t="s">
        <v>842</v>
      </c>
      <c r="O8" s="309" t="s">
        <v>843</v>
      </c>
      <c r="P8" s="309" t="s">
        <v>844</v>
      </c>
      <c r="Q8" s="309" t="s">
        <v>845</v>
      </c>
      <c r="R8" s="309" t="s">
        <v>846</v>
      </c>
      <c r="S8" s="310" t="s">
        <v>677</v>
      </c>
      <c r="T8" s="373" t="s">
        <v>1597</v>
      </c>
      <c r="U8" s="373" t="s">
        <v>1598</v>
      </c>
      <c r="V8" s="373" t="s">
        <v>1599</v>
      </c>
      <c r="W8" s="308" t="s">
        <v>3</v>
      </c>
      <c r="X8" s="308" t="s">
        <v>1600</v>
      </c>
      <c r="Y8" s="308" t="s">
        <v>1601</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1602</v>
      </c>
      <c r="C9" s="316"/>
      <c r="D9" s="316"/>
      <c r="E9" s="316"/>
      <c r="F9" s="316"/>
      <c r="G9" s="316"/>
      <c r="H9" s="317" t="s">
        <v>1603</v>
      </c>
      <c r="I9" s="317" t="s">
        <v>1604</v>
      </c>
      <c r="J9" s="319"/>
      <c r="K9" s="317" t="s">
        <v>864</v>
      </c>
      <c r="L9" s="317" t="s">
        <v>1605</v>
      </c>
      <c r="M9" s="317"/>
      <c r="N9" s="317" t="s">
        <v>1605</v>
      </c>
      <c r="O9" s="317"/>
      <c r="P9" s="317"/>
      <c r="Q9" s="317"/>
      <c r="R9" s="317"/>
      <c r="S9" s="320" t="s">
        <v>820</v>
      </c>
      <c r="T9" s="320" t="s">
        <v>820</v>
      </c>
      <c r="U9" s="320" t="s">
        <v>820</v>
      </c>
      <c r="V9" s="317"/>
      <c r="W9" s="317" t="s">
        <v>864</v>
      </c>
      <c r="X9" s="317" t="s">
        <v>1606</v>
      </c>
      <c r="Y9" s="317"/>
      <c r="Z9" s="317"/>
      <c r="AA9" s="317" t="s">
        <v>864</v>
      </c>
      <c r="AB9" s="317" t="s">
        <v>864</v>
      </c>
      <c r="AC9" s="321" t="s">
        <v>1593</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1607</v>
      </c>
      <c r="I10" s="323" t="s">
        <v>1608</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1609</v>
      </c>
      <c r="AA10" s="323" t="s">
        <v>864</v>
      </c>
      <c r="AB10" s="323" t="s">
        <v>864</v>
      </c>
      <c r="AC10" s="321" t="s">
        <v>1593</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1610</v>
      </c>
      <c r="D11" s="326"/>
      <c r="E11" s="326"/>
      <c r="F11" s="326"/>
      <c r="G11" s="326"/>
      <c r="H11" s="317" t="s">
        <v>1611</v>
      </c>
      <c r="I11" s="317" t="s">
        <v>1612</v>
      </c>
      <c r="J11" s="317" t="s">
        <v>887</v>
      </c>
      <c r="K11" s="317" t="s">
        <v>864</v>
      </c>
      <c r="L11" s="317" t="s">
        <v>1613</v>
      </c>
      <c r="M11" s="317"/>
      <c r="N11" s="317" t="s">
        <v>1613</v>
      </c>
      <c r="O11" s="317"/>
      <c r="P11" s="317"/>
      <c r="Q11" s="317"/>
      <c r="R11" s="317"/>
      <c r="S11" s="320" t="s">
        <v>820</v>
      </c>
      <c r="T11" s="320" t="s">
        <v>820</v>
      </c>
      <c r="U11" s="320" t="s">
        <v>820</v>
      </c>
      <c r="V11" s="317"/>
      <c r="W11" s="317"/>
      <c r="X11" s="317" t="s">
        <v>863</v>
      </c>
      <c r="Y11" s="317"/>
      <c r="Z11" s="317" t="s">
        <v>1614</v>
      </c>
      <c r="AA11" s="317" t="s">
        <v>864</v>
      </c>
      <c r="AB11" s="317" t="s">
        <v>864</v>
      </c>
      <c r="AC11" s="321" t="s">
        <v>1593</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1615</v>
      </c>
      <c r="I12" s="323" t="s">
        <v>1616</v>
      </c>
      <c r="J12" s="323" t="s">
        <v>1617</v>
      </c>
      <c r="K12" s="323" t="s">
        <v>864</v>
      </c>
      <c r="L12" s="323" t="s">
        <v>1618</v>
      </c>
      <c r="M12" s="323"/>
      <c r="N12" s="323" t="s">
        <v>1618</v>
      </c>
      <c r="O12" s="323"/>
      <c r="P12" s="323"/>
      <c r="Q12" s="323"/>
      <c r="R12" s="323"/>
      <c r="S12" s="325" t="s">
        <v>820</v>
      </c>
      <c r="T12" s="325" t="s">
        <v>820</v>
      </c>
      <c r="U12" s="325" t="s">
        <v>820</v>
      </c>
      <c r="V12" s="323"/>
      <c r="W12" s="323"/>
      <c r="X12" s="323" t="s">
        <v>863</v>
      </c>
      <c r="Y12" s="323"/>
      <c r="Z12" s="323" t="s">
        <v>1619</v>
      </c>
      <c r="AA12" s="323" t="s">
        <v>864</v>
      </c>
      <c r="AB12" s="323" t="s">
        <v>864</v>
      </c>
      <c r="AC12" s="321" t="s">
        <v>1593</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1620</v>
      </c>
      <c r="D13" s="326"/>
      <c r="E13" s="326"/>
      <c r="F13" s="326"/>
      <c r="G13" s="326"/>
      <c r="H13" s="317" t="s">
        <v>1621</v>
      </c>
      <c r="I13" s="317" t="s">
        <v>1622</v>
      </c>
      <c r="J13" s="317" t="s">
        <v>1623</v>
      </c>
      <c r="K13" s="317" t="s">
        <v>864</v>
      </c>
      <c r="L13" s="317" t="s">
        <v>1624</v>
      </c>
      <c r="M13" s="317"/>
      <c r="N13" s="317" t="s">
        <v>1624</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1593</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1625</v>
      </c>
      <c r="D14" s="322"/>
      <c r="E14" s="322"/>
      <c r="F14" s="322"/>
      <c r="G14" s="322"/>
      <c r="H14" s="323" t="s">
        <v>1626</v>
      </c>
      <c r="I14" s="323" t="s">
        <v>1627</v>
      </c>
      <c r="J14" s="330"/>
      <c r="K14" s="323" t="s">
        <v>864</v>
      </c>
      <c r="L14" s="323" t="s">
        <v>1628</v>
      </c>
      <c r="M14" s="323"/>
      <c r="N14" s="323" t="s">
        <v>1628</v>
      </c>
      <c r="O14" s="323"/>
      <c r="P14" s="323"/>
      <c r="Q14" s="323"/>
      <c r="R14" s="323"/>
      <c r="S14" s="331" t="s">
        <v>823</v>
      </c>
      <c r="T14" s="331" t="s">
        <v>823</v>
      </c>
      <c r="U14" s="331" t="s">
        <v>823</v>
      </c>
      <c r="V14" s="323"/>
      <c r="W14" s="323" t="s">
        <v>864</v>
      </c>
      <c r="X14" s="323" t="s">
        <v>942</v>
      </c>
      <c r="Y14" s="323"/>
      <c r="Z14" s="323"/>
      <c r="AA14" s="323" t="s">
        <v>864</v>
      </c>
      <c r="AB14" s="323" t="s">
        <v>864</v>
      </c>
      <c r="AC14" s="321" t="s">
        <v>1593</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1629</v>
      </c>
      <c r="I15" s="317"/>
      <c r="J15" s="317" t="s">
        <v>1630</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1593</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1631</v>
      </c>
      <c r="E16" s="322"/>
      <c r="F16" s="322"/>
      <c r="G16" s="322"/>
      <c r="H16" s="323" t="s">
        <v>1632</v>
      </c>
      <c r="I16" s="323" t="s">
        <v>1633</v>
      </c>
      <c r="J16" s="323" t="s">
        <v>1634</v>
      </c>
      <c r="K16" s="323" t="s">
        <v>864</v>
      </c>
      <c r="L16" s="323" t="s">
        <v>1635</v>
      </c>
      <c r="M16" s="323"/>
      <c r="N16" s="323" t="s">
        <v>1635</v>
      </c>
      <c r="O16" s="323"/>
      <c r="P16" s="323"/>
      <c r="Q16" s="323"/>
      <c r="R16" s="323"/>
      <c r="S16" s="333" t="s">
        <v>817</v>
      </c>
      <c r="T16" s="334" t="s">
        <v>817</v>
      </c>
      <c r="U16" s="335" t="s">
        <v>820</v>
      </c>
      <c r="V16" s="323" t="s">
        <v>864</v>
      </c>
      <c r="W16" s="323"/>
      <c r="X16" s="323" t="s">
        <v>863</v>
      </c>
      <c r="Y16" s="323"/>
      <c r="Z16" s="323" t="s">
        <v>1636</v>
      </c>
      <c r="AA16" s="323" t="s">
        <v>864</v>
      </c>
      <c r="AB16" s="323" t="s">
        <v>864</v>
      </c>
      <c r="AC16" s="321" t="s">
        <v>1593</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1637</v>
      </c>
      <c r="D17" s="326"/>
      <c r="E17" s="326"/>
      <c r="F17" s="326"/>
      <c r="G17" s="326"/>
      <c r="H17" s="318" t="s">
        <v>1638</v>
      </c>
      <c r="I17" s="317" t="s">
        <v>1639</v>
      </c>
      <c r="J17" s="317" t="s">
        <v>1640</v>
      </c>
      <c r="K17" s="317" t="s">
        <v>864</v>
      </c>
      <c r="L17" s="317" t="s">
        <v>1641</v>
      </c>
      <c r="M17" s="317"/>
      <c r="N17" s="317" t="s">
        <v>1641</v>
      </c>
      <c r="O17" s="317"/>
      <c r="P17" s="317"/>
      <c r="Q17" s="317"/>
      <c r="R17" s="317"/>
      <c r="S17" s="327" t="s">
        <v>817</v>
      </c>
      <c r="T17" s="329" t="s">
        <v>817</v>
      </c>
      <c r="U17" s="328" t="s">
        <v>820</v>
      </c>
      <c r="V17" s="317" t="s">
        <v>864</v>
      </c>
      <c r="W17" s="317"/>
      <c r="X17" s="317" t="s">
        <v>863</v>
      </c>
      <c r="Y17" s="317"/>
      <c r="Z17" s="317" t="s">
        <v>1642</v>
      </c>
      <c r="AA17" s="317" t="s">
        <v>864</v>
      </c>
      <c r="AB17" s="317" t="s">
        <v>864</v>
      </c>
      <c r="AC17" s="321" t="s">
        <v>1593</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1643</v>
      </c>
      <c r="D18" s="322"/>
      <c r="E18" s="322"/>
      <c r="F18" s="322"/>
      <c r="G18" s="322"/>
      <c r="H18" s="323" t="s">
        <v>1644</v>
      </c>
      <c r="I18" s="323" t="s">
        <v>1645</v>
      </c>
      <c r="J18" s="323" t="s">
        <v>1646</v>
      </c>
      <c r="K18" s="323" t="s">
        <v>864</v>
      </c>
      <c r="L18" s="323" t="s">
        <v>1647</v>
      </c>
      <c r="M18" s="323"/>
      <c r="N18" s="323" t="s">
        <v>1647</v>
      </c>
      <c r="O18" s="323"/>
      <c r="P18" s="323"/>
      <c r="Q18" s="323"/>
      <c r="R18" s="323"/>
      <c r="S18" s="333" t="s">
        <v>817</v>
      </c>
      <c r="T18" s="334" t="s">
        <v>817</v>
      </c>
      <c r="U18" s="334" t="s">
        <v>817</v>
      </c>
      <c r="V18" s="323"/>
      <c r="W18" s="323"/>
      <c r="X18" s="323" t="s">
        <v>863</v>
      </c>
      <c r="Y18" s="323"/>
      <c r="Z18" s="323" t="s">
        <v>1648</v>
      </c>
      <c r="AA18" s="323" t="s">
        <v>864</v>
      </c>
      <c r="AB18" s="323" t="s">
        <v>864</v>
      </c>
      <c r="AC18" s="321" t="s">
        <v>1593</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1649</v>
      </c>
      <c r="D19" s="326"/>
      <c r="E19" s="326"/>
      <c r="F19" s="326"/>
      <c r="G19" s="326"/>
      <c r="H19" s="317" t="s">
        <v>1650</v>
      </c>
      <c r="I19" s="317" t="s">
        <v>1651</v>
      </c>
      <c r="J19" s="317" t="s">
        <v>1652</v>
      </c>
      <c r="K19" s="317" t="s">
        <v>864</v>
      </c>
      <c r="L19" s="317" t="s">
        <v>1653</v>
      </c>
      <c r="M19" s="317"/>
      <c r="N19" s="317" t="s">
        <v>1653</v>
      </c>
      <c r="O19" s="317"/>
      <c r="P19" s="317"/>
      <c r="Q19" s="317"/>
      <c r="R19" s="317"/>
      <c r="S19" s="327" t="s">
        <v>817</v>
      </c>
      <c r="T19" s="327" t="s">
        <v>817</v>
      </c>
      <c r="U19" s="327" t="s">
        <v>817</v>
      </c>
      <c r="V19" s="317"/>
      <c r="W19" s="317"/>
      <c r="X19" s="317" t="s">
        <v>863</v>
      </c>
      <c r="Y19" s="317"/>
      <c r="Z19" s="317"/>
      <c r="AA19" s="317" t="s">
        <v>864</v>
      </c>
      <c r="AB19" s="317" t="s">
        <v>864</v>
      </c>
      <c r="AC19" s="321" t="s">
        <v>1593</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1654</v>
      </c>
      <c r="D20" s="336"/>
      <c r="E20" s="336"/>
      <c r="F20" s="336"/>
      <c r="G20" s="336"/>
      <c r="H20" s="323" t="s">
        <v>1626</v>
      </c>
      <c r="I20" s="323" t="s">
        <v>1655</v>
      </c>
      <c r="J20" s="330"/>
      <c r="K20" s="323"/>
      <c r="L20" s="323" t="s">
        <v>1656</v>
      </c>
      <c r="M20" s="323"/>
      <c r="N20" s="323" t="s">
        <v>1656</v>
      </c>
      <c r="O20" s="323"/>
      <c r="P20" s="323"/>
      <c r="Q20" s="323"/>
      <c r="R20" s="323"/>
      <c r="S20" s="333" t="s">
        <v>817</v>
      </c>
      <c r="T20" s="333" t="s">
        <v>817</v>
      </c>
      <c r="U20" s="333" t="s">
        <v>817</v>
      </c>
      <c r="V20" s="323"/>
      <c r="W20" s="323" t="s">
        <v>864</v>
      </c>
      <c r="X20" s="323" t="s">
        <v>1657</v>
      </c>
      <c r="Y20" s="323"/>
      <c r="Z20" s="323"/>
      <c r="AA20" s="323" t="s">
        <v>864</v>
      </c>
      <c r="AB20" s="323" t="s">
        <v>864</v>
      </c>
      <c r="AC20" s="332" t="s">
        <v>1593</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1658</v>
      </c>
      <c r="E21" s="316"/>
      <c r="F21" s="316"/>
      <c r="G21" s="316"/>
      <c r="H21" s="317" t="s">
        <v>1659</v>
      </c>
      <c r="I21" s="317" t="s">
        <v>1660</v>
      </c>
      <c r="J21" s="317" t="s">
        <v>1323</v>
      </c>
      <c r="K21" s="317" t="s">
        <v>864</v>
      </c>
      <c r="L21" s="317" t="s">
        <v>1661</v>
      </c>
      <c r="M21" s="317"/>
      <c r="N21" s="317" t="s">
        <v>1661</v>
      </c>
      <c r="O21" s="317"/>
      <c r="P21" s="317"/>
      <c r="Q21" s="317"/>
      <c r="R21" s="317"/>
      <c r="S21" s="327" t="s">
        <v>817</v>
      </c>
      <c r="T21" s="327" t="s">
        <v>817</v>
      </c>
      <c r="U21" s="327" t="s">
        <v>817</v>
      </c>
      <c r="V21" s="317"/>
      <c r="W21" s="317"/>
      <c r="X21" s="317" t="s">
        <v>863</v>
      </c>
      <c r="Y21" s="317"/>
      <c r="Z21" s="317"/>
      <c r="AA21" s="317" t="s">
        <v>864</v>
      </c>
      <c r="AB21" s="317" t="s">
        <v>864</v>
      </c>
      <c r="AC21" s="321" t="s">
        <v>1593</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1662</v>
      </c>
      <c r="E22" s="337"/>
      <c r="F22" s="336"/>
      <c r="G22" s="336"/>
      <c r="H22" s="323" t="s">
        <v>1663</v>
      </c>
      <c r="I22" s="323" t="s">
        <v>1664</v>
      </c>
      <c r="J22" s="323" t="s">
        <v>1341</v>
      </c>
      <c r="K22" s="323"/>
      <c r="L22" s="323" t="s">
        <v>1665</v>
      </c>
      <c r="M22" s="323"/>
      <c r="N22" s="323" t="s">
        <v>1665</v>
      </c>
      <c r="O22" s="323"/>
      <c r="P22" s="323"/>
      <c r="Q22" s="323"/>
      <c r="R22" s="323"/>
      <c r="S22" s="333" t="s">
        <v>817</v>
      </c>
      <c r="T22" s="333" t="s">
        <v>817</v>
      </c>
      <c r="U22" s="333" t="s">
        <v>817</v>
      </c>
      <c r="V22" s="323"/>
      <c r="W22" s="323"/>
      <c r="X22" s="323" t="s">
        <v>863</v>
      </c>
      <c r="Y22" s="323"/>
      <c r="Z22" s="323"/>
      <c r="AA22" s="323" t="s">
        <v>864</v>
      </c>
      <c r="AB22" s="323" t="s">
        <v>864</v>
      </c>
      <c r="AC22" s="321" t="s">
        <v>1593</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1666</v>
      </c>
      <c r="E23" s="316"/>
      <c r="F23" s="316"/>
      <c r="G23" s="316"/>
      <c r="H23" s="317" t="s">
        <v>1667</v>
      </c>
      <c r="I23" s="317" t="s">
        <v>1668</v>
      </c>
      <c r="J23" s="317" t="s">
        <v>1669</v>
      </c>
      <c r="K23" s="317" t="s">
        <v>864</v>
      </c>
      <c r="L23" s="317" t="s">
        <v>1670</v>
      </c>
      <c r="M23" s="317"/>
      <c r="N23" s="317" t="s">
        <v>1670</v>
      </c>
      <c r="O23" s="317"/>
      <c r="P23" s="317"/>
      <c r="Q23" s="317"/>
      <c r="R23" s="317"/>
      <c r="S23" s="327" t="s">
        <v>817</v>
      </c>
      <c r="T23" s="329" t="s">
        <v>817</v>
      </c>
      <c r="U23" s="329" t="s">
        <v>817</v>
      </c>
      <c r="V23" s="317"/>
      <c r="W23" s="317"/>
      <c r="X23" s="317" t="s">
        <v>863</v>
      </c>
      <c r="Y23" s="317"/>
      <c r="Z23" s="317"/>
      <c r="AA23" s="317" t="s">
        <v>864</v>
      </c>
      <c r="AB23" s="317" t="s">
        <v>864</v>
      </c>
      <c r="AC23" s="321" t="s">
        <v>1593</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1671</v>
      </c>
      <c r="D24" s="336"/>
      <c r="E24" s="336"/>
      <c r="F24" s="336"/>
      <c r="G24" s="336"/>
      <c r="H24" s="323" t="s">
        <v>1672</v>
      </c>
      <c r="I24" s="323" t="s">
        <v>1673</v>
      </c>
      <c r="J24" s="330"/>
      <c r="K24" s="323" t="s">
        <v>864</v>
      </c>
      <c r="L24" s="323" t="s">
        <v>1674</v>
      </c>
      <c r="M24" s="323"/>
      <c r="N24" s="323" t="s">
        <v>1674</v>
      </c>
      <c r="O24" s="323"/>
      <c r="P24" s="323"/>
      <c r="Q24" s="323"/>
      <c r="R24" s="323"/>
      <c r="S24" s="331" t="s">
        <v>823</v>
      </c>
      <c r="T24" s="331" t="s">
        <v>823</v>
      </c>
      <c r="U24" s="331" t="s">
        <v>823</v>
      </c>
      <c r="V24" s="323"/>
      <c r="W24" s="323" t="s">
        <v>864</v>
      </c>
      <c r="X24" s="323" t="s">
        <v>1188</v>
      </c>
      <c r="Y24" s="323"/>
      <c r="Z24" s="323"/>
      <c r="AA24" s="323" t="s">
        <v>864</v>
      </c>
      <c r="AB24" s="323" t="s">
        <v>864</v>
      </c>
      <c r="AC24" s="321" t="s">
        <v>1593</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1675</v>
      </c>
      <c r="E25" s="316"/>
      <c r="F25" s="316"/>
      <c r="G25" s="316"/>
      <c r="H25" s="317" t="s">
        <v>1626</v>
      </c>
      <c r="I25" s="317" t="s">
        <v>1676</v>
      </c>
      <c r="J25" s="317"/>
      <c r="K25" s="317"/>
      <c r="L25" s="317" t="s">
        <v>1653</v>
      </c>
      <c r="M25" s="317"/>
      <c r="N25" s="317" t="s">
        <v>1653</v>
      </c>
      <c r="O25" s="317"/>
      <c r="P25" s="317"/>
      <c r="Q25" s="317"/>
      <c r="R25" s="317"/>
      <c r="S25" s="327" t="s">
        <v>817</v>
      </c>
      <c r="T25" s="327" t="s">
        <v>817</v>
      </c>
      <c r="U25" s="327" t="s">
        <v>817</v>
      </c>
      <c r="V25" s="317"/>
      <c r="W25" s="317"/>
      <c r="X25" s="317" t="s">
        <v>863</v>
      </c>
      <c r="Y25" s="317"/>
      <c r="Z25" s="317"/>
      <c r="AA25" s="317" t="s">
        <v>864</v>
      </c>
      <c r="AB25" s="317" t="s">
        <v>864</v>
      </c>
      <c r="AC25" s="332" t="s">
        <v>1593</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1677</v>
      </c>
      <c r="E26" s="337"/>
      <c r="F26" s="336"/>
      <c r="G26" s="336"/>
      <c r="H26" s="323" t="s">
        <v>1626</v>
      </c>
      <c r="I26" s="323" t="s">
        <v>1678</v>
      </c>
      <c r="J26" s="323" t="s">
        <v>1679</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1593</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1083</v>
      </c>
      <c r="E27" s="316"/>
      <c r="F27" s="316"/>
      <c r="G27" s="316"/>
      <c r="H27" s="317" t="s">
        <v>1626</v>
      </c>
      <c r="I27" s="317" t="s">
        <v>1680</v>
      </c>
      <c r="J27" s="317" t="s">
        <v>1681</v>
      </c>
      <c r="K27" s="317"/>
      <c r="L27" s="317" t="s">
        <v>1682</v>
      </c>
      <c r="M27" s="317"/>
      <c r="N27" s="317" t="s">
        <v>1682</v>
      </c>
      <c r="O27" s="317"/>
      <c r="P27" s="317"/>
      <c r="Q27" s="317"/>
      <c r="R27" s="317"/>
      <c r="S27" s="327" t="s">
        <v>817</v>
      </c>
      <c r="T27" s="327" t="s">
        <v>817</v>
      </c>
      <c r="U27" s="327" t="s">
        <v>817</v>
      </c>
      <c r="V27" s="317"/>
      <c r="W27" s="317"/>
      <c r="X27" s="317" t="s">
        <v>863</v>
      </c>
      <c r="Y27" s="317"/>
      <c r="Z27" s="317" t="s">
        <v>1196</v>
      </c>
      <c r="AA27" s="317" t="s">
        <v>864</v>
      </c>
      <c r="AB27" s="317" t="s">
        <v>864</v>
      </c>
      <c r="AC27" s="321" t="s">
        <v>1593</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1683</v>
      </c>
      <c r="D28" s="337"/>
      <c r="E28" s="336"/>
      <c r="F28" s="336"/>
      <c r="G28" s="336"/>
      <c r="H28" s="323" t="s">
        <v>1684</v>
      </c>
      <c r="I28" s="323" t="s">
        <v>1685</v>
      </c>
      <c r="J28" s="323" t="s">
        <v>1686</v>
      </c>
      <c r="K28" s="323"/>
      <c r="L28" s="323" t="s">
        <v>1687</v>
      </c>
      <c r="M28" s="323"/>
      <c r="N28" s="323" t="s">
        <v>1687</v>
      </c>
      <c r="O28" s="323"/>
      <c r="P28" s="323"/>
      <c r="Q28" s="323"/>
      <c r="R28" s="323"/>
      <c r="S28" s="333" t="s">
        <v>817</v>
      </c>
      <c r="T28" s="334" t="s">
        <v>817</v>
      </c>
      <c r="U28" s="334" t="s">
        <v>817</v>
      </c>
      <c r="V28" s="323"/>
      <c r="W28" s="323"/>
      <c r="X28" s="323" t="s">
        <v>863</v>
      </c>
      <c r="Y28" s="323"/>
      <c r="Z28" s="323" t="s">
        <v>1688</v>
      </c>
      <c r="AA28" s="323" t="s">
        <v>864</v>
      </c>
      <c r="AB28" s="323" t="s">
        <v>864</v>
      </c>
      <c r="AC28" s="321" t="s">
        <v>1593</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1689</v>
      </c>
      <c r="C29" s="326"/>
      <c r="D29" s="326"/>
      <c r="E29" s="326"/>
      <c r="F29" s="326"/>
      <c r="G29" s="326"/>
      <c r="H29" s="317" t="s">
        <v>1690</v>
      </c>
      <c r="I29" s="317" t="s">
        <v>1691</v>
      </c>
      <c r="J29" s="338"/>
      <c r="K29" s="317"/>
      <c r="L29" s="317" t="s">
        <v>1692</v>
      </c>
      <c r="M29" s="317"/>
      <c r="N29" s="317" t="s">
        <v>1692</v>
      </c>
      <c r="O29" s="317"/>
      <c r="P29" s="317"/>
      <c r="Q29" s="317"/>
      <c r="R29" s="317"/>
      <c r="S29" s="320" t="s">
        <v>820</v>
      </c>
      <c r="T29" s="320" t="s">
        <v>820</v>
      </c>
      <c r="U29" s="320" t="s">
        <v>820</v>
      </c>
      <c r="V29" s="317"/>
      <c r="W29" s="317" t="s">
        <v>864</v>
      </c>
      <c r="X29" s="317" t="s">
        <v>1693</v>
      </c>
      <c r="Y29" s="317"/>
      <c r="Z29" s="317"/>
      <c r="AA29" s="317" t="s">
        <v>864</v>
      </c>
      <c r="AB29" s="317" t="s">
        <v>864</v>
      </c>
      <c r="AC29" s="321" t="s">
        <v>1593</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1694</v>
      </c>
      <c r="D30" s="322"/>
      <c r="E30" s="322"/>
      <c r="F30" s="322"/>
      <c r="G30" s="322"/>
      <c r="H30" s="323" t="s">
        <v>1695</v>
      </c>
      <c r="I30" s="323" t="s">
        <v>1696</v>
      </c>
      <c r="J30" s="323" t="s">
        <v>950</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1593</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1697</v>
      </c>
      <c r="D31" s="326"/>
      <c r="E31" s="326"/>
      <c r="F31" s="326"/>
      <c r="G31" s="326"/>
      <c r="H31" s="317" t="s">
        <v>1698</v>
      </c>
      <c r="I31" s="317" t="s">
        <v>1699</v>
      </c>
      <c r="J31" s="317" t="s">
        <v>1700</v>
      </c>
      <c r="K31" s="317"/>
      <c r="L31" s="317" t="s">
        <v>1670</v>
      </c>
      <c r="M31" s="317"/>
      <c r="N31" s="317" t="s">
        <v>1670</v>
      </c>
      <c r="O31" s="317"/>
      <c r="P31" s="317"/>
      <c r="Q31" s="317"/>
      <c r="R31" s="317"/>
      <c r="S31" s="327" t="s">
        <v>817</v>
      </c>
      <c r="T31" s="327" t="s">
        <v>817</v>
      </c>
      <c r="U31" s="327" t="s">
        <v>817</v>
      </c>
      <c r="V31" s="317"/>
      <c r="W31" s="317"/>
      <c r="X31" s="317" t="s">
        <v>863</v>
      </c>
      <c r="Y31" s="317"/>
      <c r="Z31" s="317"/>
      <c r="AA31" s="317" t="s">
        <v>864</v>
      </c>
      <c r="AB31" s="317" t="s">
        <v>864</v>
      </c>
      <c r="AC31" s="321" t="s">
        <v>1593</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1701</v>
      </c>
      <c r="D32" s="322"/>
      <c r="E32" s="322"/>
      <c r="F32" s="322"/>
      <c r="G32" s="322"/>
      <c r="H32" s="323" t="s">
        <v>1702</v>
      </c>
      <c r="I32" s="323" t="s">
        <v>1703</v>
      </c>
      <c r="J32" s="323" t="s">
        <v>1630</v>
      </c>
      <c r="K32" s="323"/>
      <c r="L32" s="323" t="s">
        <v>1704</v>
      </c>
      <c r="M32" s="323"/>
      <c r="N32" s="323" t="s">
        <v>1704</v>
      </c>
      <c r="O32" s="323"/>
      <c r="P32" s="323"/>
      <c r="Q32" s="323"/>
      <c r="R32" s="323"/>
      <c r="S32" s="333" t="s">
        <v>817</v>
      </c>
      <c r="T32" s="335" t="s">
        <v>820</v>
      </c>
      <c r="U32" s="334" t="s">
        <v>817</v>
      </c>
      <c r="V32" s="323" t="s">
        <v>864</v>
      </c>
      <c r="W32" s="323"/>
      <c r="X32" s="323" t="s">
        <v>863</v>
      </c>
      <c r="Y32" s="323"/>
      <c r="Z32" s="323"/>
      <c r="AA32" s="323" t="s">
        <v>864</v>
      </c>
      <c r="AB32" s="323" t="s">
        <v>864</v>
      </c>
      <c r="AC32" s="321" t="s">
        <v>1593</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1705</v>
      </c>
      <c r="D33" s="326"/>
      <c r="E33" s="326"/>
      <c r="F33" s="326"/>
      <c r="G33" s="326"/>
      <c r="H33" s="317" t="s">
        <v>1626</v>
      </c>
      <c r="I33" s="317" t="s">
        <v>1706</v>
      </c>
      <c r="J33" s="338"/>
      <c r="K33" s="317" t="s">
        <v>864</v>
      </c>
      <c r="L33" s="317" t="s">
        <v>1707</v>
      </c>
      <c r="M33" s="317"/>
      <c r="N33" s="317" t="s">
        <v>1707</v>
      </c>
      <c r="O33" s="317"/>
      <c r="P33" s="317"/>
      <c r="Q33" s="317"/>
      <c r="R33" s="317"/>
      <c r="S33" s="327" t="s">
        <v>817</v>
      </c>
      <c r="T33" s="329" t="s">
        <v>817</v>
      </c>
      <c r="U33" s="329" t="s">
        <v>817</v>
      </c>
      <c r="V33" s="317"/>
      <c r="W33" s="317" t="s">
        <v>864</v>
      </c>
      <c r="X33" s="317" t="s">
        <v>1708</v>
      </c>
      <c r="Y33" s="317"/>
      <c r="Z33" s="317"/>
      <c r="AA33" s="317" t="s">
        <v>864</v>
      </c>
      <c r="AB33" s="317" t="s">
        <v>864</v>
      </c>
      <c r="AC33" s="321" t="s">
        <v>1593</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1709</v>
      </c>
      <c r="E34" s="339"/>
      <c r="F34" s="322"/>
      <c r="G34" s="322"/>
      <c r="H34" s="323" t="s">
        <v>1710</v>
      </c>
      <c r="I34" s="323" t="s">
        <v>1711</v>
      </c>
      <c r="J34" s="323" t="s">
        <v>1712</v>
      </c>
      <c r="K34" s="323" t="s">
        <v>864</v>
      </c>
      <c r="L34" s="323" t="s">
        <v>1713</v>
      </c>
      <c r="M34" s="323"/>
      <c r="N34" s="323" t="s">
        <v>1713</v>
      </c>
      <c r="O34" s="323"/>
      <c r="P34" s="323"/>
      <c r="Q34" s="323"/>
      <c r="R34" s="323"/>
      <c r="S34" s="323" t="s">
        <v>893</v>
      </c>
      <c r="T34" s="323" t="s">
        <v>893</v>
      </c>
      <c r="U34" s="323" t="s">
        <v>893</v>
      </c>
      <c r="V34" s="323"/>
      <c r="W34" s="323"/>
      <c r="X34" s="323" t="s">
        <v>863</v>
      </c>
      <c r="Y34" s="323"/>
      <c r="Z34" s="323" t="s">
        <v>1714</v>
      </c>
      <c r="AA34" s="323" t="s">
        <v>864</v>
      </c>
      <c r="AB34" s="323" t="s">
        <v>864</v>
      </c>
      <c r="AC34" s="321" t="s">
        <v>1593</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1715</v>
      </c>
      <c r="E35" s="326"/>
      <c r="F35" s="326"/>
      <c r="G35" s="326"/>
      <c r="H35" s="317" t="s">
        <v>1716</v>
      </c>
      <c r="I35" s="317" t="s">
        <v>1717</v>
      </c>
      <c r="J35" s="317" t="s">
        <v>1718</v>
      </c>
      <c r="K35" s="317" t="s">
        <v>864</v>
      </c>
      <c r="L35" s="317" t="s">
        <v>1719</v>
      </c>
      <c r="M35" s="317"/>
      <c r="N35" s="317" t="s">
        <v>1719</v>
      </c>
      <c r="O35" s="317"/>
      <c r="P35" s="317"/>
      <c r="Q35" s="317"/>
      <c r="R35" s="317"/>
      <c r="S35" s="317" t="s">
        <v>893</v>
      </c>
      <c r="T35" s="317" t="s">
        <v>893</v>
      </c>
      <c r="U35" s="317" t="s">
        <v>893</v>
      </c>
      <c r="V35" s="317"/>
      <c r="W35" s="317"/>
      <c r="X35" s="317" t="s">
        <v>863</v>
      </c>
      <c r="Y35" s="317"/>
      <c r="Z35" s="317" t="s">
        <v>1720</v>
      </c>
      <c r="AA35" s="317" t="s">
        <v>864</v>
      </c>
      <c r="AB35" s="317" t="s">
        <v>864</v>
      </c>
      <c r="AC35" s="332" t="s">
        <v>1593</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1721</v>
      </c>
      <c r="E36" s="322"/>
      <c r="F36" s="322"/>
      <c r="G36" s="322"/>
      <c r="H36" s="323" t="s">
        <v>1722</v>
      </c>
      <c r="I36" s="323" t="s">
        <v>1723</v>
      </c>
      <c r="J36" s="323" t="s">
        <v>1724</v>
      </c>
      <c r="K36" s="323" t="s">
        <v>864</v>
      </c>
      <c r="L36" s="323" t="s">
        <v>1725</v>
      </c>
      <c r="M36" s="323"/>
      <c r="N36" s="323" t="s">
        <v>1725</v>
      </c>
      <c r="O36" s="323"/>
      <c r="P36" s="323"/>
      <c r="Q36" s="323"/>
      <c r="R36" s="323"/>
      <c r="S36" s="323" t="s">
        <v>893</v>
      </c>
      <c r="T36" s="323" t="s">
        <v>893</v>
      </c>
      <c r="U36" s="323" t="s">
        <v>893</v>
      </c>
      <c r="V36" s="323"/>
      <c r="W36" s="323"/>
      <c r="X36" s="323" t="s">
        <v>863</v>
      </c>
      <c r="Y36" s="323"/>
      <c r="Z36" s="323"/>
      <c r="AA36" s="323" t="s">
        <v>864</v>
      </c>
      <c r="AB36" s="323" t="s">
        <v>864</v>
      </c>
      <c r="AC36" s="321" t="s">
        <v>1593</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1726</v>
      </c>
      <c r="E37" s="326"/>
      <c r="F37" s="326"/>
      <c r="G37" s="326"/>
      <c r="H37" s="317" t="s">
        <v>1626</v>
      </c>
      <c r="I37" s="317" t="s">
        <v>1727</v>
      </c>
      <c r="J37" s="317" t="s">
        <v>1728</v>
      </c>
      <c r="K37" s="317"/>
      <c r="L37" s="317" t="s">
        <v>1729</v>
      </c>
      <c r="M37" s="317"/>
      <c r="N37" s="317" t="s">
        <v>1729</v>
      </c>
      <c r="O37" s="317"/>
      <c r="P37" s="317"/>
      <c r="Q37" s="317"/>
      <c r="R37" s="317"/>
      <c r="S37" s="327" t="s">
        <v>817</v>
      </c>
      <c r="T37" s="327" t="s">
        <v>817</v>
      </c>
      <c r="U37" s="327" t="s">
        <v>817</v>
      </c>
      <c r="V37" s="317"/>
      <c r="W37" s="317"/>
      <c r="X37" s="317" t="s">
        <v>863</v>
      </c>
      <c r="Y37" s="317"/>
      <c r="Z37" s="317" t="s">
        <v>1730</v>
      </c>
      <c r="AA37" s="317" t="s">
        <v>864</v>
      </c>
      <c r="AB37" s="317" t="s">
        <v>864</v>
      </c>
      <c r="AC37" s="321" t="s">
        <v>1593</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1731</v>
      </c>
      <c r="D38" s="322"/>
      <c r="E38" s="322"/>
      <c r="F38" s="322"/>
      <c r="G38" s="322"/>
      <c r="H38" s="323" t="s">
        <v>1626</v>
      </c>
      <c r="I38" s="323" t="s">
        <v>1732</v>
      </c>
      <c r="J38" s="323" t="s">
        <v>1733</v>
      </c>
      <c r="K38" s="323"/>
      <c r="L38" s="323" t="s">
        <v>1734</v>
      </c>
      <c r="M38" s="323"/>
      <c r="N38" s="323" t="s">
        <v>1734</v>
      </c>
      <c r="O38" s="323"/>
      <c r="P38" s="323"/>
      <c r="Q38" s="323"/>
      <c r="R38" s="323"/>
      <c r="S38" s="333" t="s">
        <v>817</v>
      </c>
      <c r="T38" s="334" t="s">
        <v>817</v>
      </c>
      <c r="U38" s="334" t="s">
        <v>817</v>
      </c>
      <c r="V38" s="323"/>
      <c r="W38" s="323"/>
      <c r="X38" s="323" t="s">
        <v>863</v>
      </c>
      <c r="Y38" s="323"/>
      <c r="Z38" s="323" t="s">
        <v>1735</v>
      </c>
      <c r="AA38" s="323" t="s">
        <v>864</v>
      </c>
      <c r="AB38" s="323" t="s">
        <v>864</v>
      </c>
      <c r="AC38" s="321" t="s">
        <v>1593</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1736</v>
      </c>
      <c r="D39" s="340"/>
      <c r="E39" s="326"/>
      <c r="F39" s="326"/>
      <c r="G39" s="326"/>
      <c r="H39" s="317" t="s">
        <v>1737</v>
      </c>
      <c r="I39" s="317" t="s">
        <v>1738</v>
      </c>
      <c r="J39" s="317">
        <v>2</v>
      </c>
      <c r="K39" s="317" t="s">
        <v>864</v>
      </c>
      <c r="L39" s="317" t="s">
        <v>1739</v>
      </c>
      <c r="M39" s="317"/>
      <c r="N39" s="317" t="s">
        <v>1739</v>
      </c>
      <c r="O39" s="317"/>
      <c r="P39" s="317"/>
      <c r="Q39" s="317"/>
      <c r="R39" s="317"/>
      <c r="S39" s="327" t="s">
        <v>817</v>
      </c>
      <c r="T39" s="327" t="s">
        <v>817</v>
      </c>
      <c r="U39" s="327" t="s">
        <v>817</v>
      </c>
      <c r="V39" s="317"/>
      <c r="W39" s="317"/>
      <c r="X39" s="317" t="s">
        <v>863</v>
      </c>
      <c r="Y39" s="317"/>
      <c r="Z39" s="317" t="s">
        <v>1740</v>
      </c>
      <c r="AA39" s="317" t="s">
        <v>864</v>
      </c>
      <c r="AB39" s="317" t="s">
        <v>864</v>
      </c>
      <c r="AC39" s="321" t="s">
        <v>1593</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1741</v>
      </c>
      <c r="D40" s="322"/>
      <c r="E40" s="322"/>
      <c r="F40" s="322"/>
      <c r="G40" s="322"/>
      <c r="H40" s="323" t="s">
        <v>1742</v>
      </c>
      <c r="I40" s="323" t="s">
        <v>1743</v>
      </c>
      <c r="J40" s="323">
        <v>100</v>
      </c>
      <c r="K40" s="323"/>
      <c r="L40" s="323" t="s">
        <v>1744</v>
      </c>
      <c r="M40" s="323"/>
      <c r="N40" s="323" t="s">
        <v>1744</v>
      </c>
      <c r="O40" s="323"/>
      <c r="P40" s="323"/>
      <c r="Q40" s="323"/>
      <c r="R40" s="323"/>
      <c r="S40" s="333" t="s">
        <v>817</v>
      </c>
      <c r="T40" s="333" t="s">
        <v>817</v>
      </c>
      <c r="U40" s="333" t="s">
        <v>817</v>
      </c>
      <c r="V40" s="323"/>
      <c r="W40" s="323"/>
      <c r="X40" s="323" t="s">
        <v>1362</v>
      </c>
      <c r="Y40" s="323"/>
      <c r="Z40" s="323"/>
      <c r="AA40" s="323" t="s">
        <v>864</v>
      </c>
      <c r="AB40" s="323" t="s">
        <v>864</v>
      </c>
      <c r="AC40" s="332" t="s">
        <v>1593</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1745</v>
      </c>
      <c r="D41" s="340"/>
      <c r="E41" s="326"/>
      <c r="F41" s="326"/>
      <c r="G41" s="326"/>
      <c r="H41" s="317" t="s">
        <v>1746</v>
      </c>
      <c r="I41" s="317" t="s">
        <v>1747</v>
      </c>
      <c r="J41" s="317" t="s">
        <v>1748</v>
      </c>
      <c r="K41" s="317" t="s">
        <v>864</v>
      </c>
      <c r="L41" s="317" t="s">
        <v>1749</v>
      </c>
      <c r="M41" s="317"/>
      <c r="N41" s="317" t="s">
        <v>1749</v>
      </c>
      <c r="O41" s="317"/>
      <c r="P41" s="317"/>
      <c r="Q41" s="317"/>
      <c r="R41" s="317"/>
      <c r="S41" s="327" t="s">
        <v>817</v>
      </c>
      <c r="T41" s="327" t="s">
        <v>817</v>
      </c>
      <c r="U41" s="327" t="s">
        <v>817</v>
      </c>
      <c r="V41" s="317"/>
      <c r="W41" s="317"/>
      <c r="X41" s="317" t="s">
        <v>879</v>
      </c>
      <c r="Y41" s="317"/>
      <c r="Z41" s="317" t="s">
        <v>932</v>
      </c>
      <c r="AA41" s="317" t="s">
        <v>864</v>
      </c>
      <c r="AB41" s="317" t="s">
        <v>864</v>
      </c>
      <c r="AC41" s="321" t="s">
        <v>1593</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1750</v>
      </c>
      <c r="D42" s="339"/>
      <c r="E42" s="322"/>
      <c r="F42" s="322"/>
      <c r="G42" s="322"/>
      <c r="H42" s="323" t="s">
        <v>1751</v>
      </c>
      <c r="I42" s="323" t="s">
        <v>1752</v>
      </c>
      <c r="J42" s="323" t="s">
        <v>1753</v>
      </c>
      <c r="K42" s="323" t="s">
        <v>864</v>
      </c>
      <c r="L42" s="323" t="s">
        <v>1754</v>
      </c>
      <c r="M42" s="323"/>
      <c r="N42" s="323" t="s">
        <v>1754</v>
      </c>
      <c r="O42" s="323"/>
      <c r="P42" s="323"/>
      <c r="Q42" s="323"/>
      <c r="R42" s="323"/>
      <c r="S42" s="333" t="s">
        <v>817</v>
      </c>
      <c r="T42" s="333" t="s">
        <v>817</v>
      </c>
      <c r="U42" s="333" t="s">
        <v>817</v>
      </c>
      <c r="V42" s="323"/>
      <c r="W42" s="323"/>
      <c r="X42" s="323" t="s">
        <v>879</v>
      </c>
      <c r="Y42" s="323"/>
      <c r="Z42" s="323" t="s">
        <v>932</v>
      </c>
      <c r="AA42" s="323" t="s">
        <v>864</v>
      </c>
      <c r="AB42" s="323" t="s">
        <v>864</v>
      </c>
      <c r="AC42" s="321" t="s">
        <v>1593</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1755</v>
      </c>
      <c r="D43" s="340"/>
      <c r="E43" s="340"/>
      <c r="F43" s="326"/>
      <c r="G43" s="326"/>
      <c r="H43" s="317" t="s">
        <v>1756</v>
      </c>
      <c r="I43" s="317" t="s">
        <v>1757</v>
      </c>
      <c r="J43" s="317" t="s">
        <v>1758</v>
      </c>
      <c r="K43" s="317" t="s">
        <v>864</v>
      </c>
      <c r="L43" s="317" t="s">
        <v>1759</v>
      </c>
      <c r="M43" s="317"/>
      <c r="N43" s="317" t="s">
        <v>1759</v>
      </c>
      <c r="O43" s="317"/>
      <c r="P43" s="317"/>
      <c r="Q43" s="317"/>
      <c r="R43" s="317"/>
      <c r="S43" s="327" t="s">
        <v>817</v>
      </c>
      <c r="T43" s="329" t="s">
        <v>817</v>
      </c>
      <c r="U43" s="329" t="s">
        <v>817</v>
      </c>
      <c r="V43" s="317"/>
      <c r="W43" s="317"/>
      <c r="X43" s="317" t="s">
        <v>879</v>
      </c>
      <c r="Y43" s="317"/>
      <c r="Z43" s="317" t="s">
        <v>932</v>
      </c>
      <c r="AA43" s="317" t="s">
        <v>864</v>
      </c>
      <c r="AB43" s="317" t="s">
        <v>864</v>
      </c>
      <c r="AC43" s="321" t="s">
        <v>1593</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1760</v>
      </c>
      <c r="D44" s="322"/>
      <c r="E44" s="322"/>
      <c r="F44" s="322"/>
      <c r="G44" s="322"/>
      <c r="H44" s="323" t="s">
        <v>1761</v>
      </c>
      <c r="I44" s="323" t="s">
        <v>1762</v>
      </c>
      <c r="J44" s="323" t="s">
        <v>1763</v>
      </c>
      <c r="K44" s="323" t="s">
        <v>864</v>
      </c>
      <c r="L44" s="323" t="s">
        <v>1764</v>
      </c>
      <c r="M44" s="323"/>
      <c r="N44" s="323" t="s">
        <v>1764</v>
      </c>
      <c r="O44" s="323"/>
      <c r="P44" s="323"/>
      <c r="Q44" s="323"/>
      <c r="R44" s="323"/>
      <c r="S44" s="333" t="s">
        <v>817</v>
      </c>
      <c r="T44" s="333" t="s">
        <v>817</v>
      </c>
      <c r="U44" s="333" t="s">
        <v>817</v>
      </c>
      <c r="V44" s="323"/>
      <c r="W44" s="323"/>
      <c r="X44" s="323" t="s">
        <v>863</v>
      </c>
      <c r="Y44" s="323"/>
      <c r="Z44" s="323" t="s">
        <v>1765</v>
      </c>
      <c r="AA44" s="323" t="s">
        <v>864</v>
      </c>
      <c r="AB44" s="323" t="s">
        <v>864</v>
      </c>
      <c r="AC44" s="321" t="s">
        <v>1593</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1766</v>
      </c>
      <c r="D45" s="340"/>
      <c r="E45" s="326"/>
      <c r="F45" s="326"/>
      <c r="G45" s="326"/>
      <c r="H45" s="317" t="s">
        <v>1626</v>
      </c>
      <c r="I45" s="317" t="s">
        <v>1767</v>
      </c>
      <c r="J45" s="317" t="s">
        <v>1768</v>
      </c>
      <c r="K45" s="317"/>
      <c r="L45" s="317" t="s">
        <v>1769</v>
      </c>
      <c r="M45" s="317"/>
      <c r="N45" s="317" t="s">
        <v>1769</v>
      </c>
      <c r="O45" s="317"/>
      <c r="P45" s="317"/>
      <c r="Q45" s="317"/>
      <c r="R45" s="317"/>
      <c r="S45" s="327" t="s">
        <v>817</v>
      </c>
      <c r="T45" s="327" t="s">
        <v>817</v>
      </c>
      <c r="U45" s="327" t="s">
        <v>817</v>
      </c>
      <c r="V45" s="317"/>
      <c r="W45" s="317"/>
      <c r="X45" s="317" t="s">
        <v>863</v>
      </c>
      <c r="Y45" s="317"/>
      <c r="Z45" s="317" t="s">
        <v>1770</v>
      </c>
      <c r="AA45" s="317" t="s">
        <v>864</v>
      </c>
      <c r="AB45" s="317" t="s">
        <v>864</v>
      </c>
      <c r="AC45" s="332" t="s">
        <v>1593</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1771</v>
      </c>
      <c r="D46" s="339"/>
      <c r="E46" s="322"/>
      <c r="F46" s="322"/>
      <c r="G46" s="322"/>
      <c r="H46" s="323" t="s">
        <v>1772</v>
      </c>
      <c r="I46" s="323" t="s">
        <v>1773</v>
      </c>
      <c r="J46" s="330"/>
      <c r="K46" s="323"/>
      <c r="L46" s="323" t="s">
        <v>1774</v>
      </c>
      <c r="M46" s="323"/>
      <c r="N46" s="323" t="s">
        <v>1774</v>
      </c>
      <c r="O46" s="323"/>
      <c r="P46" s="323"/>
      <c r="Q46" s="323"/>
      <c r="R46" s="323"/>
      <c r="S46" s="331" t="s">
        <v>823</v>
      </c>
      <c r="T46" s="331" t="s">
        <v>823</v>
      </c>
      <c r="U46" s="331" t="s">
        <v>823</v>
      </c>
      <c r="V46" s="323"/>
      <c r="W46" s="323" t="s">
        <v>864</v>
      </c>
      <c r="X46" s="323" t="s">
        <v>1775</v>
      </c>
      <c r="Y46" s="323"/>
      <c r="Z46" s="323"/>
      <c r="AA46" s="323" t="s">
        <v>864</v>
      </c>
      <c r="AB46" s="323" t="s">
        <v>864</v>
      </c>
      <c r="AC46" s="321" t="s">
        <v>1593</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1776</v>
      </c>
      <c r="E47" s="326"/>
      <c r="F47" s="326"/>
      <c r="G47" s="326"/>
      <c r="H47" s="317" t="s">
        <v>1777</v>
      </c>
      <c r="I47" s="317" t="s">
        <v>1778</v>
      </c>
      <c r="J47" s="317" t="s">
        <v>1779</v>
      </c>
      <c r="K47" s="317"/>
      <c r="L47" s="317" t="s">
        <v>1661</v>
      </c>
      <c r="M47" s="317"/>
      <c r="N47" s="317" t="s">
        <v>1661</v>
      </c>
      <c r="O47" s="317"/>
      <c r="P47" s="317"/>
      <c r="Q47" s="317"/>
      <c r="R47" s="317"/>
      <c r="S47" s="320" t="s">
        <v>820</v>
      </c>
      <c r="T47" s="320" t="s">
        <v>820</v>
      </c>
      <c r="U47" s="320" t="s">
        <v>820</v>
      </c>
      <c r="V47" s="317"/>
      <c r="W47" s="317"/>
      <c r="X47" s="317" t="s">
        <v>863</v>
      </c>
      <c r="Y47" s="317"/>
      <c r="Z47" s="317"/>
      <c r="AA47" s="317" t="s">
        <v>864</v>
      </c>
      <c r="AB47" s="317" t="s">
        <v>864</v>
      </c>
      <c r="AC47" s="321" t="s">
        <v>1593</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1780</v>
      </c>
      <c r="E48" s="322"/>
      <c r="F48" s="322"/>
      <c r="G48" s="322"/>
      <c r="H48" s="323" t="s">
        <v>1781</v>
      </c>
      <c r="I48" s="323" t="s">
        <v>1782</v>
      </c>
      <c r="J48" s="323"/>
      <c r="K48" s="323"/>
      <c r="L48" s="323" t="s">
        <v>1783</v>
      </c>
      <c r="M48" s="323"/>
      <c r="N48" s="323" t="s">
        <v>1783</v>
      </c>
      <c r="O48" s="323"/>
      <c r="P48" s="323"/>
      <c r="Q48" s="323"/>
      <c r="R48" s="323"/>
      <c r="S48" s="323" t="s">
        <v>893</v>
      </c>
      <c r="T48" s="341" t="s">
        <v>893</v>
      </c>
      <c r="U48" s="341" t="s">
        <v>893</v>
      </c>
      <c r="V48" s="323"/>
      <c r="W48" s="323"/>
      <c r="X48" s="323" t="s">
        <v>863</v>
      </c>
      <c r="Y48" s="323"/>
      <c r="Z48" s="323"/>
      <c r="AA48" s="323" t="s">
        <v>864</v>
      </c>
      <c r="AB48" s="323" t="s">
        <v>864</v>
      </c>
      <c r="AC48" s="321" t="s">
        <v>1593</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1784</v>
      </c>
      <c r="D49" s="343"/>
      <c r="E49" s="343"/>
      <c r="F49" s="343"/>
      <c r="G49" s="343"/>
      <c r="H49" s="317" t="s">
        <v>1785</v>
      </c>
      <c r="I49" s="317" t="s">
        <v>1786</v>
      </c>
      <c r="J49" s="338"/>
      <c r="K49" s="317"/>
      <c r="L49" s="317" t="s">
        <v>1787</v>
      </c>
      <c r="M49" s="317"/>
      <c r="N49" s="317" t="s">
        <v>1787</v>
      </c>
      <c r="O49" s="317"/>
      <c r="P49" s="317"/>
      <c r="Q49" s="317"/>
      <c r="R49" s="317"/>
      <c r="S49" s="344" t="s">
        <v>823</v>
      </c>
      <c r="T49" s="344" t="s">
        <v>823</v>
      </c>
      <c r="U49" s="344" t="s">
        <v>823</v>
      </c>
      <c r="V49" s="317"/>
      <c r="W49" s="317" t="s">
        <v>864</v>
      </c>
      <c r="X49" s="317" t="s">
        <v>1788</v>
      </c>
      <c r="Y49" s="317"/>
      <c r="Z49" s="317"/>
      <c r="AA49" s="317" t="s">
        <v>864</v>
      </c>
      <c r="AB49" s="317" t="s">
        <v>864</v>
      </c>
      <c r="AC49" s="321" t="s">
        <v>1593</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1602</v>
      </c>
      <c r="E50" s="345"/>
      <c r="F50" s="345"/>
      <c r="G50" s="345"/>
      <c r="H50" s="323" t="s">
        <v>1789</v>
      </c>
      <c r="I50" s="323" t="s">
        <v>1790</v>
      </c>
      <c r="J50" s="323" t="s">
        <v>1791</v>
      </c>
      <c r="K50" s="323"/>
      <c r="L50" s="323" t="s">
        <v>1605</v>
      </c>
      <c r="M50" s="323"/>
      <c r="N50" s="323" t="s">
        <v>1605</v>
      </c>
      <c r="O50" s="323"/>
      <c r="P50" s="323"/>
      <c r="Q50" s="323"/>
      <c r="R50" s="323"/>
      <c r="S50" s="325" t="s">
        <v>820</v>
      </c>
      <c r="T50" s="325" t="s">
        <v>820</v>
      </c>
      <c r="U50" s="325" t="s">
        <v>820</v>
      </c>
      <c r="V50" s="323"/>
      <c r="W50" s="323"/>
      <c r="X50" s="323" t="s">
        <v>863</v>
      </c>
      <c r="Y50" s="323"/>
      <c r="Z50" s="323"/>
      <c r="AA50" s="323" t="s">
        <v>864</v>
      </c>
      <c r="AB50" s="323" t="s">
        <v>864</v>
      </c>
      <c r="AC50" s="332" t="s">
        <v>1593</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1792</v>
      </c>
      <c r="E51" s="346"/>
      <c r="F51" s="342"/>
      <c r="G51" s="342"/>
      <c r="H51" s="317" t="s">
        <v>1626</v>
      </c>
      <c r="I51" s="317" t="s">
        <v>1793</v>
      </c>
      <c r="J51" s="317" t="s">
        <v>1794</v>
      </c>
      <c r="K51" s="317"/>
      <c r="L51" s="317" t="s">
        <v>1795</v>
      </c>
      <c r="M51" s="317"/>
      <c r="N51" s="317" t="s">
        <v>1795</v>
      </c>
      <c r="O51" s="317"/>
      <c r="P51" s="317"/>
      <c r="Q51" s="317"/>
      <c r="R51" s="317"/>
      <c r="S51" s="327" t="s">
        <v>817</v>
      </c>
      <c r="T51" s="327" t="s">
        <v>817</v>
      </c>
      <c r="U51" s="327" t="s">
        <v>817</v>
      </c>
      <c r="V51" s="317"/>
      <c r="W51" s="317"/>
      <c r="X51" s="317" t="s">
        <v>879</v>
      </c>
      <c r="Y51" s="317"/>
      <c r="Z51" s="317" t="s">
        <v>932</v>
      </c>
      <c r="AA51" s="317" t="s">
        <v>864</v>
      </c>
      <c r="AB51" s="317" t="s">
        <v>864</v>
      </c>
      <c r="AC51" s="321" t="s">
        <v>1593</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1796</v>
      </c>
      <c r="E52" s="345"/>
      <c r="F52" s="345"/>
      <c r="G52" s="345"/>
      <c r="H52" s="323" t="s">
        <v>1626</v>
      </c>
      <c r="I52" s="323" t="s">
        <v>1797</v>
      </c>
      <c r="J52" s="323">
        <v>0</v>
      </c>
      <c r="K52" s="323"/>
      <c r="L52" s="323" t="s">
        <v>1798</v>
      </c>
      <c r="M52" s="323"/>
      <c r="N52" s="323" t="s">
        <v>1798</v>
      </c>
      <c r="O52" s="323"/>
      <c r="P52" s="323"/>
      <c r="Q52" s="323"/>
      <c r="R52" s="323"/>
      <c r="S52" s="333" t="s">
        <v>817</v>
      </c>
      <c r="T52" s="333" t="s">
        <v>817</v>
      </c>
      <c r="U52" s="333" t="s">
        <v>817</v>
      </c>
      <c r="V52" s="323"/>
      <c r="W52" s="323"/>
      <c r="X52" s="323" t="s">
        <v>1362</v>
      </c>
      <c r="Y52" s="323"/>
      <c r="Z52" s="323"/>
      <c r="AA52" s="323" t="s">
        <v>864</v>
      </c>
      <c r="AB52" s="323" t="s">
        <v>864</v>
      </c>
      <c r="AC52" s="321" t="s">
        <v>1593</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1799</v>
      </c>
      <c r="E53" s="342"/>
      <c r="F53" s="342"/>
      <c r="G53" s="342"/>
      <c r="H53" s="317" t="s">
        <v>1800</v>
      </c>
      <c r="I53" s="317" t="s">
        <v>1801</v>
      </c>
      <c r="J53" s="317">
        <v>0</v>
      </c>
      <c r="K53" s="317"/>
      <c r="L53" s="317" t="s">
        <v>1802</v>
      </c>
      <c r="M53" s="317"/>
      <c r="N53" s="317" t="s">
        <v>1802</v>
      </c>
      <c r="O53" s="317"/>
      <c r="P53" s="317"/>
      <c r="Q53" s="317"/>
      <c r="R53" s="317"/>
      <c r="S53" s="327" t="s">
        <v>817</v>
      </c>
      <c r="T53" s="329" t="s">
        <v>817</v>
      </c>
      <c r="U53" s="329" t="s">
        <v>817</v>
      </c>
      <c r="V53" s="317"/>
      <c r="W53" s="317"/>
      <c r="X53" s="317" t="s">
        <v>1362</v>
      </c>
      <c r="Y53" s="317"/>
      <c r="Z53" s="317"/>
      <c r="AA53" s="317" t="s">
        <v>864</v>
      </c>
      <c r="AB53" s="317" t="s">
        <v>864</v>
      </c>
      <c r="AC53" s="321" t="s">
        <v>1593</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1803</v>
      </c>
      <c r="E54" s="345"/>
      <c r="F54" s="345"/>
      <c r="G54" s="345"/>
      <c r="H54" s="323" t="s">
        <v>1626</v>
      </c>
      <c r="I54" s="323" t="s">
        <v>1804</v>
      </c>
      <c r="J54" s="323">
        <v>1</v>
      </c>
      <c r="K54" s="323"/>
      <c r="L54" s="323" t="s">
        <v>1805</v>
      </c>
      <c r="M54" s="323"/>
      <c r="N54" s="323" t="s">
        <v>1805</v>
      </c>
      <c r="O54" s="323"/>
      <c r="P54" s="323"/>
      <c r="Q54" s="323"/>
      <c r="R54" s="323"/>
      <c r="S54" s="333" t="s">
        <v>817</v>
      </c>
      <c r="T54" s="333" t="s">
        <v>817</v>
      </c>
      <c r="U54" s="333" t="s">
        <v>817</v>
      </c>
      <c r="V54" s="323"/>
      <c r="W54" s="323"/>
      <c r="X54" s="323" t="s">
        <v>1362</v>
      </c>
      <c r="Y54" s="323"/>
      <c r="Z54" s="323"/>
      <c r="AA54" s="323" t="s">
        <v>864</v>
      </c>
      <c r="AB54" s="323" t="s">
        <v>864</v>
      </c>
      <c r="AC54" s="321" t="s">
        <v>1593</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1806</v>
      </c>
      <c r="E55" s="342"/>
      <c r="F55" s="342"/>
      <c r="G55" s="342"/>
      <c r="H55" s="317" t="s">
        <v>1626</v>
      </c>
      <c r="I55" s="317" t="s">
        <v>1807</v>
      </c>
      <c r="J55" s="317">
        <v>0</v>
      </c>
      <c r="K55" s="317"/>
      <c r="L55" s="317" t="s">
        <v>1808</v>
      </c>
      <c r="M55" s="317"/>
      <c r="N55" s="317" t="s">
        <v>1808</v>
      </c>
      <c r="O55" s="317"/>
      <c r="P55" s="317"/>
      <c r="Q55" s="317"/>
      <c r="R55" s="317"/>
      <c r="S55" s="327" t="s">
        <v>817</v>
      </c>
      <c r="T55" s="327" t="s">
        <v>817</v>
      </c>
      <c r="U55" s="327" t="s">
        <v>817</v>
      </c>
      <c r="V55" s="317"/>
      <c r="W55" s="317"/>
      <c r="X55" s="317" t="s">
        <v>1362</v>
      </c>
      <c r="Y55" s="317"/>
      <c r="Z55" s="317"/>
      <c r="AA55" s="317" t="s">
        <v>864</v>
      </c>
      <c r="AB55" s="317" t="s">
        <v>864</v>
      </c>
      <c r="AC55" s="332" t="s">
        <v>1593</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1809</v>
      </c>
      <c r="E56" s="345"/>
      <c r="F56" s="345"/>
      <c r="G56" s="345"/>
      <c r="H56" s="323" t="s">
        <v>1626</v>
      </c>
      <c r="I56" s="323" t="s">
        <v>1810</v>
      </c>
      <c r="J56" s="323">
        <v>0</v>
      </c>
      <c r="K56" s="323"/>
      <c r="L56" s="323" t="s">
        <v>1811</v>
      </c>
      <c r="M56" s="323"/>
      <c r="N56" s="323" t="s">
        <v>1811</v>
      </c>
      <c r="O56" s="323"/>
      <c r="P56" s="323"/>
      <c r="Q56" s="323"/>
      <c r="R56" s="323"/>
      <c r="S56" s="333" t="s">
        <v>817</v>
      </c>
      <c r="T56" s="333" t="s">
        <v>817</v>
      </c>
      <c r="U56" s="333" t="s">
        <v>817</v>
      </c>
      <c r="V56" s="323"/>
      <c r="W56" s="323"/>
      <c r="X56" s="323" t="s">
        <v>1362</v>
      </c>
      <c r="Y56" s="323"/>
      <c r="Z56" s="323"/>
      <c r="AA56" s="323" t="s">
        <v>864</v>
      </c>
      <c r="AB56" s="323" t="s">
        <v>864</v>
      </c>
      <c r="AC56" s="321" t="s">
        <v>1593</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1812</v>
      </c>
      <c r="E57" s="342"/>
      <c r="F57" s="342"/>
      <c r="G57" s="342"/>
      <c r="H57" s="317" t="s">
        <v>1626</v>
      </c>
      <c r="I57" s="317" t="s">
        <v>1813</v>
      </c>
      <c r="J57" s="317">
        <v>0</v>
      </c>
      <c r="K57" s="317"/>
      <c r="L57" s="317" t="s">
        <v>1814</v>
      </c>
      <c r="M57" s="317"/>
      <c r="N57" s="317" t="s">
        <v>1814</v>
      </c>
      <c r="O57" s="317"/>
      <c r="P57" s="317"/>
      <c r="Q57" s="317"/>
      <c r="R57" s="317"/>
      <c r="S57" s="327" t="s">
        <v>817</v>
      </c>
      <c r="T57" s="327" t="s">
        <v>817</v>
      </c>
      <c r="U57" s="327" t="s">
        <v>817</v>
      </c>
      <c r="V57" s="317"/>
      <c r="W57" s="317"/>
      <c r="X57" s="317" t="s">
        <v>1362</v>
      </c>
      <c r="Y57" s="317"/>
      <c r="Z57" s="317"/>
      <c r="AA57" s="317" t="s">
        <v>864</v>
      </c>
      <c r="AB57" s="317" t="s">
        <v>864</v>
      </c>
      <c r="AC57" s="321" t="s">
        <v>1593</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1815</v>
      </c>
      <c r="D58" s="347"/>
      <c r="E58" s="347"/>
      <c r="F58" s="347"/>
      <c r="G58" s="347"/>
      <c r="H58" s="323" t="s">
        <v>1626</v>
      </c>
      <c r="I58" s="323" t="s">
        <v>1816</v>
      </c>
      <c r="J58" s="330"/>
      <c r="K58" s="323"/>
      <c r="L58" s="323" t="s">
        <v>1817</v>
      </c>
      <c r="M58" s="323"/>
      <c r="N58" s="323" t="s">
        <v>1817</v>
      </c>
      <c r="O58" s="323"/>
      <c r="P58" s="323"/>
      <c r="Q58" s="323"/>
      <c r="R58" s="323"/>
      <c r="S58" s="331" t="s">
        <v>823</v>
      </c>
      <c r="T58" s="348" t="s">
        <v>823</v>
      </c>
      <c r="U58" s="348" t="s">
        <v>823</v>
      </c>
      <c r="V58" s="323"/>
      <c r="W58" s="323" t="s">
        <v>864</v>
      </c>
      <c r="X58" s="323" t="s">
        <v>1818</v>
      </c>
      <c r="Y58" s="323"/>
      <c r="Z58" s="323"/>
      <c r="AA58" s="323" t="s">
        <v>864</v>
      </c>
      <c r="AB58" s="323" t="s">
        <v>864</v>
      </c>
      <c r="AC58" s="321" t="s">
        <v>1593</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1819</v>
      </c>
      <c r="E59" s="342"/>
      <c r="F59" s="342"/>
      <c r="G59" s="342"/>
      <c r="H59" s="317" t="s">
        <v>1626</v>
      </c>
      <c r="I59" s="317" t="s">
        <v>1820</v>
      </c>
      <c r="J59" s="317" t="s">
        <v>1821</v>
      </c>
      <c r="K59" s="317"/>
      <c r="L59" s="317" t="s">
        <v>1795</v>
      </c>
      <c r="M59" s="317"/>
      <c r="N59" s="317" t="s">
        <v>1795</v>
      </c>
      <c r="O59" s="317"/>
      <c r="P59" s="317"/>
      <c r="Q59" s="317"/>
      <c r="R59" s="317"/>
      <c r="S59" s="327" t="s">
        <v>817</v>
      </c>
      <c r="T59" s="327" t="s">
        <v>817</v>
      </c>
      <c r="U59" s="327" t="s">
        <v>817</v>
      </c>
      <c r="V59" s="317"/>
      <c r="W59" s="317"/>
      <c r="X59" s="317" t="s">
        <v>879</v>
      </c>
      <c r="Y59" s="317"/>
      <c r="Z59" s="317" t="s">
        <v>932</v>
      </c>
      <c r="AA59" s="317" t="s">
        <v>864</v>
      </c>
      <c r="AB59" s="317" t="s">
        <v>864</v>
      </c>
      <c r="AC59" s="321" t="s">
        <v>1593</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1822</v>
      </c>
      <c r="E60" s="345"/>
      <c r="F60" s="345"/>
      <c r="G60" s="345"/>
      <c r="H60" s="323" t="s">
        <v>1626</v>
      </c>
      <c r="I60" s="323" t="s">
        <v>1823</v>
      </c>
      <c r="J60" s="323">
        <v>0</v>
      </c>
      <c r="K60" s="323"/>
      <c r="L60" s="323" t="s">
        <v>1824</v>
      </c>
      <c r="M60" s="323"/>
      <c r="N60" s="323" t="s">
        <v>1824</v>
      </c>
      <c r="O60" s="323"/>
      <c r="P60" s="323"/>
      <c r="Q60" s="323"/>
      <c r="R60" s="323"/>
      <c r="S60" s="333" t="s">
        <v>817</v>
      </c>
      <c r="T60" s="333" t="s">
        <v>817</v>
      </c>
      <c r="U60" s="333" t="s">
        <v>817</v>
      </c>
      <c r="V60" s="323"/>
      <c r="W60" s="323"/>
      <c r="X60" s="323" t="s">
        <v>1362</v>
      </c>
      <c r="Y60" s="323"/>
      <c r="Z60" s="323"/>
      <c r="AA60" s="323" t="s">
        <v>864</v>
      </c>
      <c r="AB60" s="323" t="s">
        <v>864</v>
      </c>
      <c r="AC60" s="332" t="s">
        <v>1593</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1825</v>
      </c>
      <c r="E61" s="342"/>
      <c r="F61" s="342"/>
      <c r="G61" s="342"/>
      <c r="H61" s="317" t="s">
        <v>1626</v>
      </c>
      <c r="I61" s="317" t="s">
        <v>1826</v>
      </c>
      <c r="J61" s="317">
        <v>1</v>
      </c>
      <c r="K61" s="317"/>
      <c r="L61" s="317" t="s">
        <v>1827</v>
      </c>
      <c r="M61" s="317"/>
      <c r="N61" s="317" t="s">
        <v>1827</v>
      </c>
      <c r="O61" s="317"/>
      <c r="P61" s="317"/>
      <c r="Q61" s="317"/>
      <c r="R61" s="317"/>
      <c r="S61" s="327" t="s">
        <v>817</v>
      </c>
      <c r="T61" s="327" t="s">
        <v>817</v>
      </c>
      <c r="U61" s="327" t="s">
        <v>817</v>
      </c>
      <c r="V61" s="317"/>
      <c r="W61" s="317"/>
      <c r="X61" s="317" t="s">
        <v>1362</v>
      </c>
      <c r="Y61" s="317"/>
      <c r="Z61" s="317"/>
      <c r="AA61" s="317" t="s">
        <v>864</v>
      </c>
      <c r="AB61" s="317" t="s">
        <v>864</v>
      </c>
      <c r="AC61" s="321" t="s">
        <v>1593</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1828</v>
      </c>
      <c r="D62" s="322"/>
      <c r="E62" s="322"/>
      <c r="F62" s="322"/>
      <c r="G62" s="322"/>
      <c r="H62" s="323" t="s">
        <v>1829</v>
      </c>
      <c r="I62" s="323" t="s">
        <v>1830</v>
      </c>
      <c r="J62" s="330"/>
      <c r="K62" s="323" t="s">
        <v>864</v>
      </c>
      <c r="L62" s="323" t="s">
        <v>1831</v>
      </c>
      <c r="M62" s="323"/>
      <c r="N62" s="323" t="s">
        <v>1831</v>
      </c>
      <c r="O62" s="323"/>
      <c r="P62" s="323"/>
      <c r="Q62" s="323"/>
      <c r="R62" s="323"/>
      <c r="S62" s="331" t="s">
        <v>823</v>
      </c>
      <c r="T62" s="331" t="s">
        <v>823</v>
      </c>
      <c r="U62" s="331" t="s">
        <v>823</v>
      </c>
      <c r="V62" s="323"/>
      <c r="W62" s="323" t="s">
        <v>864</v>
      </c>
      <c r="X62" s="323" t="s">
        <v>1832</v>
      </c>
      <c r="Y62" s="323"/>
      <c r="Z62" s="323"/>
      <c r="AA62" s="323" t="s">
        <v>864</v>
      </c>
      <c r="AB62" s="323" t="s">
        <v>864</v>
      </c>
      <c r="AC62" s="321" t="s">
        <v>1593</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1833</v>
      </c>
      <c r="E63" s="340"/>
      <c r="F63" s="326"/>
      <c r="G63" s="326"/>
      <c r="H63" s="317" t="s">
        <v>1834</v>
      </c>
      <c r="I63" s="317" t="s">
        <v>1835</v>
      </c>
      <c r="J63" s="317" t="s">
        <v>1758</v>
      </c>
      <c r="K63" s="317" t="s">
        <v>864</v>
      </c>
      <c r="L63" s="317" t="s">
        <v>1795</v>
      </c>
      <c r="M63" s="317"/>
      <c r="N63" s="317" t="s">
        <v>1795</v>
      </c>
      <c r="O63" s="317"/>
      <c r="P63" s="317"/>
      <c r="Q63" s="317"/>
      <c r="R63" s="317"/>
      <c r="S63" s="327" t="s">
        <v>817</v>
      </c>
      <c r="T63" s="329" t="s">
        <v>817</v>
      </c>
      <c r="U63" s="329" t="s">
        <v>817</v>
      </c>
      <c r="V63" s="317"/>
      <c r="W63" s="317"/>
      <c r="X63" s="317" t="s">
        <v>879</v>
      </c>
      <c r="Y63" s="317"/>
      <c r="Z63" s="317" t="s">
        <v>932</v>
      </c>
      <c r="AA63" s="317" t="s">
        <v>864</v>
      </c>
      <c r="AB63" s="317" t="s">
        <v>864</v>
      </c>
      <c r="AC63" s="321" t="s">
        <v>1593</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1721</v>
      </c>
      <c r="E64" s="336"/>
      <c r="F64" s="336"/>
      <c r="G64" s="336"/>
      <c r="H64" s="323" t="s">
        <v>1836</v>
      </c>
      <c r="I64" s="323" t="s">
        <v>1837</v>
      </c>
      <c r="J64" s="323" t="s">
        <v>1838</v>
      </c>
      <c r="K64" s="323" t="s">
        <v>864</v>
      </c>
      <c r="L64" s="323" t="s">
        <v>1682</v>
      </c>
      <c r="M64" s="323"/>
      <c r="N64" s="323" t="s">
        <v>1682</v>
      </c>
      <c r="O64" s="323"/>
      <c r="P64" s="323"/>
      <c r="Q64" s="323"/>
      <c r="R64" s="323"/>
      <c r="S64" s="327" t="s">
        <v>817</v>
      </c>
      <c r="T64" s="325" t="s">
        <v>820</v>
      </c>
      <c r="U64" s="325" t="s">
        <v>820</v>
      </c>
      <c r="V64" s="323"/>
      <c r="W64" s="323"/>
      <c r="X64" s="323" t="s">
        <v>863</v>
      </c>
      <c r="Y64" s="323"/>
      <c r="Z64" s="323" t="s">
        <v>1839</v>
      </c>
      <c r="AA64" s="323" t="s">
        <v>864</v>
      </c>
      <c r="AB64" s="323" t="s">
        <v>864</v>
      </c>
      <c r="AC64" s="321" t="s">
        <v>1593</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1840</v>
      </c>
      <c r="E65" s="316"/>
      <c r="F65" s="316"/>
      <c r="G65" s="316"/>
      <c r="H65" s="317" t="s">
        <v>1834</v>
      </c>
      <c r="I65" s="317" t="s">
        <v>1841</v>
      </c>
      <c r="J65" s="317" t="s">
        <v>1842</v>
      </c>
      <c r="K65" s="317"/>
      <c r="L65" s="317" t="s">
        <v>1843</v>
      </c>
      <c r="M65" s="317"/>
      <c r="N65" s="317" t="s">
        <v>1843</v>
      </c>
      <c r="O65" s="317"/>
      <c r="P65" s="317"/>
      <c r="Q65" s="317"/>
      <c r="R65" s="317"/>
      <c r="S65" s="344" t="s">
        <v>823</v>
      </c>
      <c r="T65" s="344" t="s">
        <v>823</v>
      </c>
      <c r="U65" s="344" t="s">
        <v>823</v>
      </c>
      <c r="V65" s="317"/>
      <c r="W65" s="317"/>
      <c r="X65" s="317" t="s">
        <v>863</v>
      </c>
      <c r="Y65" s="317"/>
      <c r="Z65" s="317" t="s">
        <v>1844</v>
      </c>
      <c r="AA65" s="317" t="s">
        <v>864</v>
      </c>
      <c r="AB65" s="317" t="s">
        <v>864</v>
      </c>
      <c r="AC65" s="332" t="s">
        <v>1593</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1845</v>
      </c>
      <c r="E66" s="339"/>
      <c r="F66" s="322"/>
      <c r="G66" s="322"/>
      <c r="H66" s="323" t="s">
        <v>1834</v>
      </c>
      <c r="I66" s="323" t="s">
        <v>1846</v>
      </c>
      <c r="J66" s="323" t="s">
        <v>1847</v>
      </c>
      <c r="K66" s="323"/>
      <c r="L66" s="323" t="s">
        <v>1653</v>
      </c>
      <c r="M66" s="323"/>
      <c r="N66" s="323" t="s">
        <v>1653</v>
      </c>
      <c r="O66" s="323"/>
      <c r="P66" s="323"/>
      <c r="Q66" s="323"/>
      <c r="R66" s="323"/>
      <c r="S66" s="333" t="s">
        <v>817</v>
      </c>
      <c r="T66" s="333" t="s">
        <v>817</v>
      </c>
      <c r="U66" s="333" t="s">
        <v>817</v>
      </c>
      <c r="V66" s="323"/>
      <c r="W66" s="323"/>
      <c r="X66" s="323" t="s">
        <v>863</v>
      </c>
      <c r="Y66" s="323"/>
      <c r="Z66" s="323"/>
      <c r="AA66" s="323" t="s">
        <v>864</v>
      </c>
      <c r="AB66" s="323" t="s">
        <v>864</v>
      </c>
      <c r="AC66" s="321" t="s">
        <v>1593</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1848</v>
      </c>
      <c r="E67" s="339"/>
      <c r="F67" s="322"/>
      <c r="G67" s="322"/>
      <c r="H67" s="317" t="s">
        <v>1834</v>
      </c>
      <c r="I67" s="317" t="s">
        <v>1849</v>
      </c>
      <c r="J67" s="338"/>
      <c r="K67" s="317"/>
      <c r="L67" s="317" t="s">
        <v>1850</v>
      </c>
      <c r="M67" s="317"/>
      <c r="N67" s="317" t="s">
        <v>1850</v>
      </c>
      <c r="O67" s="317"/>
      <c r="P67" s="317"/>
      <c r="Q67" s="317"/>
      <c r="R67" s="317"/>
      <c r="S67" s="333" t="s">
        <v>817</v>
      </c>
      <c r="T67" s="320" t="s">
        <v>820</v>
      </c>
      <c r="U67" s="320" t="s">
        <v>820</v>
      </c>
      <c r="V67" s="317"/>
      <c r="W67" s="317" t="s">
        <v>864</v>
      </c>
      <c r="X67" s="317" t="s">
        <v>1851</v>
      </c>
      <c r="Y67" s="317"/>
      <c r="Z67" s="317"/>
      <c r="AA67" s="317" t="s">
        <v>864</v>
      </c>
      <c r="AB67" s="317" t="s">
        <v>864</v>
      </c>
      <c r="AC67" s="321" t="s">
        <v>1593</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1852</v>
      </c>
      <c r="F68" s="322"/>
      <c r="G68" s="322"/>
      <c r="H68" s="323" t="s">
        <v>1853</v>
      </c>
      <c r="I68" s="323" t="s">
        <v>1854</v>
      </c>
      <c r="J68" s="323" t="s">
        <v>1038</v>
      </c>
      <c r="K68" s="323" t="s">
        <v>864</v>
      </c>
      <c r="L68" s="323" t="s">
        <v>1855</v>
      </c>
      <c r="M68" s="323"/>
      <c r="N68" s="323" t="s">
        <v>1855</v>
      </c>
      <c r="O68" s="323"/>
      <c r="P68" s="323"/>
      <c r="Q68" s="323"/>
      <c r="R68" s="323"/>
      <c r="S68" s="333" t="s">
        <v>817</v>
      </c>
      <c r="T68" s="335" t="s">
        <v>820</v>
      </c>
      <c r="U68" s="335" t="s">
        <v>820</v>
      </c>
      <c r="V68" s="323"/>
      <c r="W68" s="323"/>
      <c r="X68" s="323" t="s">
        <v>863</v>
      </c>
      <c r="Y68" s="323"/>
      <c r="Z68" s="323"/>
      <c r="AA68" s="323" t="s">
        <v>864</v>
      </c>
      <c r="AB68" s="323" t="s">
        <v>864</v>
      </c>
      <c r="AC68" s="321" t="s">
        <v>1593</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1856</v>
      </c>
      <c r="F69" s="342"/>
      <c r="G69" s="342"/>
      <c r="H69" s="317" t="s">
        <v>1857</v>
      </c>
      <c r="I69" s="317" t="s">
        <v>1858</v>
      </c>
      <c r="J69" s="317" t="s">
        <v>1046</v>
      </c>
      <c r="K69" s="317"/>
      <c r="L69" s="317" t="s">
        <v>1670</v>
      </c>
      <c r="M69" s="317"/>
      <c r="N69" s="317" t="s">
        <v>1670</v>
      </c>
      <c r="O69" s="317"/>
      <c r="P69" s="317"/>
      <c r="Q69" s="317"/>
      <c r="R69" s="317"/>
      <c r="S69" s="327" t="s">
        <v>817</v>
      </c>
      <c r="T69" s="327" t="s">
        <v>817</v>
      </c>
      <c r="U69" s="327" t="s">
        <v>817</v>
      </c>
      <c r="V69" s="317"/>
      <c r="W69" s="317"/>
      <c r="X69" s="317" t="s">
        <v>863</v>
      </c>
      <c r="Y69" s="317"/>
      <c r="Z69" s="317"/>
      <c r="AA69" s="317" t="s">
        <v>864</v>
      </c>
      <c r="AB69" s="317" t="s">
        <v>864</v>
      </c>
      <c r="AC69" s="321" t="s">
        <v>1593</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1083</v>
      </c>
      <c r="F70" s="322"/>
      <c r="G70" s="322"/>
      <c r="H70" s="323" t="s">
        <v>1859</v>
      </c>
      <c r="I70" s="323" t="s">
        <v>1860</v>
      </c>
      <c r="J70" s="323" t="s">
        <v>1861</v>
      </c>
      <c r="K70" s="323" t="s">
        <v>864</v>
      </c>
      <c r="L70" s="323" t="s">
        <v>1682</v>
      </c>
      <c r="M70" s="323"/>
      <c r="N70" s="323" t="s">
        <v>1682</v>
      </c>
      <c r="O70" s="323"/>
      <c r="P70" s="323"/>
      <c r="Q70" s="323"/>
      <c r="R70" s="323"/>
      <c r="S70" s="333" t="s">
        <v>817</v>
      </c>
      <c r="T70" s="333" t="s">
        <v>817</v>
      </c>
      <c r="U70" s="333" t="s">
        <v>817</v>
      </c>
      <c r="V70" s="323"/>
      <c r="W70" s="323"/>
      <c r="X70" s="323" t="s">
        <v>863</v>
      </c>
      <c r="Y70" s="323"/>
      <c r="Z70" s="323"/>
      <c r="AA70" s="323" t="s">
        <v>864</v>
      </c>
      <c r="AB70" s="323" t="s">
        <v>864</v>
      </c>
      <c r="AC70" s="332" t="s">
        <v>1593</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1862</v>
      </c>
      <c r="F71" s="340"/>
      <c r="G71" s="326"/>
      <c r="H71" s="317" t="s">
        <v>1626</v>
      </c>
      <c r="I71" s="317" t="s">
        <v>1863</v>
      </c>
      <c r="J71" s="317" t="s">
        <v>1864</v>
      </c>
      <c r="K71" s="317"/>
      <c r="L71" s="317" t="s">
        <v>1865</v>
      </c>
      <c r="M71" s="317"/>
      <c r="N71" s="317" t="s">
        <v>1865</v>
      </c>
      <c r="O71" s="317"/>
      <c r="P71" s="317"/>
      <c r="Q71" s="317"/>
      <c r="R71" s="317"/>
      <c r="S71" s="327" t="s">
        <v>817</v>
      </c>
      <c r="T71" s="327" t="s">
        <v>817</v>
      </c>
      <c r="U71" s="327" t="s">
        <v>817</v>
      </c>
      <c r="V71" s="317"/>
      <c r="W71" s="317"/>
      <c r="X71" s="317" t="s">
        <v>863</v>
      </c>
      <c r="Y71" s="317"/>
      <c r="Z71" s="317"/>
      <c r="AA71" s="317" t="s">
        <v>864</v>
      </c>
      <c r="AB71" s="317" t="s">
        <v>864</v>
      </c>
      <c r="AC71" s="321" t="s">
        <v>1593</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1178</v>
      </c>
      <c r="F72" s="322"/>
      <c r="G72" s="322"/>
      <c r="H72" s="323" t="s">
        <v>1626</v>
      </c>
      <c r="I72" s="323" t="s">
        <v>1866</v>
      </c>
      <c r="J72" s="323" t="s">
        <v>1180</v>
      </c>
      <c r="K72" s="323"/>
      <c r="L72" s="323" t="s">
        <v>1867</v>
      </c>
      <c r="M72" s="323"/>
      <c r="N72" s="323" t="s">
        <v>1867</v>
      </c>
      <c r="O72" s="323"/>
      <c r="P72" s="323"/>
      <c r="Q72" s="323"/>
      <c r="R72" s="323"/>
      <c r="S72" s="333" t="s">
        <v>817</v>
      </c>
      <c r="T72" s="333" t="s">
        <v>817</v>
      </c>
      <c r="U72" s="333" t="s">
        <v>817</v>
      </c>
      <c r="V72" s="323"/>
      <c r="W72" s="323"/>
      <c r="X72" s="323" t="s">
        <v>863</v>
      </c>
      <c r="Y72" s="323"/>
      <c r="Z72" s="323"/>
      <c r="AA72" s="323" t="s">
        <v>864</v>
      </c>
      <c r="AB72" s="323" t="s">
        <v>864</v>
      </c>
      <c r="AC72" s="321" t="s">
        <v>1593</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1148</v>
      </c>
      <c r="F73" s="326"/>
      <c r="G73" s="326"/>
      <c r="H73" s="317" t="s">
        <v>771</v>
      </c>
      <c r="I73" s="317"/>
      <c r="J73" s="338"/>
      <c r="K73" s="317"/>
      <c r="L73" s="317" t="s">
        <v>1868</v>
      </c>
      <c r="M73" s="317"/>
      <c r="N73" s="317" t="s">
        <v>1868</v>
      </c>
      <c r="O73" s="317"/>
      <c r="P73" s="317"/>
      <c r="Q73" s="317"/>
      <c r="R73" s="317"/>
      <c r="S73" s="344" t="s">
        <v>823</v>
      </c>
      <c r="T73" s="349" t="s">
        <v>1869</v>
      </c>
      <c r="U73" s="349" t="s">
        <v>1869</v>
      </c>
      <c r="V73" s="317"/>
      <c r="W73" s="317" t="s">
        <v>864</v>
      </c>
      <c r="X73" s="317" t="s">
        <v>1150</v>
      </c>
      <c r="Y73" s="317"/>
      <c r="Z73" s="317"/>
      <c r="AA73" s="317" t="s">
        <v>864</v>
      </c>
      <c r="AB73" s="317" t="s">
        <v>864</v>
      </c>
      <c r="AC73" s="321" t="s">
        <v>1593</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1870</v>
      </c>
      <c r="G74" s="322"/>
      <c r="H74" s="323" t="s">
        <v>1871</v>
      </c>
      <c r="I74" s="323" t="s">
        <v>1872</v>
      </c>
      <c r="J74" s="323" t="s">
        <v>1873</v>
      </c>
      <c r="K74" s="323" t="s">
        <v>864</v>
      </c>
      <c r="L74" s="323" t="s">
        <v>1874</v>
      </c>
      <c r="M74" s="323"/>
      <c r="N74" s="323" t="s">
        <v>1874</v>
      </c>
      <c r="O74" s="323"/>
      <c r="P74" s="323"/>
      <c r="Q74" s="323"/>
      <c r="R74" s="323"/>
      <c r="S74" s="325" t="s">
        <v>820</v>
      </c>
      <c r="T74" s="325" t="s">
        <v>820</v>
      </c>
      <c r="U74" s="325" t="s">
        <v>820</v>
      </c>
      <c r="V74" s="323"/>
      <c r="W74" s="323"/>
      <c r="X74" s="323" t="s">
        <v>1073</v>
      </c>
      <c r="Y74" s="323"/>
      <c r="Z74" s="323"/>
      <c r="AA74" s="323" t="s">
        <v>864</v>
      </c>
      <c r="AB74" s="323" t="s">
        <v>864</v>
      </c>
      <c r="AC74" s="321" t="s">
        <v>1593</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1157</v>
      </c>
      <c r="G75" s="326"/>
      <c r="H75" s="317" t="s">
        <v>1875</v>
      </c>
      <c r="I75" s="317" t="s">
        <v>1876</v>
      </c>
      <c r="J75" s="318" t="s">
        <v>1877</v>
      </c>
      <c r="K75" s="317" t="s">
        <v>864</v>
      </c>
      <c r="L75" s="317" t="s">
        <v>1878</v>
      </c>
      <c r="M75" s="317"/>
      <c r="N75" s="317" t="s">
        <v>1878</v>
      </c>
      <c r="O75" s="317"/>
      <c r="P75" s="317"/>
      <c r="Q75" s="317"/>
      <c r="R75" s="317"/>
      <c r="S75" s="320" t="s">
        <v>820</v>
      </c>
      <c r="T75" s="320" t="s">
        <v>820</v>
      </c>
      <c r="U75" s="320" t="s">
        <v>820</v>
      </c>
      <c r="V75" s="317"/>
      <c r="W75" s="317"/>
      <c r="X75" s="317" t="s">
        <v>1073</v>
      </c>
      <c r="Y75" s="317"/>
      <c r="Z75" s="317"/>
      <c r="AA75" s="317" t="s">
        <v>864</v>
      </c>
      <c r="AB75" s="317" t="s">
        <v>864</v>
      </c>
      <c r="AC75" s="332" t="s">
        <v>1593</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1879</v>
      </c>
      <c r="G76" s="322"/>
      <c r="H76" s="323" t="s">
        <v>1880</v>
      </c>
      <c r="I76" s="323" t="s">
        <v>1881</v>
      </c>
      <c r="J76" s="323">
        <v>1</v>
      </c>
      <c r="K76" s="323" t="s">
        <v>864</v>
      </c>
      <c r="L76" s="323" t="s">
        <v>1882</v>
      </c>
      <c r="M76" s="323"/>
      <c r="N76" s="323" t="s">
        <v>1882</v>
      </c>
      <c r="O76" s="323"/>
      <c r="P76" s="323"/>
      <c r="Q76" s="323"/>
      <c r="R76" s="323"/>
      <c r="S76" s="333" t="s">
        <v>817</v>
      </c>
      <c r="T76" s="333" t="s">
        <v>817</v>
      </c>
      <c r="U76" s="333" t="s">
        <v>817</v>
      </c>
      <c r="V76" s="323"/>
      <c r="W76" s="323"/>
      <c r="X76" s="323" t="s">
        <v>1073</v>
      </c>
      <c r="Y76" s="323"/>
      <c r="Z76" s="323"/>
      <c r="AA76" s="323" t="s">
        <v>864</v>
      </c>
      <c r="AB76" s="323" t="s">
        <v>864</v>
      </c>
      <c r="AC76" s="321" t="s">
        <v>1593</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1401</v>
      </c>
      <c r="F77" s="326"/>
      <c r="G77" s="326"/>
      <c r="H77" s="317" t="s">
        <v>1883</v>
      </c>
      <c r="I77" s="317" t="s">
        <v>1884</v>
      </c>
      <c r="J77" s="317" t="s">
        <v>1885</v>
      </c>
      <c r="K77" s="317" t="s">
        <v>864</v>
      </c>
      <c r="L77" s="317" t="s">
        <v>1175</v>
      </c>
      <c r="M77" s="317"/>
      <c r="N77" s="317" t="s">
        <v>1175</v>
      </c>
      <c r="O77" s="317"/>
      <c r="P77" s="317"/>
      <c r="Q77" s="317"/>
      <c r="R77" s="317"/>
      <c r="S77" s="344" t="s">
        <v>823</v>
      </c>
      <c r="T77" s="344" t="s">
        <v>823</v>
      </c>
      <c r="U77" s="344" t="s">
        <v>823</v>
      </c>
      <c r="V77" s="317"/>
      <c r="W77" s="317"/>
      <c r="X77" s="317" t="s">
        <v>863</v>
      </c>
      <c r="Y77" s="317"/>
      <c r="Z77" s="317"/>
      <c r="AA77" s="317" t="s">
        <v>864</v>
      </c>
      <c r="AB77" s="317" t="s">
        <v>864</v>
      </c>
      <c r="AC77" s="321" t="s">
        <v>1593</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1886</v>
      </c>
      <c r="D78" s="322"/>
      <c r="E78" s="322"/>
      <c r="F78" s="322"/>
      <c r="G78" s="322"/>
      <c r="H78" s="323" t="s">
        <v>1626</v>
      </c>
      <c r="I78" s="323" t="s">
        <v>1887</v>
      </c>
      <c r="J78" s="323" t="s">
        <v>1888</v>
      </c>
      <c r="K78" s="323"/>
      <c r="L78" s="323" t="s">
        <v>1889</v>
      </c>
      <c r="M78" s="323"/>
      <c r="N78" s="323" t="s">
        <v>1889</v>
      </c>
      <c r="O78" s="323"/>
      <c r="P78" s="323"/>
      <c r="Q78" s="323"/>
      <c r="R78" s="323"/>
      <c r="S78" s="333" t="s">
        <v>817</v>
      </c>
      <c r="T78" s="334" t="s">
        <v>817</v>
      </c>
      <c r="U78" s="334" t="s">
        <v>817</v>
      </c>
      <c r="V78" s="323"/>
      <c r="W78" s="323"/>
      <c r="X78" s="323" t="s">
        <v>863</v>
      </c>
      <c r="Y78" s="323"/>
      <c r="Z78" s="323" t="s">
        <v>1890</v>
      </c>
      <c r="AA78" s="323" t="s">
        <v>864</v>
      </c>
      <c r="AB78" s="323" t="s">
        <v>864</v>
      </c>
      <c r="AC78" s="321" t="s">
        <v>1593</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1649</v>
      </c>
      <c r="D79" s="326"/>
      <c r="E79" s="326"/>
      <c r="F79" s="326"/>
      <c r="G79" s="326"/>
      <c r="H79" s="317" t="s">
        <v>1626</v>
      </c>
      <c r="I79" s="317" t="s">
        <v>1891</v>
      </c>
      <c r="J79" s="317" t="s">
        <v>1892</v>
      </c>
      <c r="K79" s="317" t="s">
        <v>864</v>
      </c>
      <c r="L79" s="317" t="s">
        <v>1653</v>
      </c>
      <c r="M79" s="317"/>
      <c r="N79" s="317" t="s">
        <v>1653</v>
      </c>
      <c r="O79" s="317"/>
      <c r="P79" s="317"/>
      <c r="Q79" s="317"/>
      <c r="R79" s="317"/>
      <c r="S79" s="327" t="s">
        <v>817</v>
      </c>
      <c r="T79" s="327" t="s">
        <v>817</v>
      </c>
      <c r="U79" s="327" t="s">
        <v>817</v>
      </c>
      <c r="V79" s="317"/>
      <c r="W79" s="317"/>
      <c r="X79" s="317" t="s">
        <v>863</v>
      </c>
      <c r="Y79" s="317"/>
      <c r="Z79" s="317"/>
      <c r="AA79" s="317" t="s">
        <v>864</v>
      </c>
      <c r="AB79" s="317" t="s">
        <v>864</v>
      </c>
      <c r="AC79" s="321" t="s">
        <v>1593</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1893</v>
      </c>
      <c r="C80" s="322"/>
      <c r="D80" s="322"/>
      <c r="E80" s="322"/>
      <c r="F80" s="322"/>
      <c r="G80" s="322"/>
      <c r="H80" s="323" t="s">
        <v>1894</v>
      </c>
      <c r="I80" s="323" t="s">
        <v>1895</v>
      </c>
      <c r="J80" s="330"/>
      <c r="K80" s="323"/>
      <c r="L80" s="323" t="s">
        <v>1896</v>
      </c>
      <c r="M80" s="323"/>
      <c r="N80" s="323" t="s">
        <v>1896</v>
      </c>
      <c r="O80" s="323"/>
      <c r="P80" s="323"/>
      <c r="Q80" s="323"/>
      <c r="R80" s="323"/>
      <c r="S80" s="331" t="s">
        <v>823</v>
      </c>
      <c r="T80" s="331" t="s">
        <v>823</v>
      </c>
      <c r="U80" s="331" t="s">
        <v>823</v>
      </c>
      <c r="V80" s="323"/>
      <c r="W80" s="323" t="s">
        <v>864</v>
      </c>
      <c r="X80" s="323" t="s">
        <v>1897</v>
      </c>
      <c r="Y80" s="323"/>
      <c r="Z80" s="323"/>
      <c r="AA80" s="323" t="s">
        <v>864</v>
      </c>
      <c r="AB80" s="323" t="s">
        <v>864</v>
      </c>
      <c r="AC80" s="332" t="s">
        <v>1593</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1083</v>
      </c>
      <c r="D81" s="326"/>
      <c r="E81" s="326"/>
      <c r="F81" s="326"/>
      <c r="G81" s="326"/>
      <c r="H81" s="317" t="s">
        <v>1898</v>
      </c>
      <c r="I81" s="317" t="s">
        <v>1899</v>
      </c>
      <c r="J81" s="317" t="s">
        <v>1900</v>
      </c>
      <c r="K81" s="317" t="s">
        <v>864</v>
      </c>
      <c r="L81" s="317" t="s">
        <v>1682</v>
      </c>
      <c r="M81" s="317"/>
      <c r="N81" s="317" t="s">
        <v>1682</v>
      </c>
      <c r="O81" s="317"/>
      <c r="P81" s="317"/>
      <c r="Q81" s="317"/>
      <c r="R81" s="317"/>
      <c r="S81" s="320" t="s">
        <v>820</v>
      </c>
      <c r="T81" s="320" t="s">
        <v>820</v>
      </c>
      <c r="U81" s="320" t="s">
        <v>820</v>
      </c>
      <c r="V81" s="317"/>
      <c r="W81" s="317"/>
      <c r="X81" s="317" t="s">
        <v>863</v>
      </c>
      <c r="Y81" s="317"/>
      <c r="Z81" s="317" t="s">
        <v>1901</v>
      </c>
      <c r="AA81" s="317" t="s">
        <v>864</v>
      </c>
      <c r="AB81" s="317" t="s">
        <v>864</v>
      </c>
      <c r="AC81" s="321" t="s">
        <v>1593</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1649</v>
      </c>
      <c r="D82" s="322"/>
      <c r="E82" s="322"/>
      <c r="F82" s="322"/>
      <c r="G82" s="322"/>
      <c r="H82" s="323" t="s">
        <v>1902</v>
      </c>
      <c r="I82" s="323" t="s">
        <v>1903</v>
      </c>
      <c r="J82" s="323" t="s">
        <v>1904</v>
      </c>
      <c r="K82" s="323" t="s">
        <v>864</v>
      </c>
      <c r="L82" s="323" t="s">
        <v>1653</v>
      </c>
      <c r="M82" s="323"/>
      <c r="N82" s="323" t="s">
        <v>1653</v>
      </c>
      <c r="O82" s="323"/>
      <c r="P82" s="323"/>
      <c r="Q82" s="323"/>
      <c r="R82" s="323"/>
      <c r="S82" s="333" t="s">
        <v>817</v>
      </c>
      <c r="T82" s="333" t="s">
        <v>817</v>
      </c>
      <c r="U82" s="333" t="s">
        <v>817</v>
      </c>
      <c r="V82" s="323"/>
      <c r="W82" s="323"/>
      <c r="X82" s="323" t="s">
        <v>863</v>
      </c>
      <c r="Y82" s="323"/>
      <c r="Z82" s="323"/>
      <c r="AA82" s="323" t="s">
        <v>864</v>
      </c>
      <c r="AB82" s="323" t="s">
        <v>864</v>
      </c>
      <c r="AC82" s="321" t="s">
        <v>1593</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1905</v>
      </c>
      <c r="D83" s="326"/>
      <c r="E83" s="326"/>
      <c r="F83" s="326"/>
      <c r="G83" s="326"/>
      <c r="H83" s="317" t="s">
        <v>1906</v>
      </c>
      <c r="I83" s="317" t="s">
        <v>1907</v>
      </c>
      <c r="J83" s="317" t="s">
        <v>1908</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1593</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1909</v>
      </c>
      <c r="D84" s="339"/>
      <c r="E84" s="322"/>
      <c r="F84" s="322"/>
      <c r="G84" s="322"/>
      <c r="H84" s="323" t="s">
        <v>1910</v>
      </c>
      <c r="I84" s="323" t="s">
        <v>1911</v>
      </c>
      <c r="J84" s="323" t="s">
        <v>1912</v>
      </c>
      <c r="K84" s="323" t="s">
        <v>864</v>
      </c>
      <c r="L84" s="323" t="s">
        <v>1661</v>
      </c>
      <c r="M84" s="323"/>
      <c r="N84" s="323" t="s">
        <v>1661</v>
      </c>
      <c r="O84" s="323"/>
      <c r="P84" s="323"/>
      <c r="Q84" s="323"/>
      <c r="R84" s="323"/>
      <c r="S84" s="333" t="s">
        <v>817</v>
      </c>
      <c r="T84" s="333" t="s">
        <v>817</v>
      </c>
      <c r="U84" s="333" t="s">
        <v>817</v>
      </c>
      <c r="V84" s="323"/>
      <c r="W84" s="323"/>
      <c r="X84" s="323" t="s">
        <v>863</v>
      </c>
      <c r="Y84" s="323"/>
      <c r="Z84" s="323"/>
      <c r="AA84" s="323" t="s">
        <v>864</v>
      </c>
      <c r="AB84" s="323" t="s">
        <v>864</v>
      </c>
      <c r="AC84" s="321" t="s">
        <v>1593</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1913</v>
      </c>
      <c r="D85" s="326"/>
      <c r="E85" s="326"/>
      <c r="F85" s="326"/>
      <c r="G85" s="326"/>
      <c r="H85" s="317" t="s">
        <v>1914</v>
      </c>
      <c r="I85" s="317" t="s">
        <v>1915</v>
      </c>
      <c r="J85" s="317" t="s">
        <v>1916</v>
      </c>
      <c r="K85" s="317" t="s">
        <v>864</v>
      </c>
      <c r="L85" s="317" t="s">
        <v>1670</v>
      </c>
      <c r="M85" s="317"/>
      <c r="N85" s="317" t="s">
        <v>1670</v>
      </c>
      <c r="O85" s="317"/>
      <c r="P85" s="317"/>
      <c r="Q85" s="317"/>
      <c r="R85" s="317"/>
      <c r="S85" s="327" t="s">
        <v>817</v>
      </c>
      <c r="T85" s="328" t="s">
        <v>820</v>
      </c>
      <c r="U85" s="329" t="s">
        <v>817</v>
      </c>
      <c r="V85" s="317" t="s">
        <v>864</v>
      </c>
      <c r="W85" s="317"/>
      <c r="X85" s="317" t="s">
        <v>863</v>
      </c>
      <c r="Y85" s="317"/>
      <c r="Z85" s="317"/>
      <c r="AA85" s="317" t="s">
        <v>864</v>
      </c>
      <c r="AB85" s="317" t="s">
        <v>864</v>
      </c>
      <c r="AC85" s="332" t="s">
        <v>1593</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1917</v>
      </c>
      <c r="D86" s="322"/>
      <c r="E86" s="322"/>
      <c r="F86" s="322"/>
      <c r="G86" s="322"/>
      <c r="H86" s="323" t="s">
        <v>1918</v>
      </c>
      <c r="I86" s="323" t="s">
        <v>1919</v>
      </c>
      <c r="J86" s="323" t="s">
        <v>1763</v>
      </c>
      <c r="K86" s="323" t="s">
        <v>864</v>
      </c>
      <c r="L86" s="323" t="s">
        <v>1764</v>
      </c>
      <c r="M86" s="323"/>
      <c r="N86" s="323" t="s">
        <v>1764</v>
      </c>
      <c r="O86" s="323"/>
      <c r="P86" s="323"/>
      <c r="Q86" s="323"/>
      <c r="R86" s="323"/>
      <c r="S86" s="333" t="s">
        <v>817</v>
      </c>
      <c r="T86" s="333" t="s">
        <v>817</v>
      </c>
      <c r="U86" s="333" t="s">
        <v>817</v>
      </c>
      <c r="V86" s="323"/>
      <c r="W86" s="323"/>
      <c r="X86" s="323" t="s">
        <v>863</v>
      </c>
      <c r="Y86" s="323"/>
      <c r="Z86" s="323" t="s">
        <v>1920</v>
      </c>
      <c r="AA86" s="323" t="s">
        <v>864</v>
      </c>
      <c r="AB86" s="323" t="s">
        <v>864</v>
      </c>
      <c r="AC86" s="321" t="s">
        <v>1593</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1921</v>
      </c>
      <c r="D87" s="326"/>
      <c r="E87" s="326"/>
      <c r="F87" s="326"/>
      <c r="G87" s="326"/>
      <c r="H87" s="318" t="s">
        <v>1922</v>
      </c>
      <c r="I87" s="317" t="s">
        <v>1923</v>
      </c>
      <c r="J87" s="317" t="s">
        <v>1924</v>
      </c>
      <c r="K87" s="317" t="s">
        <v>864</v>
      </c>
      <c r="L87" s="317" t="s">
        <v>1925</v>
      </c>
      <c r="M87" s="317"/>
      <c r="N87" s="317" t="s">
        <v>1925</v>
      </c>
      <c r="O87" s="317"/>
      <c r="P87" s="317"/>
      <c r="Q87" s="317"/>
      <c r="R87" s="317"/>
      <c r="S87" s="327" t="s">
        <v>817</v>
      </c>
      <c r="T87" s="328" t="s">
        <v>820</v>
      </c>
      <c r="U87" s="329" t="s">
        <v>817</v>
      </c>
      <c r="V87" s="317" t="s">
        <v>864</v>
      </c>
      <c r="W87" s="317"/>
      <c r="X87" s="317" t="s">
        <v>879</v>
      </c>
      <c r="Y87" s="317"/>
      <c r="Z87" s="317"/>
      <c r="AA87" s="317" t="s">
        <v>864</v>
      </c>
      <c r="AB87" s="317" t="s">
        <v>864</v>
      </c>
      <c r="AC87" s="321" t="s">
        <v>1593</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1926</v>
      </c>
      <c r="D88" s="322"/>
      <c r="E88" s="322"/>
      <c r="F88" s="322"/>
      <c r="G88" s="322"/>
      <c r="H88" s="323" t="s">
        <v>1927</v>
      </c>
      <c r="I88" s="323" t="s">
        <v>1928</v>
      </c>
      <c r="J88" s="323" t="s">
        <v>1929</v>
      </c>
      <c r="K88" s="323" t="s">
        <v>864</v>
      </c>
      <c r="L88" s="323" t="s">
        <v>1930</v>
      </c>
      <c r="M88" s="323"/>
      <c r="N88" s="323" t="s">
        <v>1930</v>
      </c>
      <c r="O88" s="323"/>
      <c r="P88" s="323"/>
      <c r="Q88" s="323"/>
      <c r="R88" s="323"/>
      <c r="S88" s="333" t="s">
        <v>817</v>
      </c>
      <c r="T88" s="334" t="s">
        <v>817</v>
      </c>
      <c r="U88" s="334" t="s">
        <v>817</v>
      </c>
      <c r="V88" s="323"/>
      <c r="W88" s="323"/>
      <c r="X88" s="323" t="s">
        <v>879</v>
      </c>
      <c r="Y88" s="323"/>
      <c r="Z88" s="323"/>
      <c r="AA88" s="323" t="s">
        <v>864</v>
      </c>
      <c r="AB88" s="323" t="s">
        <v>864</v>
      </c>
      <c r="AC88" s="321" t="s">
        <v>1593</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1931</v>
      </c>
      <c r="D89" s="326"/>
      <c r="E89" s="326"/>
      <c r="F89" s="326"/>
      <c r="G89" s="326"/>
      <c r="H89" s="317" t="s">
        <v>1932</v>
      </c>
      <c r="I89" s="317" t="s">
        <v>1933</v>
      </c>
      <c r="J89" s="317" t="s">
        <v>1934</v>
      </c>
      <c r="K89" s="317" t="s">
        <v>864</v>
      </c>
      <c r="L89" s="317" t="s">
        <v>1935</v>
      </c>
      <c r="M89" s="317"/>
      <c r="N89" s="317" t="s">
        <v>1935</v>
      </c>
      <c r="O89" s="317"/>
      <c r="P89" s="317"/>
      <c r="Q89" s="317"/>
      <c r="R89" s="317"/>
      <c r="S89" s="331" t="s">
        <v>823</v>
      </c>
      <c r="T89" s="331" t="s">
        <v>823</v>
      </c>
      <c r="U89" s="331" t="s">
        <v>823</v>
      </c>
      <c r="V89" s="317"/>
      <c r="W89" s="317"/>
      <c r="X89" s="317" t="s">
        <v>863</v>
      </c>
      <c r="Y89" s="317"/>
      <c r="Z89" s="317"/>
      <c r="AA89" s="317" t="s">
        <v>864</v>
      </c>
      <c r="AB89" s="317" t="s">
        <v>864</v>
      </c>
      <c r="AC89" s="321" t="s">
        <v>1593</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1936</v>
      </c>
      <c r="D90" s="336"/>
      <c r="E90" s="336"/>
      <c r="F90" s="336"/>
      <c r="G90" s="336"/>
      <c r="H90" s="323" t="s">
        <v>1937</v>
      </c>
      <c r="I90" s="323" t="s">
        <v>1938</v>
      </c>
      <c r="J90" s="323"/>
      <c r="K90" s="323" t="s">
        <v>864</v>
      </c>
      <c r="L90" s="323" t="s">
        <v>1939</v>
      </c>
      <c r="M90" s="323"/>
      <c r="N90" s="323" t="s">
        <v>1939</v>
      </c>
      <c r="O90" s="323"/>
      <c r="P90" s="323"/>
      <c r="Q90" s="323"/>
      <c r="R90" s="323"/>
      <c r="S90" s="331" t="s">
        <v>823</v>
      </c>
      <c r="T90" s="331" t="s">
        <v>823</v>
      </c>
      <c r="U90" s="331" t="s">
        <v>823</v>
      </c>
      <c r="V90" s="323"/>
      <c r="W90" s="323"/>
      <c r="X90" s="323" t="s">
        <v>863</v>
      </c>
      <c r="Y90" s="323"/>
      <c r="Z90" s="323"/>
      <c r="AA90" s="323" t="s">
        <v>864</v>
      </c>
      <c r="AB90" s="323" t="s">
        <v>864</v>
      </c>
      <c r="AC90" s="332" t="s">
        <v>1593</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1940</v>
      </c>
      <c r="D91" s="316"/>
      <c r="E91" s="316"/>
      <c r="F91" s="316"/>
      <c r="G91" s="316"/>
      <c r="H91" s="317" t="s">
        <v>1941</v>
      </c>
      <c r="I91" s="317" t="s">
        <v>1942</v>
      </c>
      <c r="J91" s="317"/>
      <c r="K91" s="317" t="s">
        <v>864</v>
      </c>
      <c r="L91" s="317" t="s">
        <v>1943</v>
      </c>
      <c r="M91" s="317"/>
      <c r="N91" s="317" t="s">
        <v>1943</v>
      </c>
      <c r="O91" s="317"/>
      <c r="P91" s="317"/>
      <c r="Q91" s="317"/>
      <c r="R91" s="317"/>
      <c r="S91" s="344" t="s">
        <v>823</v>
      </c>
      <c r="T91" s="344" t="s">
        <v>823</v>
      </c>
      <c r="U91" s="344" t="s">
        <v>823</v>
      </c>
      <c r="V91" s="317"/>
      <c r="W91" s="317"/>
      <c r="X91" s="317" t="s">
        <v>863</v>
      </c>
      <c r="Y91" s="317"/>
      <c r="Z91" s="317"/>
      <c r="AA91" s="317" t="s">
        <v>864</v>
      </c>
      <c r="AB91" s="317" t="s">
        <v>864</v>
      </c>
      <c r="AC91" s="321" t="s">
        <v>1593</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1944</v>
      </c>
      <c r="D92" s="336"/>
      <c r="E92" s="336"/>
      <c r="F92" s="336"/>
      <c r="G92" s="336"/>
      <c r="H92" s="324" t="s">
        <v>1945</v>
      </c>
      <c r="I92" s="323" t="s">
        <v>1946</v>
      </c>
      <c r="J92" s="323" t="s">
        <v>1947</v>
      </c>
      <c r="K92" s="323" t="s">
        <v>864</v>
      </c>
      <c r="L92" s="323" t="s">
        <v>1948</v>
      </c>
      <c r="M92" s="323"/>
      <c r="N92" s="323" t="s">
        <v>1948</v>
      </c>
      <c r="O92" s="323"/>
      <c r="P92" s="323"/>
      <c r="Q92" s="323"/>
      <c r="R92" s="323"/>
      <c r="S92" s="333" t="s">
        <v>817</v>
      </c>
      <c r="T92" s="333" t="s">
        <v>817</v>
      </c>
      <c r="U92" s="333" t="s">
        <v>817</v>
      </c>
      <c r="V92" s="323"/>
      <c r="W92" s="323"/>
      <c r="X92" s="323" t="s">
        <v>863</v>
      </c>
      <c r="Y92" s="323"/>
      <c r="Z92" s="323"/>
      <c r="AA92" s="323" t="s">
        <v>864</v>
      </c>
      <c r="AB92" s="323" t="s">
        <v>864</v>
      </c>
      <c r="AC92" s="321" t="s">
        <v>1593</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1949</v>
      </c>
      <c r="D93" s="326" t="s">
        <v>1950</v>
      </c>
      <c r="E93" s="326"/>
      <c r="F93" s="326"/>
      <c r="G93" s="326"/>
      <c r="H93" s="317" t="s">
        <v>1951</v>
      </c>
      <c r="I93" s="317" t="s">
        <v>1849</v>
      </c>
      <c r="J93" s="338"/>
      <c r="K93" s="317" t="s">
        <v>864</v>
      </c>
      <c r="L93" s="317" t="s">
        <v>1850</v>
      </c>
      <c r="M93" s="317"/>
      <c r="N93" s="317" t="s">
        <v>1850</v>
      </c>
      <c r="O93" s="317"/>
      <c r="P93" s="317"/>
      <c r="Q93" s="317"/>
      <c r="R93" s="317"/>
      <c r="S93" s="327" t="s">
        <v>817</v>
      </c>
      <c r="T93" s="329" t="s">
        <v>817</v>
      </c>
      <c r="U93" s="329" t="s">
        <v>817</v>
      </c>
      <c r="V93" s="317"/>
      <c r="W93" s="317" t="s">
        <v>864</v>
      </c>
      <c r="X93" s="317" t="s">
        <v>1851</v>
      </c>
      <c r="Y93" s="317"/>
      <c r="Z93" s="317"/>
      <c r="AA93" s="317" t="s">
        <v>864</v>
      </c>
      <c r="AB93" s="317" t="s">
        <v>864</v>
      </c>
      <c r="AC93" s="321" t="s">
        <v>1593</v>
      </c>
      <c r="AD93" s="317"/>
      <c r="AE93" s="317" t="s">
        <v>1952</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1953</v>
      </c>
      <c r="D94" s="322"/>
      <c r="E94" s="322"/>
      <c r="F94" s="322"/>
      <c r="G94" s="322"/>
      <c r="H94" s="323" t="s">
        <v>1954</v>
      </c>
      <c r="I94" s="323" t="s">
        <v>1955</v>
      </c>
      <c r="J94" s="323">
        <v>5</v>
      </c>
      <c r="K94" s="323" t="s">
        <v>864</v>
      </c>
      <c r="L94" s="323" t="s">
        <v>1956</v>
      </c>
      <c r="M94" s="323"/>
      <c r="N94" s="323" t="s">
        <v>1956</v>
      </c>
      <c r="O94" s="323"/>
      <c r="P94" s="323"/>
      <c r="Q94" s="323"/>
      <c r="R94" s="323"/>
      <c r="S94" s="333" t="s">
        <v>817</v>
      </c>
      <c r="T94" s="333" t="s">
        <v>817</v>
      </c>
      <c r="U94" s="333" t="s">
        <v>817</v>
      </c>
      <c r="V94" s="323"/>
      <c r="W94" s="323"/>
      <c r="X94" s="323" t="s">
        <v>863</v>
      </c>
      <c r="Y94" s="323"/>
      <c r="Z94" s="323" t="s">
        <v>1957</v>
      </c>
      <c r="AA94" s="323" t="s">
        <v>864</v>
      </c>
      <c r="AB94" s="323" t="s">
        <v>864</v>
      </c>
      <c r="AC94" s="321" t="s">
        <v>1593</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1958</v>
      </c>
      <c r="C95" s="343"/>
      <c r="D95" s="343"/>
      <c r="E95" s="343"/>
      <c r="F95" s="343"/>
      <c r="G95" s="343"/>
      <c r="H95" s="317" t="s">
        <v>1959</v>
      </c>
      <c r="I95" s="317" t="s">
        <v>1960</v>
      </c>
      <c r="J95" s="338"/>
      <c r="K95" s="317"/>
      <c r="L95" s="317" t="s">
        <v>1961</v>
      </c>
      <c r="M95" s="317"/>
      <c r="N95" s="317" t="s">
        <v>1961</v>
      </c>
      <c r="O95" s="317"/>
      <c r="P95" s="317"/>
      <c r="Q95" s="317"/>
      <c r="R95" s="317"/>
      <c r="S95" s="344" t="s">
        <v>823</v>
      </c>
      <c r="T95" s="317"/>
      <c r="U95" s="350" t="s">
        <v>823</v>
      </c>
      <c r="V95" s="317"/>
      <c r="W95" s="317" t="s">
        <v>864</v>
      </c>
      <c r="X95" s="317" t="s">
        <v>1347</v>
      </c>
      <c r="Y95" s="317"/>
      <c r="Z95" s="317"/>
      <c r="AA95" s="317" t="s">
        <v>864</v>
      </c>
      <c r="AB95" s="317" t="s">
        <v>864</v>
      </c>
      <c r="AC95" s="332" t="s">
        <v>1593</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1962</v>
      </c>
      <c r="D96" s="351"/>
      <c r="E96" s="351"/>
      <c r="F96" s="351"/>
      <c r="G96" s="351"/>
      <c r="H96" s="323" t="s">
        <v>1963</v>
      </c>
      <c r="I96" s="323" t="s">
        <v>1964</v>
      </c>
      <c r="J96" s="330"/>
      <c r="K96" s="323" t="s">
        <v>864</v>
      </c>
      <c r="L96" s="323" t="s">
        <v>1965</v>
      </c>
      <c r="M96" s="323"/>
      <c r="N96" s="323" t="s">
        <v>1965</v>
      </c>
      <c r="O96" s="323"/>
      <c r="P96" s="323"/>
      <c r="Q96" s="323"/>
      <c r="R96" s="323"/>
      <c r="S96" s="325" t="s">
        <v>820</v>
      </c>
      <c r="T96" s="323"/>
      <c r="U96" s="352" t="s">
        <v>820</v>
      </c>
      <c r="V96" s="323"/>
      <c r="W96" s="323" t="s">
        <v>864</v>
      </c>
      <c r="X96" s="323" t="s">
        <v>1966</v>
      </c>
      <c r="Y96" s="323"/>
      <c r="Z96" s="323"/>
      <c r="AA96" s="323" t="s">
        <v>864</v>
      </c>
      <c r="AB96" s="323" t="s">
        <v>864</v>
      </c>
      <c r="AC96" s="321" t="s">
        <v>1593</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1967</v>
      </c>
      <c r="E97" s="354"/>
      <c r="F97" s="353"/>
      <c r="G97" s="353"/>
      <c r="H97" s="317" t="s">
        <v>1968</v>
      </c>
      <c r="I97" s="317" t="s">
        <v>1969</v>
      </c>
      <c r="J97" s="317" t="s">
        <v>1970</v>
      </c>
      <c r="K97" s="317"/>
      <c r="L97" s="317" t="s">
        <v>1971</v>
      </c>
      <c r="M97" s="317"/>
      <c r="N97" s="317" t="s">
        <v>1971</v>
      </c>
      <c r="O97" s="317"/>
      <c r="P97" s="317"/>
      <c r="Q97" s="317"/>
      <c r="R97" s="317"/>
      <c r="S97" s="317" t="s">
        <v>893</v>
      </c>
      <c r="T97" s="317"/>
      <c r="U97" s="355" t="s">
        <v>893</v>
      </c>
      <c r="V97" s="317"/>
      <c r="W97" s="317"/>
      <c r="X97" s="317" t="s">
        <v>863</v>
      </c>
      <c r="Y97" s="317"/>
      <c r="Z97" s="317" t="s">
        <v>1972</v>
      </c>
      <c r="AA97" s="317" t="s">
        <v>864</v>
      </c>
      <c r="AB97" s="317" t="s">
        <v>864</v>
      </c>
      <c r="AC97" s="321" t="s">
        <v>1593</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1973</v>
      </c>
      <c r="E98" s="131"/>
      <c r="F98" s="345"/>
      <c r="G98" s="345"/>
      <c r="H98" s="323" t="s">
        <v>1974</v>
      </c>
      <c r="I98" s="323" t="s">
        <v>1975</v>
      </c>
      <c r="J98" s="323"/>
      <c r="K98" s="323"/>
      <c r="L98" s="323" t="s">
        <v>1976</v>
      </c>
      <c r="M98" s="323"/>
      <c r="N98" s="323" t="s">
        <v>1976</v>
      </c>
      <c r="O98" s="323"/>
      <c r="P98" s="323"/>
      <c r="Q98" s="323"/>
      <c r="R98" s="323"/>
      <c r="S98" s="331" t="s">
        <v>823</v>
      </c>
      <c r="T98" s="341"/>
      <c r="U98" s="356" t="s">
        <v>823</v>
      </c>
      <c r="V98" s="323"/>
      <c r="W98" s="323"/>
      <c r="X98" s="323" t="s">
        <v>863</v>
      </c>
      <c r="Y98" s="323"/>
      <c r="Z98" s="323" t="s">
        <v>1977</v>
      </c>
      <c r="AA98" s="323" t="s">
        <v>864</v>
      </c>
      <c r="AB98" s="323" t="s">
        <v>864</v>
      </c>
      <c r="AC98" s="321" t="s">
        <v>1593</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1978</v>
      </c>
      <c r="E99" s="346"/>
      <c r="F99" s="342"/>
      <c r="G99" s="342"/>
      <c r="H99" s="317" t="s">
        <v>1979</v>
      </c>
      <c r="I99" s="317" t="s">
        <v>1980</v>
      </c>
      <c r="J99" s="317"/>
      <c r="K99" s="317"/>
      <c r="L99" s="317" t="s">
        <v>1981</v>
      </c>
      <c r="M99" s="317"/>
      <c r="N99" s="317" t="s">
        <v>1981</v>
      </c>
      <c r="O99" s="317"/>
      <c r="P99" s="317"/>
      <c r="Q99" s="317"/>
      <c r="R99" s="317"/>
      <c r="S99" s="344" t="s">
        <v>823</v>
      </c>
      <c r="T99" s="317"/>
      <c r="U99" s="350" t="s">
        <v>823</v>
      </c>
      <c r="V99" s="317"/>
      <c r="W99" s="317"/>
      <c r="X99" s="317" t="s">
        <v>863</v>
      </c>
      <c r="Y99" s="317"/>
      <c r="Z99" s="317"/>
      <c r="AA99" s="317" t="s">
        <v>864</v>
      </c>
      <c r="AB99" s="317" t="s">
        <v>864</v>
      </c>
      <c r="AC99" s="321" t="s">
        <v>1593</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1982</v>
      </c>
      <c r="D100" s="351"/>
      <c r="E100" s="351"/>
      <c r="F100" s="351"/>
      <c r="G100" s="351"/>
      <c r="H100" s="323" t="s">
        <v>1983</v>
      </c>
      <c r="I100" s="323" t="s">
        <v>1984</v>
      </c>
      <c r="J100" s="323" t="s">
        <v>1934</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1985</v>
      </c>
      <c r="AA100" s="323" t="s">
        <v>864</v>
      </c>
      <c r="AB100" s="323" t="s">
        <v>864</v>
      </c>
      <c r="AC100" s="332" t="s">
        <v>1593</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1909</v>
      </c>
      <c r="D101" s="354"/>
      <c r="E101" s="353"/>
      <c r="F101" s="353"/>
      <c r="G101" s="353"/>
      <c r="H101" s="317" t="s">
        <v>1986</v>
      </c>
      <c r="I101" s="317" t="s">
        <v>1987</v>
      </c>
      <c r="J101" s="317" t="s">
        <v>1912</v>
      </c>
      <c r="K101" s="317" t="s">
        <v>864</v>
      </c>
      <c r="L101" s="317" t="s">
        <v>1661</v>
      </c>
      <c r="M101" s="317"/>
      <c r="N101" s="317" t="s">
        <v>1661</v>
      </c>
      <c r="O101" s="317"/>
      <c r="P101" s="317"/>
      <c r="Q101" s="317"/>
      <c r="R101" s="317"/>
      <c r="S101" s="327" t="s">
        <v>817</v>
      </c>
      <c r="T101" s="317"/>
      <c r="U101" s="358" t="s">
        <v>817</v>
      </c>
      <c r="V101" s="317"/>
      <c r="W101" s="317"/>
      <c r="X101" s="317" t="s">
        <v>863</v>
      </c>
      <c r="Y101" s="317"/>
      <c r="Z101" s="317"/>
      <c r="AA101" s="317" t="s">
        <v>864</v>
      </c>
      <c r="AB101" s="317" t="s">
        <v>864</v>
      </c>
      <c r="AC101" s="321" t="s">
        <v>1593</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1988</v>
      </c>
      <c r="D102" s="351"/>
      <c r="E102" s="351"/>
      <c r="F102" s="351"/>
      <c r="G102" s="351"/>
      <c r="H102" s="323" t="s">
        <v>1989</v>
      </c>
      <c r="I102" s="323" t="s">
        <v>1990</v>
      </c>
      <c r="J102" s="323" t="s">
        <v>1991</v>
      </c>
      <c r="K102" s="323" t="s">
        <v>864</v>
      </c>
      <c r="L102" s="323" t="s">
        <v>1670</v>
      </c>
      <c r="M102" s="323"/>
      <c r="N102" s="323" t="s">
        <v>1670</v>
      </c>
      <c r="O102" s="323"/>
      <c r="P102" s="323"/>
      <c r="Q102" s="323"/>
      <c r="R102" s="323"/>
      <c r="S102" s="333" t="s">
        <v>817</v>
      </c>
      <c r="T102" s="323"/>
      <c r="U102" s="357" t="s">
        <v>817</v>
      </c>
      <c r="V102" s="323"/>
      <c r="W102" s="323"/>
      <c r="X102" s="323" t="s">
        <v>863</v>
      </c>
      <c r="Y102" s="323"/>
      <c r="Z102" s="323"/>
      <c r="AA102" s="323" t="s">
        <v>864</v>
      </c>
      <c r="AB102" s="323" t="s">
        <v>864</v>
      </c>
      <c r="AC102" s="321" t="s">
        <v>1593</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1992</v>
      </c>
      <c r="D103" s="353"/>
      <c r="E103" s="353"/>
      <c r="F103" s="353"/>
      <c r="G103" s="353"/>
      <c r="H103" s="317" t="s">
        <v>1993</v>
      </c>
      <c r="I103" s="317"/>
      <c r="J103" s="317"/>
      <c r="K103" s="317" t="s">
        <v>864</v>
      </c>
      <c r="L103" s="317" t="s">
        <v>1653</v>
      </c>
      <c r="M103" s="317"/>
      <c r="N103" s="317" t="s">
        <v>1653</v>
      </c>
      <c r="O103" s="317"/>
      <c r="P103" s="317"/>
      <c r="Q103" s="317"/>
      <c r="R103" s="317"/>
      <c r="S103" s="327" t="s">
        <v>817</v>
      </c>
      <c r="T103" s="349"/>
      <c r="U103" s="358" t="s">
        <v>817</v>
      </c>
      <c r="V103" s="317"/>
      <c r="W103" s="317"/>
      <c r="X103" s="317" t="s">
        <v>863</v>
      </c>
      <c r="Y103" s="317"/>
      <c r="Z103" s="317"/>
      <c r="AA103" s="317" t="s">
        <v>864</v>
      </c>
      <c r="AB103" s="317" t="s">
        <v>864</v>
      </c>
      <c r="AC103" s="321" t="s">
        <v>1593</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1994</v>
      </c>
      <c r="D104" s="351"/>
      <c r="E104" s="351"/>
      <c r="F104" s="351"/>
      <c r="G104" s="351"/>
      <c r="H104" s="323" t="s">
        <v>1995</v>
      </c>
      <c r="I104" s="323" t="s">
        <v>1996</v>
      </c>
      <c r="J104" s="330"/>
      <c r="K104" s="323" t="s">
        <v>864</v>
      </c>
      <c r="L104" s="323" t="s">
        <v>1997</v>
      </c>
      <c r="M104" s="323"/>
      <c r="N104" s="323" t="s">
        <v>1997</v>
      </c>
      <c r="O104" s="323"/>
      <c r="P104" s="323"/>
      <c r="Q104" s="323"/>
      <c r="R104" s="323"/>
      <c r="S104" s="331" t="s">
        <v>823</v>
      </c>
      <c r="T104" s="323"/>
      <c r="U104" s="356" t="s">
        <v>823</v>
      </c>
      <c r="V104" s="323"/>
      <c r="W104" s="323" t="s">
        <v>864</v>
      </c>
      <c r="X104" s="323" t="s">
        <v>1998</v>
      </c>
      <c r="Y104" s="323"/>
      <c r="Z104" s="323"/>
      <c r="AA104" s="323" t="s">
        <v>864</v>
      </c>
      <c r="AB104" s="323" t="s">
        <v>864</v>
      </c>
      <c r="AC104" s="321" t="s">
        <v>1593</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1999</v>
      </c>
      <c r="E105" s="354"/>
      <c r="F105" s="353"/>
      <c r="G105" s="353"/>
      <c r="H105" s="317" t="s">
        <v>2000</v>
      </c>
      <c r="I105" s="317" t="s">
        <v>2001</v>
      </c>
      <c r="J105" s="317" t="s">
        <v>2002</v>
      </c>
      <c r="K105" s="317" t="s">
        <v>864</v>
      </c>
      <c r="L105" s="317" t="s">
        <v>1795</v>
      </c>
      <c r="M105" s="317"/>
      <c r="N105" s="317" t="s">
        <v>1795</v>
      </c>
      <c r="O105" s="317"/>
      <c r="P105" s="317"/>
      <c r="Q105" s="317"/>
      <c r="R105" s="317"/>
      <c r="S105" s="327" t="s">
        <v>817</v>
      </c>
      <c r="T105" s="317"/>
      <c r="U105" s="358" t="s">
        <v>817</v>
      </c>
      <c r="V105" s="317"/>
      <c r="W105" s="317"/>
      <c r="X105" s="317" t="s">
        <v>879</v>
      </c>
      <c r="Y105" s="317"/>
      <c r="Z105" s="317"/>
      <c r="AA105" s="317" t="s">
        <v>864</v>
      </c>
      <c r="AB105" s="317" t="s">
        <v>864</v>
      </c>
      <c r="AC105" s="332" t="s">
        <v>1593</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1721</v>
      </c>
      <c r="E106" s="351"/>
      <c r="F106" s="351"/>
      <c r="G106" s="351"/>
      <c r="H106" s="323" t="s">
        <v>2003</v>
      </c>
      <c r="I106" s="323" t="s">
        <v>2004</v>
      </c>
      <c r="J106" s="323" t="s">
        <v>2005</v>
      </c>
      <c r="K106" s="323" t="s">
        <v>864</v>
      </c>
      <c r="L106" s="323" t="s">
        <v>1682</v>
      </c>
      <c r="M106" s="323"/>
      <c r="N106" s="323" t="s">
        <v>1682</v>
      </c>
      <c r="O106" s="323"/>
      <c r="P106" s="323"/>
      <c r="Q106" s="323"/>
      <c r="R106" s="323"/>
      <c r="S106" s="325" t="s">
        <v>820</v>
      </c>
      <c r="T106" s="323"/>
      <c r="U106" s="352" t="s">
        <v>820</v>
      </c>
      <c r="V106" s="323"/>
      <c r="W106" s="323"/>
      <c r="X106" s="323" t="s">
        <v>863</v>
      </c>
      <c r="Y106" s="323"/>
      <c r="Z106" s="323" t="s">
        <v>2006</v>
      </c>
      <c r="AA106" s="323" t="s">
        <v>864</v>
      </c>
      <c r="AB106" s="323" t="s">
        <v>864</v>
      </c>
      <c r="AC106" s="321" t="s">
        <v>1593</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1675</v>
      </c>
      <c r="E107" s="353"/>
      <c r="F107" s="353"/>
      <c r="G107" s="353"/>
      <c r="H107" s="317" t="s">
        <v>2007</v>
      </c>
      <c r="I107" s="317"/>
      <c r="J107" s="317" t="s">
        <v>2008</v>
      </c>
      <c r="K107" s="317" t="s">
        <v>864</v>
      </c>
      <c r="L107" s="317" t="s">
        <v>1653</v>
      </c>
      <c r="M107" s="317"/>
      <c r="N107" s="317" t="s">
        <v>1653</v>
      </c>
      <c r="O107" s="317"/>
      <c r="P107" s="317"/>
      <c r="Q107" s="317"/>
      <c r="R107" s="317"/>
      <c r="S107" s="327" t="s">
        <v>817</v>
      </c>
      <c r="T107" s="317"/>
      <c r="U107" s="358" t="s">
        <v>817</v>
      </c>
      <c r="V107" s="317"/>
      <c r="W107" s="317"/>
      <c r="X107" s="317" t="s">
        <v>863</v>
      </c>
      <c r="Y107" s="317"/>
      <c r="Z107" s="317"/>
      <c r="AA107" s="317" t="s">
        <v>864</v>
      </c>
      <c r="AB107" s="317" t="s">
        <v>864</v>
      </c>
      <c r="AC107" s="321" t="s">
        <v>1593</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2009</v>
      </c>
      <c r="E108" s="351"/>
      <c r="F108" s="351"/>
      <c r="G108" s="351"/>
      <c r="H108" s="323" t="s">
        <v>2010</v>
      </c>
      <c r="I108" s="323" t="s">
        <v>2011</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1593</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2012</v>
      </c>
      <c r="E109" s="354" t="s">
        <v>1950</v>
      </c>
      <c r="F109" s="353"/>
      <c r="G109" s="353"/>
      <c r="H109" s="317" t="s">
        <v>2013</v>
      </c>
      <c r="I109" s="317" t="s">
        <v>2014</v>
      </c>
      <c r="J109" s="338"/>
      <c r="K109" s="317" t="s">
        <v>864</v>
      </c>
      <c r="L109" s="317" t="s">
        <v>1850</v>
      </c>
      <c r="M109" s="317"/>
      <c r="N109" s="317" t="s">
        <v>1850</v>
      </c>
      <c r="O109" s="317"/>
      <c r="P109" s="317"/>
      <c r="Q109" s="317"/>
      <c r="R109" s="317"/>
      <c r="S109" s="344" t="s">
        <v>823</v>
      </c>
      <c r="T109" s="317"/>
      <c r="U109" s="350" t="s">
        <v>823</v>
      </c>
      <c r="V109" s="317"/>
      <c r="W109" s="317" t="s">
        <v>864</v>
      </c>
      <c r="X109" s="317" t="s">
        <v>1851</v>
      </c>
      <c r="Y109" s="317"/>
      <c r="Z109" s="317"/>
      <c r="AA109" s="317" t="s">
        <v>864</v>
      </c>
      <c r="AB109" s="317" t="s">
        <v>864</v>
      </c>
      <c r="AC109" s="321" t="s">
        <v>1593</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2015</v>
      </c>
      <c r="D110" s="345"/>
      <c r="E110" s="345"/>
      <c r="F110" s="345"/>
      <c r="G110" s="345"/>
      <c r="H110" s="323" t="s">
        <v>2016</v>
      </c>
      <c r="I110" s="323" t="s">
        <v>2017</v>
      </c>
      <c r="J110" s="323">
        <v>1</v>
      </c>
      <c r="K110" s="323"/>
      <c r="L110" s="323" t="s">
        <v>2018</v>
      </c>
      <c r="M110" s="323"/>
      <c r="N110" s="323" t="s">
        <v>2018</v>
      </c>
      <c r="O110" s="323"/>
      <c r="P110" s="323"/>
      <c r="Q110" s="323"/>
      <c r="R110" s="323"/>
      <c r="S110" s="333" t="s">
        <v>817</v>
      </c>
      <c r="T110" s="323"/>
      <c r="U110" s="357" t="s">
        <v>817</v>
      </c>
      <c r="V110" s="323"/>
      <c r="W110" s="323"/>
      <c r="X110" s="323" t="s">
        <v>1073</v>
      </c>
      <c r="Y110" s="323"/>
      <c r="Z110" s="323"/>
      <c r="AA110" s="323" t="s">
        <v>864</v>
      </c>
      <c r="AB110" s="323" t="s">
        <v>864</v>
      </c>
      <c r="AC110" s="332" t="s">
        <v>1593</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2019</v>
      </c>
      <c r="D111" s="346"/>
      <c r="E111" s="342"/>
      <c r="F111" s="342"/>
      <c r="G111" s="342"/>
      <c r="H111" s="317" t="s">
        <v>2020</v>
      </c>
      <c r="I111" s="317" t="s">
        <v>2021</v>
      </c>
      <c r="J111" s="317"/>
      <c r="K111" s="317"/>
      <c r="L111" s="317" t="s">
        <v>2022</v>
      </c>
      <c r="M111" s="317"/>
      <c r="N111" s="317" t="s">
        <v>2022</v>
      </c>
      <c r="O111" s="317"/>
      <c r="P111" s="317"/>
      <c r="Q111" s="317"/>
      <c r="R111" s="317"/>
      <c r="S111" s="327" t="s">
        <v>817</v>
      </c>
      <c r="T111" s="317"/>
      <c r="U111" s="358" t="s">
        <v>817</v>
      </c>
      <c r="V111" s="317"/>
      <c r="W111" s="317"/>
      <c r="X111" s="317" t="s">
        <v>863</v>
      </c>
      <c r="Y111" s="317"/>
      <c r="Z111" s="317" t="s">
        <v>2023</v>
      </c>
      <c r="AA111" s="317" t="s">
        <v>864</v>
      </c>
      <c r="AB111" s="317" t="s">
        <v>864</v>
      </c>
      <c r="AC111" s="321" t="s">
        <v>1593</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2024</v>
      </c>
      <c r="D112" s="351"/>
      <c r="E112" s="351"/>
      <c r="F112" s="351"/>
      <c r="G112" s="351"/>
      <c r="H112" s="323" t="s">
        <v>2025</v>
      </c>
      <c r="I112" s="323" t="s">
        <v>2026</v>
      </c>
      <c r="J112" s="323" t="s">
        <v>2027</v>
      </c>
      <c r="K112" s="323" t="s">
        <v>864</v>
      </c>
      <c r="L112" s="323" t="s">
        <v>1764</v>
      </c>
      <c r="M112" s="323"/>
      <c r="N112" s="323" t="s">
        <v>1764</v>
      </c>
      <c r="O112" s="323"/>
      <c r="P112" s="323"/>
      <c r="Q112" s="323"/>
      <c r="R112" s="323"/>
      <c r="S112" s="333" t="s">
        <v>817</v>
      </c>
      <c r="T112" s="323"/>
      <c r="U112" s="357" t="s">
        <v>817</v>
      </c>
      <c r="V112" s="323"/>
      <c r="W112" s="323"/>
      <c r="X112" s="323" t="s">
        <v>863</v>
      </c>
      <c r="Y112" s="323"/>
      <c r="Z112" s="323" t="s">
        <v>2028</v>
      </c>
      <c r="AA112" s="323" t="s">
        <v>864</v>
      </c>
      <c r="AB112" s="323" t="s">
        <v>864</v>
      </c>
      <c r="AC112" s="321" t="s">
        <v>1593</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2029</v>
      </c>
      <c r="D113" s="342"/>
      <c r="E113" s="342"/>
      <c r="F113" s="342"/>
      <c r="G113" s="342"/>
      <c r="H113" s="317" t="s">
        <v>2030</v>
      </c>
      <c r="I113" s="317" t="s">
        <v>2031</v>
      </c>
      <c r="J113" s="317" t="s">
        <v>1263</v>
      </c>
      <c r="K113" s="317"/>
      <c r="L113" s="317" t="s">
        <v>2032</v>
      </c>
      <c r="M113" s="317"/>
      <c r="N113" s="317" t="s">
        <v>2032</v>
      </c>
      <c r="O113" s="317"/>
      <c r="P113" s="317"/>
      <c r="Q113" s="317"/>
      <c r="R113" s="317"/>
      <c r="S113" s="327" t="s">
        <v>817</v>
      </c>
      <c r="T113" s="349"/>
      <c r="U113" s="358" t="s">
        <v>817</v>
      </c>
      <c r="V113" s="317"/>
      <c r="W113" s="317"/>
      <c r="X113" s="317" t="s">
        <v>863</v>
      </c>
      <c r="Y113" s="317"/>
      <c r="Z113" s="317"/>
      <c r="AA113" s="317" t="s">
        <v>864</v>
      </c>
      <c r="AB113" s="317" t="s">
        <v>864</v>
      </c>
      <c r="AC113" s="321" t="s">
        <v>1593</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2033</v>
      </c>
      <c r="D114" s="347"/>
      <c r="E114" s="347"/>
      <c r="F114" s="347"/>
      <c r="G114" s="347"/>
      <c r="H114" s="323" t="s">
        <v>2034</v>
      </c>
      <c r="I114" s="323" t="s">
        <v>2035</v>
      </c>
      <c r="J114" s="330"/>
      <c r="K114" s="323" t="s">
        <v>864</v>
      </c>
      <c r="L114" s="323" t="s">
        <v>2036</v>
      </c>
      <c r="M114" s="323"/>
      <c r="N114" s="323" t="s">
        <v>2036</v>
      </c>
      <c r="O114" s="323"/>
      <c r="P114" s="323"/>
      <c r="Q114" s="323"/>
      <c r="R114" s="323"/>
      <c r="S114" s="331" t="s">
        <v>823</v>
      </c>
      <c r="T114" s="323"/>
      <c r="U114" s="356" t="s">
        <v>823</v>
      </c>
      <c r="V114" s="323"/>
      <c r="W114" s="323" t="s">
        <v>864</v>
      </c>
      <c r="X114" s="323" t="s">
        <v>1245</v>
      </c>
      <c r="Y114" s="323"/>
      <c r="Z114" s="323"/>
      <c r="AA114" s="323" t="s">
        <v>864</v>
      </c>
      <c r="AB114" s="323" t="s">
        <v>864</v>
      </c>
      <c r="AC114" s="321" t="s">
        <v>1593</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2037</v>
      </c>
      <c r="E115" s="342"/>
      <c r="F115" s="342"/>
      <c r="G115" s="342"/>
      <c r="H115" s="317" t="s">
        <v>2038</v>
      </c>
      <c r="I115" s="317" t="s">
        <v>2039</v>
      </c>
      <c r="J115" s="317" t="s">
        <v>1249</v>
      </c>
      <c r="K115" s="317" t="s">
        <v>864</v>
      </c>
      <c r="L115" s="317" t="s">
        <v>1682</v>
      </c>
      <c r="M115" s="317"/>
      <c r="N115" s="317" t="s">
        <v>1682</v>
      </c>
      <c r="O115" s="317"/>
      <c r="P115" s="317"/>
      <c r="Q115" s="317"/>
      <c r="R115" s="317"/>
      <c r="S115" s="320" t="s">
        <v>820</v>
      </c>
      <c r="T115" s="317"/>
      <c r="U115" s="359" t="s">
        <v>820</v>
      </c>
      <c r="V115" s="317"/>
      <c r="W115" s="317"/>
      <c r="X115" s="317" t="s">
        <v>863</v>
      </c>
      <c r="Y115" s="317"/>
      <c r="Z115" s="317" t="s">
        <v>1250</v>
      </c>
      <c r="AA115" s="317" t="s">
        <v>864</v>
      </c>
      <c r="AB115" s="317" t="s">
        <v>864</v>
      </c>
      <c r="AC115" s="332" t="s">
        <v>1593</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2040</v>
      </c>
      <c r="E116" s="345"/>
      <c r="F116" s="345"/>
      <c r="G116" s="345"/>
      <c r="H116" s="323" t="s">
        <v>2041</v>
      </c>
      <c r="I116" s="323" t="s">
        <v>2042</v>
      </c>
      <c r="J116" s="376">
        <v>606070707</v>
      </c>
      <c r="K116" s="323" t="s">
        <v>864</v>
      </c>
      <c r="L116" s="323" t="s">
        <v>2043</v>
      </c>
      <c r="M116" s="323"/>
      <c r="N116" s="323" t="s">
        <v>2043</v>
      </c>
      <c r="O116" s="323"/>
      <c r="P116" s="323"/>
      <c r="Q116" s="323"/>
      <c r="R116" s="323"/>
      <c r="S116" s="325" t="s">
        <v>820</v>
      </c>
      <c r="T116" s="323"/>
      <c r="U116" s="352" t="s">
        <v>820</v>
      </c>
      <c r="V116" s="323"/>
      <c r="W116" s="323"/>
      <c r="X116" s="323" t="s">
        <v>863</v>
      </c>
      <c r="Y116" s="323"/>
      <c r="Z116" s="323"/>
      <c r="AA116" s="323" t="s">
        <v>864</v>
      </c>
      <c r="AB116" s="323" t="s">
        <v>864</v>
      </c>
      <c r="AC116" s="321" t="s">
        <v>1593</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1593</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7058-D0A8-41A4-9E33-3828EB0D4D75}">
  <dimension ref="A1:AMC91"/>
  <sheetViews>
    <sheetView workbookViewId="0">
      <selection activeCell="H4" sqref="H4"/>
    </sheetView>
  </sheetViews>
  <sheetFormatPr baseColWidth="10" defaultColWidth="9.5" defaultRowHeight="15"/>
  <cols>
    <col min="1" max="1" width="4.75" style="128" customWidth="1"/>
    <col min="2" max="2" width="39.625" style="128" bestFit="1" customWidth="1"/>
    <col min="3" max="3" width="29.375" style="128" customWidth="1"/>
    <col min="4" max="4" width="27.375" style="128" customWidth="1"/>
    <col min="5" max="5" width="10.5" style="128" customWidth="1"/>
    <col min="6" max="6" width="8.625" style="128" customWidth="1"/>
    <col min="7" max="7" width="9.625" style="96" customWidth="1"/>
    <col min="8" max="8" width="53.125" style="96" customWidth="1"/>
    <col min="9" max="9" width="33.5" style="225" customWidth="1"/>
    <col min="10" max="10" width="12" style="96" customWidth="1"/>
    <col min="11" max="11" width="17.875" style="159" customWidth="1"/>
    <col min="12" max="12" width="7.75" style="96" hidden="1" customWidth="1"/>
    <col min="13" max="13" width="9.7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2044</v>
      </c>
      <c r="C1" s="129" t="s">
        <v>813</v>
      </c>
      <c r="E1" s="150" t="s">
        <v>814</v>
      </c>
      <c r="F1" s="157">
        <f>createCase2[[#Totals],[Métier]] / createCase2[[#Totals],[ID]]</f>
        <v>0</v>
      </c>
      <c r="G1" s="128"/>
      <c r="AC1" s="96"/>
      <c r="AE1"/>
      <c r="AF1" s="128"/>
      <c r="ALZ1"/>
    </row>
    <row r="2" spans="1:1014" ht="13.5" customHeight="1">
      <c r="C2" s="141" t="s">
        <v>818</v>
      </c>
      <c r="D2" s="285"/>
      <c r="E2" s="152" t="s">
        <v>819</v>
      </c>
      <c r="F2" s="157">
        <f>createCase2[[#Totals],[NexSIS]] / createCase2[[#Totals],[ID]]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53" t="s">
        <v>828</v>
      </c>
      <c r="M7" s="553"/>
      <c r="N7" s="553"/>
      <c r="O7" s="553"/>
      <c r="V7" s="554" t="s">
        <v>829</v>
      </c>
      <c r="W7" s="554"/>
      <c r="AC7" s="553" t="s">
        <v>830</v>
      </c>
      <c r="AD7" s="553"/>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2045</v>
      </c>
      <c r="C9" s="240"/>
      <c r="D9" s="512"/>
      <c r="E9" s="512"/>
      <c r="F9" s="512"/>
      <c r="G9" s="512"/>
      <c r="H9" s="504" t="s">
        <v>2046</v>
      </c>
      <c r="I9" s="317"/>
      <c r="J9" s="504"/>
      <c r="K9" s="503"/>
      <c r="L9" s="504"/>
      <c r="M9" s="504"/>
      <c r="N9" s="504"/>
      <c r="O9" s="504"/>
      <c r="P9" s="505"/>
      <c r="Q9" s="504" t="s">
        <v>2047</v>
      </c>
      <c r="R9" s="504"/>
      <c r="S9" s="504"/>
      <c r="T9" s="506"/>
      <c r="U9" s="504"/>
      <c r="V9" s="507"/>
      <c r="W9" s="507"/>
      <c r="X9" s="232"/>
      <c r="Y9" s="513"/>
      <c r="Z9" s="504"/>
      <c r="AA9" s="508"/>
      <c r="AB9" s="504"/>
      <c r="AC9" s="506"/>
      <c r="AD9" s="506"/>
    </row>
    <row r="10" spans="1:1014" s="224" customFormat="1" ht="13.5" customHeight="1">
      <c r="A10" s="225">
        <v>2</v>
      </c>
      <c r="B10" s="253" t="s">
        <v>2048</v>
      </c>
      <c r="C10" s="221"/>
      <c r="D10" s="221"/>
      <c r="E10" s="221"/>
      <c r="F10" s="221"/>
      <c r="G10" s="221"/>
      <c r="H10" s="504" t="s">
        <v>2049</v>
      </c>
      <c r="I10" s="131"/>
      <c r="J10" s="504"/>
      <c r="K10" s="503"/>
      <c r="L10" s="504"/>
      <c r="M10" s="504"/>
      <c r="N10" s="504"/>
      <c r="O10" s="504"/>
      <c r="P10" s="505"/>
      <c r="Q10" s="504" t="s">
        <v>2047</v>
      </c>
      <c r="R10" s="504"/>
      <c r="S10" s="504"/>
      <c r="T10" s="506"/>
      <c r="U10" s="504"/>
      <c r="V10" s="507"/>
      <c r="W10" s="507"/>
      <c r="X10" s="232"/>
      <c r="Y10" s="513"/>
      <c r="Z10" s="504"/>
      <c r="AA10" s="508"/>
      <c r="AB10" s="504"/>
      <c r="AC10" s="506"/>
      <c r="AD10" s="506"/>
    </row>
    <row r="11" spans="1:1014" s="224" customFormat="1" ht="13.5" customHeight="1">
      <c r="A11" s="225">
        <v>3</v>
      </c>
      <c r="B11" s="217" t="s">
        <v>2050</v>
      </c>
      <c r="C11" s="240"/>
      <c r="D11" s="241"/>
      <c r="E11" s="241"/>
      <c r="F11" s="241"/>
      <c r="G11" s="241"/>
      <c r="H11" s="504" t="s">
        <v>2051</v>
      </c>
      <c r="I11" s="503"/>
      <c r="J11" s="504"/>
      <c r="K11" s="503"/>
      <c r="L11" s="504"/>
      <c r="M11" s="504"/>
      <c r="N11" s="504"/>
      <c r="O11" s="504"/>
      <c r="P11" s="505"/>
      <c r="Q11" s="504" t="s">
        <v>2047</v>
      </c>
      <c r="R11" s="504"/>
      <c r="S11" s="504"/>
      <c r="T11" s="506"/>
      <c r="U11" s="504"/>
      <c r="V11" s="507"/>
      <c r="W11" s="507"/>
      <c r="X11" s="232"/>
      <c r="Y11" s="513"/>
      <c r="Z11" s="504"/>
      <c r="AA11" s="508"/>
      <c r="AB11" s="504"/>
      <c r="AC11" s="506"/>
      <c r="AD11" s="506"/>
    </row>
    <row r="12" spans="1:1014" s="224" customFormat="1" ht="13.5" customHeight="1">
      <c r="A12" s="225">
        <v>4</v>
      </c>
      <c r="B12" s="217" t="s">
        <v>1085</v>
      </c>
      <c r="C12" s="240"/>
      <c r="D12" s="241"/>
      <c r="E12" s="241"/>
      <c r="F12" s="241"/>
      <c r="G12" s="241"/>
      <c r="H12" s="504" t="s">
        <v>2052</v>
      </c>
      <c r="I12" s="503"/>
      <c r="J12" s="504"/>
      <c r="K12" s="503"/>
      <c r="L12" s="504"/>
      <c r="M12" s="504"/>
      <c r="N12" s="504"/>
      <c r="O12" s="504"/>
      <c r="P12" s="505"/>
      <c r="Q12" s="504" t="s">
        <v>2053</v>
      </c>
      <c r="R12" s="504"/>
      <c r="S12" s="504" t="s">
        <v>863</v>
      </c>
      <c r="T12" s="506"/>
      <c r="U12" s="504"/>
      <c r="V12" s="507"/>
      <c r="W12" s="507"/>
      <c r="X12" s="232"/>
      <c r="Y12" s="513"/>
      <c r="Z12" s="504"/>
      <c r="AA12" s="508"/>
      <c r="AB12" s="504"/>
      <c r="AC12" s="506"/>
      <c r="AD12" s="506"/>
    </row>
    <row r="13" spans="1:1014" s="224" customFormat="1" ht="13.5" customHeight="1">
      <c r="A13" s="225">
        <v>5</v>
      </c>
      <c r="B13" s="217" t="s">
        <v>1293</v>
      </c>
      <c r="C13" s="512"/>
      <c r="D13" s="241"/>
      <c r="E13" s="241"/>
      <c r="F13" s="241"/>
      <c r="G13" s="241"/>
      <c r="H13" s="504" t="s">
        <v>2054</v>
      </c>
      <c r="I13" s="503"/>
      <c r="J13" s="504"/>
      <c r="K13" s="503"/>
      <c r="L13" s="504"/>
      <c r="M13" s="504"/>
      <c r="N13" s="504"/>
      <c r="O13" s="504"/>
      <c r="P13" s="505"/>
      <c r="Q13" s="504" t="s">
        <v>2053</v>
      </c>
      <c r="R13" s="504"/>
      <c r="S13" s="243" t="s">
        <v>863</v>
      </c>
      <c r="T13" s="506"/>
      <c r="U13" s="504"/>
      <c r="V13" s="507"/>
      <c r="W13" s="507"/>
      <c r="X13" s="232"/>
      <c r="Y13" s="513"/>
      <c r="Z13" s="504"/>
      <c r="AA13" s="508"/>
      <c r="AB13" s="504"/>
      <c r="AC13" s="506"/>
      <c r="AD13" s="506"/>
    </row>
    <row r="14" spans="1:1014" s="224" customFormat="1" ht="13.5" customHeight="1">
      <c r="A14" s="225">
        <v>6</v>
      </c>
      <c r="B14" s="217" t="s">
        <v>2055</v>
      </c>
      <c r="C14" s="512"/>
      <c r="D14" s="241"/>
      <c r="E14" s="241"/>
      <c r="F14" s="241"/>
      <c r="G14" s="241"/>
      <c r="H14" s="504" t="s">
        <v>2056</v>
      </c>
      <c r="I14" s="503"/>
      <c r="J14" s="504"/>
      <c r="K14" s="503"/>
      <c r="L14" s="504"/>
      <c r="M14" s="504"/>
      <c r="N14" s="504"/>
      <c r="O14" s="504"/>
      <c r="P14" s="505"/>
      <c r="Q14" s="504" t="s">
        <v>2053</v>
      </c>
      <c r="R14" s="504"/>
      <c r="S14" s="504" t="s">
        <v>863</v>
      </c>
      <c r="T14" s="506"/>
      <c r="U14" s="504"/>
      <c r="V14" s="507"/>
      <c r="W14" s="507"/>
      <c r="X14" s="232"/>
      <c r="Y14" s="513"/>
      <c r="Z14" s="504"/>
      <c r="AA14" s="508"/>
      <c r="AB14" s="504"/>
      <c r="AC14" s="506"/>
      <c r="AD14" s="506"/>
    </row>
    <row r="15" spans="1:1014" s="224" customFormat="1" ht="13.5" customHeight="1">
      <c r="A15" s="225">
        <v>7</v>
      </c>
      <c r="B15" s="217" t="s">
        <v>2057</v>
      </c>
      <c r="C15" s="512"/>
      <c r="D15" s="241"/>
      <c r="E15" s="241"/>
      <c r="F15" s="241"/>
      <c r="G15" s="241"/>
      <c r="H15" s="504" t="s">
        <v>2058</v>
      </c>
      <c r="I15" s="503"/>
      <c r="J15" s="504"/>
      <c r="K15" s="503"/>
      <c r="L15" s="504"/>
      <c r="M15" s="504"/>
      <c r="N15" s="504"/>
      <c r="O15" s="504"/>
      <c r="P15" s="505"/>
      <c r="Q15" s="504" t="s">
        <v>2053</v>
      </c>
      <c r="R15" s="504"/>
      <c r="S15" s="504" t="s">
        <v>863</v>
      </c>
      <c r="T15" s="506"/>
      <c r="U15" s="504"/>
      <c r="V15" s="507"/>
      <c r="W15" s="507"/>
      <c r="X15" s="232"/>
      <c r="Y15" s="513"/>
      <c r="Z15" s="504"/>
      <c r="AA15" s="508"/>
      <c r="AB15" s="504"/>
      <c r="AC15" s="506"/>
      <c r="AD15" s="506"/>
    </row>
    <row r="16" spans="1:1014" s="224" customFormat="1" ht="13.5" customHeight="1">
      <c r="A16" s="225">
        <v>8</v>
      </c>
      <c r="B16" s="217" t="s">
        <v>2059</v>
      </c>
      <c r="C16" s="512"/>
      <c r="D16" s="241"/>
      <c r="E16" s="241"/>
      <c r="F16" s="241"/>
      <c r="G16" s="241"/>
      <c r="H16" s="504" t="s">
        <v>2060</v>
      </c>
      <c r="I16" s="503"/>
      <c r="J16" s="504"/>
      <c r="K16" s="503"/>
      <c r="L16" s="504"/>
      <c r="M16" s="504"/>
      <c r="N16" s="504"/>
      <c r="O16" s="504"/>
      <c r="P16" s="505"/>
      <c r="Q16" s="504" t="s">
        <v>2053</v>
      </c>
      <c r="R16" s="504"/>
      <c r="S16" s="504" t="s">
        <v>863</v>
      </c>
      <c r="T16" s="506"/>
      <c r="U16" s="504"/>
      <c r="V16" s="507"/>
      <c r="W16" s="507"/>
      <c r="X16" s="232"/>
      <c r="Y16" s="513"/>
      <c r="Z16" s="504"/>
      <c r="AA16" s="508"/>
      <c r="AB16" s="504"/>
      <c r="AC16" s="506"/>
      <c r="AD16" s="506"/>
    </row>
    <row r="17" spans="1:30" s="224" customFormat="1" ht="13.5" customHeight="1">
      <c r="A17" s="225">
        <v>9</v>
      </c>
      <c r="B17" s="217" t="s">
        <v>2061</v>
      </c>
      <c r="C17" s="512"/>
      <c r="D17" s="241"/>
      <c r="E17" s="241"/>
      <c r="F17" s="241"/>
      <c r="G17" s="241"/>
      <c r="H17" s="504" t="s">
        <v>2062</v>
      </c>
      <c r="I17" s="503"/>
      <c r="J17" s="504"/>
      <c r="K17" s="503"/>
      <c r="L17" s="504"/>
      <c r="M17" s="504"/>
      <c r="N17" s="504"/>
      <c r="O17" s="504"/>
      <c r="P17" s="505"/>
      <c r="Q17" s="504" t="s">
        <v>2053</v>
      </c>
      <c r="R17" s="504"/>
      <c r="S17" s="504" t="s">
        <v>863</v>
      </c>
      <c r="T17" s="506"/>
      <c r="U17" s="504"/>
      <c r="V17" s="507"/>
      <c r="W17" s="507"/>
      <c r="X17" s="232"/>
      <c r="Y17" s="513"/>
      <c r="Z17" s="504"/>
      <c r="AA17" s="508"/>
      <c r="AB17" s="504"/>
      <c r="AC17" s="506"/>
      <c r="AD17" s="506"/>
    </row>
    <row r="18" spans="1:30" s="224" customFormat="1" ht="13.5" customHeight="1">
      <c r="A18" s="225">
        <v>10</v>
      </c>
      <c r="B18" s="217" t="s">
        <v>2063</v>
      </c>
      <c r="C18" s="512"/>
      <c r="D18" s="241"/>
      <c r="E18" s="241"/>
      <c r="F18" s="241"/>
      <c r="G18" s="241"/>
      <c r="H18" s="504" t="s">
        <v>2064</v>
      </c>
      <c r="I18" s="503"/>
      <c r="J18" s="504"/>
      <c r="K18" s="503"/>
      <c r="L18" s="504"/>
      <c r="M18" s="504"/>
      <c r="N18" s="504"/>
      <c r="O18" s="504"/>
      <c r="P18" s="505"/>
      <c r="Q18" s="504" t="s">
        <v>2053</v>
      </c>
      <c r="R18" s="504"/>
      <c r="S18" s="504" t="s">
        <v>863</v>
      </c>
      <c r="T18" s="506"/>
      <c r="U18" s="504"/>
      <c r="V18" s="507"/>
      <c r="W18" s="507"/>
      <c r="X18" s="232"/>
      <c r="Y18" s="513"/>
      <c r="Z18" s="504"/>
      <c r="AA18" s="508"/>
      <c r="AB18" s="504"/>
      <c r="AC18" s="506"/>
      <c r="AD18" s="506"/>
    </row>
    <row r="19" spans="1:30" s="224" customFormat="1" ht="13.5" customHeight="1">
      <c r="A19" s="225">
        <v>11</v>
      </c>
      <c r="B19" s="217" t="s">
        <v>2065</v>
      </c>
      <c r="C19" s="512"/>
      <c r="D19" s="241"/>
      <c r="E19" s="241"/>
      <c r="F19" s="241"/>
      <c r="G19" s="241"/>
      <c r="H19" s="504" t="s">
        <v>2066</v>
      </c>
      <c r="I19" s="503"/>
      <c r="J19" s="504"/>
      <c r="K19" s="503"/>
      <c r="L19" s="504"/>
      <c r="M19" s="504"/>
      <c r="N19" s="504"/>
      <c r="O19" s="504"/>
      <c r="P19" s="505"/>
      <c r="Q19" s="504" t="s">
        <v>2053</v>
      </c>
      <c r="R19" s="504"/>
      <c r="S19" s="504" t="s">
        <v>863</v>
      </c>
      <c r="T19" s="506"/>
      <c r="U19" s="504"/>
      <c r="V19" s="507"/>
      <c r="W19" s="507"/>
      <c r="X19" s="232"/>
      <c r="Y19" s="513"/>
      <c r="Z19" s="504"/>
      <c r="AA19" s="508"/>
      <c r="AB19" s="504"/>
      <c r="AC19" s="506"/>
      <c r="AD19" s="506"/>
    </row>
    <row r="20" spans="1:30" s="224" customFormat="1" ht="13.5" customHeight="1">
      <c r="A20" s="225">
        <v>12</v>
      </c>
      <c r="B20" s="217" t="s">
        <v>1559</v>
      </c>
      <c r="C20" s="512"/>
      <c r="D20" s="241"/>
      <c r="E20" s="241"/>
      <c r="F20" s="241"/>
      <c r="G20" s="241"/>
      <c r="H20" s="504" t="s">
        <v>2067</v>
      </c>
      <c r="I20" s="503"/>
      <c r="J20" s="504"/>
      <c r="K20" s="503"/>
      <c r="L20" s="504"/>
      <c r="M20" s="504"/>
      <c r="N20" s="504"/>
      <c r="O20" s="504"/>
      <c r="P20" s="505"/>
      <c r="Q20" s="504" t="s">
        <v>2053</v>
      </c>
      <c r="R20" s="504"/>
      <c r="S20" s="504" t="s">
        <v>863</v>
      </c>
      <c r="T20" s="506"/>
      <c r="U20" s="504"/>
      <c r="V20" s="507"/>
      <c r="W20" s="507"/>
      <c r="X20" s="232"/>
      <c r="Y20" s="513"/>
      <c r="Z20" s="504"/>
      <c r="AA20" s="508"/>
      <c r="AB20" s="504"/>
      <c r="AC20" s="506"/>
      <c r="AD20" s="506"/>
    </row>
    <row r="21" spans="1:30" s="224" customFormat="1" ht="13.5" customHeight="1">
      <c r="A21" s="225">
        <v>13</v>
      </c>
      <c r="B21" s="217" t="s">
        <v>2068</v>
      </c>
      <c r="C21" s="512"/>
      <c r="D21" s="241"/>
      <c r="E21" s="241"/>
      <c r="F21" s="241"/>
      <c r="G21" s="241"/>
      <c r="H21" s="504" t="s">
        <v>2069</v>
      </c>
      <c r="I21" s="503"/>
      <c r="J21" s="504"/>
      <c r="K21" s="503"/>
      <c r="L21" s="504"/>
      <c r="M21" s="504"/>
      <c r="N21" s="504"/>
      <c r="O21" s="504"/>
      <c r="P21" s="505"/>
      <c r="Q21" s="504" t="s">
        <v>2053</v>
      </c>
      <c r="R21" s="504"/>
      <c r="S21" s="504" t="s">
        <v>2070</v>
      </c>
      <c r="T21" s="506"/>
      <c r="U21" s="504"/>
      <c r="V21" s="507"/>
      <c r="W21" s="507"/>
      <c r="X21" s="232"/>
      <c r="Y21" s="513"/>
      <c r="Z21" s="504"/>
      <c r="AA21" s="508"/>
      <c r="AB21" s="504"/>
      <c r="AC21" s="506"/>
      <c r="AD21" s="506"/>
    </row>
    <row r="22" spans="1:30" s="224" customFormat="1" ht="13.5" customHeight="1">
      <c r="A22" s="225">
        <v>14</v>
      </c>
      <c r="B22" s="217" t="s">
        <v>2071</v>
      </c>
      <c r="C22" s="512"/>
      <c r="D22" s="241"/>
      <c r="E22" s="241"/>
      <c r="F22" s="241"/>
      <c r="G22" s="241"/>
      <c r="H22" s="504" t="s">
        <v>2069</v>
      </c>
      <c r="I22" s="503"/>
      <c r="J22" s="504"/>
      <c r="K22" s="503"/>
      <c r="L22" s="504"/>
      <c r="M22" s="504"/>
      <c r="N22" s="504"/>
      <c r="O22" s="504"/>
      <c r="P22" s="505"/>
      <c r="Q22" s="504" t="s">
        <v>2053</v>
      </c>
      <c r="R22" s="504"/>
      <c r="S22" s="504" t="s">
        <v>2070</v>
      </c>
      <c r="T22" s="506"/>
      <c r="U22" s="504"/>
      <c r="V22" s="507"/>
      <c r="W22" s="507"/>
      <c r="X22" s="232"/>
      <c r="Y22" s="513"/>
      <c r="Z22" s="504"/>
      <c r="AA22" s="508"/>
      <c r="AB22" s="504"/>
      <c r="AC22" s="506"/>
      <c r="AD22" s="506"/>
    </row>
    <row r="23" spans="1:30" s="224" customFormat="1" ht="13.5" customHeight="1">
      <c r="A23" s="225">
        <v>15</v>
      </c>
      <c r="B23" s="217" t="s">
        <v>2072</v>
      </c>
      <c r="C23" s="512"/>
      <c r="D23" s="241"/>
      <c r="E23" s="241"/>
      <c r="F23" s="241"/>
      <c r="G23" s="241"/>
      <c r="H23" s="504" t="s">
        <v>2073</v>
      </c>
      <c r="I23" s="503"/>
      <c r="J23" s="504"/>
      <c r="K23" s="503"/>
      <c r="L23" s="504"/>
      <c r="M23" s="504"/>
      <c r="N23" s="504"/>
      <c r="O23" s="504"/>
      <c r="P23" s="505"/>
      <c r="Q23" s="504" t="s">
        <v>2053</v>
      </c>
      <c r="R23" s="504"/>
      <c r="S23" s="504" t="s">
        <v>863</v>
      </c>
      <c r="T23" s="506"/>
      <c r="U23" s="504"/>
      <c r="V23" s="507"/>
      <c r="W23" s="507"/>
      <c r="X23" s="232"/>
      <c r="Y23" s="513"/>
      <c r="Z23" s="504"/>
      <c r="AA23" s="508"/>
      <c r="AB23" s="504"/>
      <c r="AC23" s="506"/>
      <c r="AD23" s="506"/>
    </row>
    <row r="24" spans="1:30" s="224" customFormat="1" ht="13.5" customHeight="1">
      <c r="A24" s="225">
        <v>16</v>
      </c>
      <c r="B24" s="217" t="s">
        <v>2074</v>
      </c>
      <c r="C24" s="512"/>
      <c r="D24" s="241"/>
      <c r="E24" s="241"/>
      <c r="F24" s="241"/>
      <c r="G24" s="241"/>
      <c r="H24" s="504" t="s">
        <v>2075</v>
      </c>
      <c r="I24" s="503"/>
      <c r="J24" s="504"/>
      <c r="K24" s="503"/>
      <c r="L24" s="504"/>
      <c r="M24" s="504"/>
      <c r="N24" s="504"/>
      <c r="O24" s="504"/>
      <c r="P24" s="505"/>
      <c r="Q24" s="504" t="s">
        <v>2053</v>
      </c>
      <c r="R24" s="504"/>
      <c r="S24" s="504" t="s">
        <v>863</v>
      </c>
      <c r="T24" s="506"/>
      <c r="U24" s="504"/>
      <c r="V24" s="507"/>
      <c r="W24" s="507"/>
      <c r="X24" s="232"/>
      <c r="Y24" s="513"/>
      <c r="Z24" s="504"/>
      <c r="AA24" s="508"/>
      <c r="AB24" s="504"/>
      <c r="AC24" s="506"/>
      <c r="AD24" s="506"/>
    </row>
    <row r="25" spans="1:30" s="224" customFormat="1" ht="13.5" customHeight="1">
      <c r="A25" s="225">
        <v>17</v>
      </c>
      <c r="B25" s="217" t="s">
        <v>2076</v>
      </c>
      <c r="C25" s="512"/>
      <c r="D25" s="241"/>
      <c r="E25" s="241"/>
      <c r="F25" s="241"/>
      <c r="G25" s="241"/>
      <c r="H25" s="504" t="s">
        <v>2077</v>
      </c>
      <c r="I25" s="503"/>
      <c r="J25" s="504"/>
      <c r="K25" s="503"/>
      <c r="L25" s="504"/>
      <c r="M25" s="504"/>
      <c r="N25" s="504"/>
      <c r="O25" s="504"/>
      <c r="P25" s="505"/>
      <c r="Q25" s="504" t="s">
        <v>2053</v>
      </c>
      <c r="R25" s="504"/>
      <c r="S25" s="504" t="s">
        <v>863</v>
      </c>
      <c r="T25" s="506"/>
      <c r="U25" s="504"/>
      <c r="V25" s="507"/>
      <c r="W25" s="507"/>
      <c r="X25" s="232"/>
      <c r="Y25" s="513"/>
      <c r="Z25" s="504"/>
      <c r="AA25" s="508"/>
      <c r="AB25" s="504"/>
      <c r="AC25" s="506"/>
      <c r="AD25" s="506"/>
    </row>
    <row r="26" spans="1:30" s="224" customFormat="1" ht="13.5" customHeight="1">
      <c r="A26" s="225">
        <v>18</v>
      </c>
      <c r="B26" s="217" t="s">
        <v>2078</v>
      </c>
      <c r="C26" s="512"/>
      <c r="D26" s="241"/>
      <c r="E26" s="241"/>
      <c r="F26" s="241"/>
      <c r="G26" s="241"/>
      <c r="H26" s="504" t="s">
        <v>2079</v>
      </c>
      <c r="I26" s="503"/>
      <c r="J26" s="504"/>
      <c r="K26" s="503"/>
      <c r="L26" s="504"/>
      <c r="M26" s="504"/>
      <c r="N26" s="504"/>
      <c r="O26" s="504"/>
      <c r="P26" s="505"/>
      <c r="Q26" s="504" t="s">
        <v>2053</v>
      </c>
      <c r="R26" s="504"/>
      <c r="S26" s="504"/>
      <c r="T26" s="506"/>
      <c r="U26" s="504"/>
      <c r="V26" s="507"/>
      <c r="W26" s="507"/>
      <c r="X26" s="232"/>
      <c r="Y26" s="513"/>
      <c r="Z26" s="504"/>
      <c r="AA26" s="508"/>
      <c r="AB26" s="504"/>
      <c r="AC26" s="506"/>
      <c r="AD26" s="506"/>
    </row>
    <row r="27" spans="1:30" s="224" customFormat="1" ht="13.5" customHeight="1">
      <c r="A27" s="225">
        <v>19</v>
      </c>
      <c r="B27" s="217" t="s">
        <v>2080</v>
      </c>
      <c r="C27" s="512"/>
      <c r="D27" s="241"/>
      <c r="E27" s="241"/>
      <c r="F27" s="241"/>
      <c r="G27" s="241"/>
      <c r="H27" s="504" t="s">
        <v>2081</v>
      </c>
      <c r="I27" s="503"/>
      <c r="J27" s="504"/>
      <c r="K27" s="503"/>
      <c r="L27" s="504"/>
      <c r="M27" s="504"/>
      <c r="N27" s="504"/>
      <c r="O27" s="504"/>
      <c r="P27" s="505"/>
      <c r="Q27" s="504" t="s">
        <v>2053</v>
      </c>
      <c r="R27" s="504"/>
      <c r="S27" s="504" t="s">
        <v>863</v>
      </c>
      <c r="T27" s="506"/>
      <c r="U27" s="263"/>
      <c r="V27" s="507"/>
      <c r="W27" s="507"/>
      <c r="X27" s="232"/>
      <c r="Y27" s="513"/>
      <c r="Z27" s="504"/>
      <c r="AA27" s="508"/>
      <c r="AB27" s="504"/>
      <c r="AC27" s="506"/>
      <c r="AD27" s="506"/>
    </row>
    <row r="28" spans="1:30" s="224" customFormat="1" ht="13.5" customHeight="1">
      <c r="A28" s="225">
        <v>20</v>
      </c>
      <c r="B28" s="217" t="s">
        <v>2082</v>
      </c>
      <c r="C28" s="512"/>
      <c r="D28" s="241"/>
      <c r="E28" s="241"/>
      <c r="F28" s="241"/>
      <c r="G28" s="241"/>
      <c r="H28" s="263" t="s">
        <v>2083</v>
      </c>
      <c r="I28" s="503"/>
      <c r="J28" s="504"/>
      <c r="K28" s="504"/>
      <c r="L28" s="504"/>
      <c r="M28" s="504"/>
      <c r="N28" s="504"/>
      <c r="O28" s="504"/>
      <c r="P28" s="505"/>
      <c r="Q28" s="504" t="s">
        <v>2053</v>
      </c>
      <c r="R28" s="504"/>
      <c r="S28" s="243" t="s">
        <v>863</v>
      </c>
      <c r="T28" s="506"/>
      <c r="U28" s="504"/>
      <c r="V28" s="507"/>
      <c r="W28" s="507"/>
      <c r="X28" s="232"/>
      <c r="Y28" s="513"/>
      <c r="Z28" s="504"/>
      <c r="AA28" s="508"/>
      <c r="AB28" s="504"/>
      <c r="AC28" s="506"/>
      <c r="AD28" s="506"/>
    </row>
    <row r="29" spans="1:30" s="224" customFormat="1" ht="13.5" customHeight="1">
      <c r="A29" s="225">
        <v>21</v>
      </c>
      <c r="B29" s="217" t="s">
        <v>767</v>
      </c>
      <c r="C29" s="512"/>
      <c r="D29" s="241"/>
      <c r="E29" s="241"/>
      <c r="F29" s="241"/>
      <c r="G29" s="241"/>
      <c r="H29" s="504"/>
      <c r="I29" s="503"/>
      <c r="J29" s="504"/>
      <c r="K29" s="503"/>
      <c r="L29" s="504"/>
      <c r="M29" s="504"/>
      <c r="N29" s="504"/>
      <c r="O29" s="504"/>
      <c r="P29" s="505"/>
      <c r="Q29" s="504" t="s">
        <v>2053</v>
      </c>
      <c r="R29" s="504"/>
      <c r="S29" s="504" t="s">
        <v>863</v>
      </c>
      <c r="T29" s="506"/>
      <c r="U29" s="504"/>
      <c r="V29" s="507"/>
      <c r="W29" s="507"/>
      <c r="X29" s="232"/>
      <c r="Y29" s="513"/>
      <c r="Z29" s="504"/>
      <c r="AA29" s="508"/>
      <c r="AB29" s="504"/>
      <c r="AC29" s="506"/>
      <c r="AD29" s="506"/>
    </row>
    <row r="30" spans="1:30" s="224" customFormat="1" ht="13.5" customHeight="1">
      <c r="A30" s="225">
        <v>22</v>
      </c>
      <c r="B30" s="217" t="s">
        <v>2084</v>
      </c>
      <c r="C30" s="512"/>
      <c r="D30" s="241"/>
      <c r="E30" s="241"/>
      <c r="F30" s="241"/>
      <c r="G30" s="241"/>
      <c r="H30" s="504" t="s">
        <v>2085</v>
      </c>
      <c r="I30" s="503"/>
      <c r="J30" s="504"/>
      <c r="K30" s="503"/>
      <c r="L30" s="504"/>
      <c r="M30" s="504"/>
      <c r="N30" s="504"/>
      <c r="O30" s="504"/>
      <c r="P30" s="505"/>
      <c r="Q30" s="504" t="s">
        <v>2053</v>
      </c>
      <c r="R30" s="504"/>
      <c r="S30" s="504" t="s">
        <v>863</v>
      </c>
      <c r="T30" s="506"/>
      <c r="U30" s="504"/>
      <c r="V30" s="507"/>
      <c r="W30" s="507"/>
      <c r="X30" s="232"/>
      <c r="Y30" s="513"/>
      <c r="Z30" s="504"/>
      <c r="AA30" s="508"/>
      <c r="AB30" s="504"/>
      <c r="AC30" s="506"/>
      <c r="AD30" s="506"/>
    </row>
    <row r="31" spans="1:30" s="224" customFormat="1" ht="13.5" customHeight="1">
      <c r="A31" s="225">
        <v>23</v>
      </c>
      <c r="B31" s="217" t="s">
        <v>2086</v>
      </c>
      <c r="C31" s="512"/>
      <c r="D31" s="241"/>
      <c r="E31" s="241"/>
      <c r="F31" s="241"/>
      <c r="G31" s="241"/>
      <c r="H31" s="504" t="s">
        <v>2087</v>
      </c>
      <c r="I31" s="503"/>
      <c r="J31" s="504"/>
      <c r="K31" s="503"/>
      <c r="L31" s="504"/>
      <c r="M31" s="504"/>
      <c r="N31" s="504"/>
      <c r="O31" s="504"/>
      <c r="P31" s="505"/>
      <c r="Q31" s="504" t="s">
        <v>2053</v>
      </c>
      <c r="R31" s="504"/>
      <c r="S31" s="504" t="s">
        <v>863</v>
      </c>
      <c r="T31" s="506"/>
      <c r="U31" s="504"/>
      <c r="V31" s="507"/>
      <c r="W31" s="507"/>
      <c r="X31" s="232"/>
      <c r="Y31" s="513"/>
      <c r="Z31" s="504"/>
      <c r="AA31" s="508"/>
      <c r="AB31" s="504"/>
      <c r="AC31" s="506"/>
      <c r="AD31" s="506"/>
    </row>
    <row r="32" spans="1:30" s="224" customFormat="1" ht="13.5" customHeight="1">
      <c r="A32" s="225">
        <v>24</v>
      </c>
      <c r="B32" s="217" t="s">
        <v>2088</v>
      </c>
      <c r="C32" s="512"/>
      <c r="D32" s="241"/>
      <c r="E32" s="241"/>
      <c r="F32" s="241"/>
      <c r="G32" s="241"/>
      <c r="H32" s="504" t="s">
        <v>2089</v>
      </c>
      <c r="I32" s="503"/>
      <c r="J32" s="504"/>
      <c r="K32" s="503"/>
      <c r="L32" s="504"/>
      <c r="M32" s="504"/>
      <c r="N32" s="504"/>
      <c r="O32" s="504"/>
      <c r="P32" s="505"/>
      <c r="Q32" s="504" t="s">
        <v>2053</v>
      </c>
      <c r="R32" s="504"/>
      <c r="S32" s="504" t="s">
        <v>2090</v>
      </c>
      <c r="T32" s="506"/>
      <c r="U32" s="504"/>
      <c r="V32" s="507"/>
      <c r="W32" s="507"/>
      <c r="X32" s="232"/>
      <c r="Y32" s="513"/>
      <c r="Z32" s="504"/>
      <c r="AA32" s="508"/>
      <c r="AB32" s="504"/>
      <c r="AC32" s="506"/>
      <c r="AD32" s="506"/>
    </row>
    <row r="33" spans="1:1017" s="224" customFormat="1" ht="13.5" customHeight="1">
      <c r="A33" s="225">
        <v>25</v>
      </c>
      <c r="B33" s="217" t="s">
        <v>2091</v>
      </c>
      <c r="C33" s="512"/>
      <c r="D33" s="241"/>
      <c r="E33" s="241"/>
      <c r="F33" s="241"/>
      <c r="G33" s="241"/>
      <c r="H33" s="504" t="s">
        <v>2092</v>
      </c>
      <c r="I33" s="503"/>
      <c r="J33" s="504"/>
      <c r="K33" s="503"/>
      <c r="L33" s="504"/>
      <c r="M33" s="504"/>
      <c r="N33" s="504"/>
      <c r="O33" s="504"/>
      <c r="P33" s="505"/>
      <c r="Q33" s="504" t="s">
        <v>2053</v>
      </c>
      <c r="R33" s="504"/>
      <c r="S33" s="504" t="s">
        <v>2090</v>
      </c>
      <c r="T33" s="506"/>
      <c r="U33" s="504"/>
      <c r="V33" s="507"/>
      <c r="W33" s="507"/>
      <c r="X33" s="232"/>
      <c r="Y33" s="513"/>
      <c r="Z33" s="504"/>
      <c r="AA33" s="508"/>
      <c r="AB33" s="504"/>
      <c r="AC33" s="506"/>
      <c r="AD33" s="506"/>
    </row>
    <row r="34" spans="1:1017" s="224" customFormat="1" ht="13.5" customHeight="1">
      <c r="A34" s="225">
        <v>26</v>
      </c>
      <c r="B34" s="217" t="s">
        <v>2093</v>
      </c>
      <c r="C34" s="512"/>
      <c r="D34" s="241"/>
      <c r="E34" s="241"/>
      <c r="F34" s="241"/>
      <c r="G34" s="241"/>
      <c r="H34" s="504" t="s">
        <v>2094</v>
      </c>
      <c r="I34" s="503"/>
      <c r="J34" s="504"/>
      <c r="K34" s="503"/>
      <c r="L34" s="504"/>
      <c r="M34" s="504"/>
      <c r="N34" s="504"/>
      <c r="O34" s="504"/>
      <c r="P34" s="505"/>
      <c r="Q34" s="504" t="s">
        <v>2053</v>
      </c>
      <c r="R34" s="504"/>
      <c r="S34" s="504" t="s">
        <v>2090</v>
      </c>
      <c r="T34" s="506"/>
      <c r="U34" s="504"/>
      <c r="V34" s="507"/>
      <c r="W34" s="507"/>
      <c r="X34" s="232"/>
      <c r="Y34" s="513"/>
      <c r="Z34" s="504"/>
      <c r="AA34" s="508"/>
      <c r="AB34" s="504"/>
      <c r="AC34" s="506"/>
      <c r="AD34" s="506"/>
    </row>
    <row r="35" spans="1:1017" s="224" customFormat="1" ht="13.5" customHeight="1">
      <c r="A35" s="225">
        <v>27</v>
      </c>
      <c r="B35" s="217" t="s">
        <v>2095</v>
      </c>
      <c r="C35" s="512"/>
      <c r="D35" s="241"/>
      <c r="E35" s="241"/>
      <c r="F35" s="241"/>
      <c r="G35" s="241"/>
      <c r="H35" s="504" t="s">
        <v>2096</v>
      </c>
      <c r="I35" s="503"/>
      <c r="J35" s="504"/>
      <c r="K35" s="503"/>
      <c r="L35" s="504"/>
      <c r="M35" s="504"/>
      <c r="N35" s="504"/>
      <c r="O35" s="504"/>
      <c r="P35" s="505"/>
      <c r="Q35" s="504" t="s">
        <v>2053</v>
      </c>
      <c r="R35" s="504"/>
      <c r="S35" s="504" t="s">
        <v>2090</v>
      </c>
      <c r="T35" s="506"/>
      <c r="U35" s="504"/>
      <c r="V35" s="507"/>
      <c r="W35" s="507"/>
      <c r="X35" s="232"/>
      <c r="Y35" s="513"/>
      <c r="Z35" s="504"/>
      <c r="AA35" s="508"/>
      <c r="AB35" s="504"/>
      <c r="AC35" s="506"/>
      <c r="AD35" s="506"/>
    </row>
    <row r="36" spans="1:1017" s="224" customFormat="1" ht="13.5" customHeight="1">
      <c r="A36" s="225">
        <v>28</v>
      </c>
      <c r="B36" s="217" t="s">
        <v>2097</v>
      </c>
      <c r="C36" s="512"/>
      <c r="D36" s="241"/>
      <c r="E36" s="241"/>
      <c r="F36" s="241"/>
      <c r="G36" s="241"/>
      <c r="H36" s="263" t="s">
        <v>2098</v>
      </c>
      <c r="I36" s="503"/>
      <c r="J36" s="504"/>
      <c r="K36" s="504"/>
      <c r="L36" s="504"/>
      <c r="M36" s="504"/>
      <c r="N36" s="504"/>
      <c r="O36" s="504"/>
      <c r="P36" s="505"/>
      <c r="Q36" s="504" t="s">
        <v>2053</v>
      </c>
      <c r="R36" s="504"/>
      <c r="S36" s="504" t="s">
        <v>2090</v>
      </c>
      <c r="T36" s="506"/>
      <c r="U36" s="504"/>
      <c r="V36" s="507"/>
      <c r="W36" s="507"/>
      <c r="X36" s="232"/>
      <c r="Y36" s="513"/>
      <c r="Z36" s="266"/>
      <c r="AA36" s="508"/>
      <c r="AB36" s="504"/>
      <c r="AC36" s="506"/>
      <c r="AD36" s="506"/>
    </row>
    <row r="37" spans="1:1017" s="224" customFormat="1" ht="13.5" customHeight="1">
      <c r="A37" s="225">
        <v>29</v>
      </c>
      <c r="B37" s="217" t="s">
        <v>2099</v>
      </c>
      <c r="C37" s="512"/>
      <c r="D37" s="241"/>
      <c r="E37" s="241"/>
      <c r="F37" s="241"/>
      <c r="G37" s="241"/>
      <c r="H37" s="504" t="s">
        <v>2100</v>
      </c>
      <c r="I37" s="503"/>
      <c r="J37" s="504"/>
      <c r="K37" s="504"/>
      <c r="L37" s="504"/>
      <c r="M37" s="504"/>
      <c r="N37" s="504"/>
      <c r="O37" s="504"/>
      <c r="P37" s="505"/>
      <c r="Q37" s="504" t="s">
        <v>2053</v>
      </c>
      <c r="R37" s="504"/>
      <c r="S37" s="504" t="s">
        <v>2090</v>
      </c>
      <c r="T37" s="506"/>
      <c r="U37" s="504"/>
      <c r="V37" s="507"/>
      <c r="W37" s="507"/>
      <c r="X37" s="232"/>
      <c r="Y37" s="513"/>
      <c r="Z37" s="266"/>
      <c r="AA37" s="508"/>
      <c r="AB37" s="504"/>
      <c r="AC37" s="506"/>
      <c r="AD37" s="506"/>
    </row>
    <row r="38" spans="1:1017" s="224" customFormat="1" ht="13.5" customHeight="1">
      <c r="A38" s="225">
        <v>30</v>
      </c>
      <c r="B38" s="217" t="s">
        <v>2101</v>
      </c>
      <c r="C38" s="512"/>
      <c r="D38" s="512"/>
      <c r="E38" s="241"/>
      <c r="F38" s="241"/>
      <c r="G38" s="241"/>
      <c r="H38" s="263" t="s">
        <v>2102</v>
      </c>
      <c r="I38" s="503"/>
      <c r="J38" s="504"/>
      <c r="K38" s="503"/>
      <c r="L38" s="504"/>
      <c r="M38" s="504"/>
      <c r="N38" s="504"/>
      <c r="O38" s="504"/>
      <c r="P38" s="505"/>
      <c r="Q38" s="504" t="s">
        <v>2053</v>
      </c>
      <c r="R38" s="504"/>
      <c r="S38" s="504" t="s">
        <v>2090</v>
      </c>
      <c r="T38" s="374"/>
      <c r="U38" s="374"/>
      <c r="V38" s="507"/>
      <c r="W38" s="507"/>
      <c r="X38" s="232"/>
      <c r="Y38" s="387"/>
      <c r="Z38" s="504"/>
      <c r="AA38" s="508"/>
      <c r="AB38" s="504"/>
      <c r="AC38" s="506"/>
      <c r="AD38" s="506"/>
    </row>
    <row r="39" spans="1:1017" s="224" customFormat="1" ht="13.5" customHeight="1">
      <c r="A39" s="225">
        <v>31</v>
      </c>
      <c r="B39" s="217" t="s">
        <v>2103</v>
      </c>
      <c r="C39" s="512"/>
      <c r="D39" s="512"/>
      <c r="E39" s="241"/>
      <c r="F39" s="241"/>
      <c r="G39" s="241"/>
      <c r="H39" s="504" t="s">
        <v>2104</v>
      </c>
      <c r="I39" s="503"/>
      <c r="J39" s="504"/>
      <c r="K39" s="503"/>
      <c r="L39" s="504"/>
      <c r="M39" s="504"/>
      <c r="N39" s="504"/>
      <c r="O39" s="504"/>
      <c r="P39" s="505"/>
      <c r="Q39" s="504" t="s">
        <v>2053</v>
      </c>
      <c r="R39" s="504"/>
      <c r="S39" s="504" t="s">
        <v>2090</v>
      </c>
      <c r="T39" s="506"/>
      <c r="U39" s="263"/>
      <c r="V39" s="507"/>
      <c r="W39" s="507"/>
      <c r="X39" s="232"/>
      <c r="Y39" s="392"/>
      <c r="Z39" s="263"/>
      <c r="AA39" s="508"/>
      <c r="AB39" s="504"/>
      <c r="AC39" s="506"/>
      <c r="AD39" s="506"/>
    </row>
    <row r="40" spans="1:1017" s="224" customFormat="1" ht="13.5" customHeight="1">
      <c r="A40" s="225">
        <v>32</v>
      </c>
      <c r="B40" s="217" t="s">
        <v>2105</v>
      </c>
      <c r="C40" s="512"/>
      <c r="D40" s="241"/>
      <c r="E40" s="241"/>
      <c r="F40" s="241"/>
      <c r="G40" s="241"/>
      <c r="H40" s="504" t="s">
        <v>2106</v>
      </c>
      <c r="I40" s="503"/>
      <c r="J40" s="504"/>
      <c r="K40" s="503"/>
      <c r="L40" s="504"/>
      <c r="M40" s="504"/>
      <c r="N40" s="504"/>
      <c r="O40" s="504"/>
      <c r="P40" s="505"/>
      <c r="Q40" s="504" t="s">
        <v>2053</v>
      </c>
      <c r="R40" s="504"/>
      <c r="S40" s="504" t="s">
        <v>2090</v>
      </c>
      <c r="T40" s="506"/>
      <c r="U40" s="504"/>
      <c r="V40" s="507"/>
      <c r="W40" s="507"/>
      <c r="X40" s="232"/>
      <c r="Y40" s="513"/>
      <c r="Z40" s="504"/>
      <c r="AA40" s="508"/>
      <c r="AB40" s="504"/>
      <c r="AC40" s="506"/>
      <c r="AD40" s="506"/>
    </row>
    <row r="41" spans="1:1017" s="224" customFormat="1" ht="12" customHeight="1">
      <c r="A41" s="225">
        <f>SUBTOTAL(103,createCase2[ID])</f>
        <v>32</v>
      </c>
      <c r="C41" s="225">
        <f>SUBTOTAL(103,createCase2[Donnée (Niveau 2)])</f>
        <v>0</v>
      </c>
      <c r="D41" s="225">
        <f>SUBTOTAL(103,createCase2[Donnée (Niveau 3)])</f>
        <v>0</v>
      </c>
      <c r="E41" s="225">
        <f>SUBTOTAL(103,createCase2[Donnée (Niveau 4)])</f>
        <v>0</v>
      </c>
      <c r="F41" s="225">
        <f>SUBTOTAL(103,createCase2[Donnée (Niveau 5)])</f>
        <v>0</v>
      </c>
      <c r="G41" s="225">
        <f>SUBTOTAL(103,createCase2[Donnée (Niveau 6)])</f>
        <v>0</v>
      </c>
      <c r="H41" s="225">
        <f>SUBTOTAL(103,createCase2[Description])</f>
        <v>31</v>
      </c>
      <c r="I41" s="225">
        <f>SUBTOTAL(103,createCase2[Exemples])</f>
        <v>0</v>
      </c>
      <c r="J41" s="225">
        <f>SUBTOTAL(103,createCase2[Balise NexSIS])</f>
        <v>0</v>
      </c>
      <c r="K41" s="239">
        <f>SUBTOTAL(103,createCase2[Nouvelle balise])</f>
        <v>0</v>
      </c>
      <c r="L41" s="225">
        <f>SUBTOTAL(103,createCase2[Nantes - balise])</f>
        <v>0</v>
      </c>
      <c r="M41" s="225">
        <f>SUBTOTAL(103,createCase2[Nantes - description])</f>
        <v>0</v>
      </c>
      <c r="N41" s="225">
        <f>SUBTOTAL(103,createCase2[GT399])</f>
        <v>0</v>
      </c>
      <c r="O41" s="225">
        <f>SUBTOTAL(103,createCase2[GT399 description])</f>
        <v>0</v>
      </c>
      <c r="P41" s="234">
        <f>SUBTOTAL(103,createCase2[Priorisation])</f>
        <v>0</v>
      </c>
      <c r="Q41" s="225"/>
      <c r="R41" s="225">
        <f>SUBTOTAL(103,createCase2[Objet])</f>
        <v>0</v>
      </c>
      <c r="S41" s="225">
        <f>SUBTOTAL(103,createCase2[Format (ou type)])</f>
        <v>28</v>
      </c>
      <c r="T41" s="274"/>
      <c r="U41" s="225"/>
      <c r="V41" s="225"/>
      <c r="W41" s="225"/>
      <c r="Y41" s="271">
        <f>SUBTOTAL(103,createCase2[Commentaire Hub Santé])</f>
        <v>0</v>
      </c>
      <c r="Z41" s="225">
        <f>SUBTOTAL(103,createCase2[Commentaire Philippe Dreyfus])</f>
        <v>0</v>
      </c>
      <c r="AA41" s="239"/>
      <c r="AB41" s="225">
        <f>SUBTOTAL(103,createCase2[Commentaire Yann Penverne])</f>
        <v>0</v>
      </c>
      <c r="AC41" s="225">
        <f>SUBTOTAL(103,createCase2[NexSIS])-COUNTIFS(createCase2[NexSIS],"=X")</f>
        <v>0</v>
      </c>
      <c r="AD41" s="225">
        <f>SUBTOTAL(103,createCase2[Métier])-COUNTIFS(createCase2[Métier],"=X")</f>
        <v>0</v>
      </c>
    </row>
    <row r="42" spans="1:1017" s="128" customFormat="1" ht="12" customHeight="1">
      <c r="A42" s="3"/>
      <c r="B42" s="3"/>
      <c r="C42" s="131"/>
      <c r="D42" s="131"/>
      <c r="E42" s="131"/>
      <c r="F42" s="131"/>
      <c r="G42" s="5"/>
      <c r="H42" s="155"/>
      <c r="I42" s="225"/>
      <c r="J42" s="5"/>
      <c r="K42" s="155"/>
      <c r="L42" s="5"/>
      <c r="M42" s="5"/>
      <c r="N42" s="5"/>
      <c r="O42" s="5"/>
      <c r="P42" s="188"/>
      <c r="Q42" s="5"/>
      <c r="R42" s="5"/>
      <c r="S42" s="5"/>
      <c r="T42" s="56"/>
      <c r="U42" s="56"/>
      <c r="V42" s="56"/>
      <c r="W42" s="56"/>
      <c r="X42"/>
      <c r="Y42" s="178"/>
      <c r="Z42" s="5"/>
      <c r="AA42" s="159"/>
      <c r="AB42" s="56"/>
      <c r="AD42" s="56"/>
      <c r="AMA42"/>
      <c r="AMB42"/>
      <c r="AMC42"/>
    </row>
    <row r="43" spans="1:1017" s="128" customFormat="1" ht="12" customHeight="1">
      <c r="A43" s="129"/>
      <c r="B43" s="129"/>
      <c r="C43" s="129"/>
      <c r="D43" s="129"/>
      <c r="E43" s="129"/>
      <c r="F43" s="129"/>
      <c r="G43" s="96"/>
      <c r="H43" s="96"/>
      <c r="I43" s="225"/>
      <c r="J43" s="96"/>
      <c r="K43" s="159"/>
      <c r="L43" s="96"/>
      <c r="M43" s="96"/>
      <c r="N43" s="96"/>
      <c r="O43" s="96"/>
      <c r="P43" s="173"/>
      <c r="Q43" s="96"/>
      <c r="R43" s="96"/>
      <c r="S43" s="96"/>
      <c r="T43" s="278"/>
      <c r="U43" s="96"/>
      <c r="V43" s="96"/>
      <c r="W43" s="96"/>
      <c r="X43"/>
      <c r="Y43" s="179"/>
      <c r="Z43" s="96"/>
      <c r="AA43" s="159"/>
      <c r="AB43" s="96"/>
      <c r="AD43" s="96"/>
      <c r="AMA43"/>
      <c r="AMB43"/>
      <c r="AMC43"/>
    </row>
    <row r="44" spans="1:1017" s="128" customFormat="1" ht="12" customHeight="1">
      <c r="I44" s="224"/>
      <c r="P44" s="174"/>
      <c r="R44" s="96"/>
      <c r="S44" s="96"/>
      <c r="T44" s="278"/>
      <c r="U44" s="96"/>
      <c r="V44" s="96"/>
      <c r="W44" s="96"/>
      <c r="X44"/>
      <c r="Y44" s="179"/>
      <c r="Z44" s="96"/>
      <c r="AA44" s="159"/>
      <c r="AB44" s="96"/>
      <c r="AD44" s="96"/>
      <c r="AMA44"/>
      <c r="AMB44"/>
      <c r="AMC44"/>
    </row>
    <row r="45" spans="1:1017" s="128" customFormat="1" ht="12" customHeight="1">
      <c r="I45" s="224"/>
      <c r="P45" s="174"/>
      <c r="R45" s="96"/>
      <c r="S45" s="96"/>
      <c r="T45" s="278"/>
      <c r="U45" s="96"/>
      <c r="V45" s="96"/>
      <c r="W45" s="96"/>
      <c r="X45"/>
      <c r="Y45" s="179"/>
      <c r="Z45" s="96"/>
      <c r="AA45" s="159"/>
      <c r="AB45" s="96"/>
      <c r="AD45" s="96"/>
      <c r="AMA45"/>
      <c r="AMB45"/>
      <c r="AMC45"/>
    </row>
    <row r="46" spans="1:1017" s="128" customFormat="1" ht="12" customHeight="1">
      <c r="I46" s="224"/>
      <c r="P46" s="174"/>
      <c r="R46" s="96"/>
      <c r="S46" s="96"/>
      <c r="T46" s="278"/>
      <c r="U46" s="96"/>
      <c r="V46" s="96"/>
      <c r="W46" s="96"/>
      <c r="X46"/>
      <c r="Y46" s="179"/>
      <c r="Z46" s="96"/>
      <c r="AA46" s="159"/>
      <c r="AB46" s="96"/>
      <c r="AD46" s="96"/>
      <c r="AMA46"/>
      <c r="AMB46"/>
      <c r="AMC46"/>
    </row>
    <row r="47" spans="1:1017" s="128" customFormat="1" ht="12" customHeight="1">
      <c r="I47" s="224"/>
      <c r="P47" s="174"/>
      <c r="R47" s="96"/>
      <c r="S47" s="96"/>
      <c r="T47" s="278"/>
      <c r="U47" s="96"/>
      <c r="V47" s="96"/>
      <c r="W47" s="96"/>
      <c r="X47"/>
      <c r="Y47" s="179"/>
      <c r="Z47" s="96"/>
      <c r="AA47" s="159"/>
      <c r="AB47" s="96"/>
      <c r="AD47" s="96"/>
      <c r="AMA47"/>
      <c r="AMB47"/>
      <c r="AMC47"/>
    </row>
    <row r="48" spans="1:1017" ht="12" customHeight="1">
      <c r="G48" s="128"/>
      <c r="H48" s="128"/>
      <c r="I48" s="224"/>
      <c r="J48" s="128"/>
      <c r="K48" s="128"/>
      <c r="L48" s="128"/>
      <c r="M48" s="128"/>
      <c r="N48" s="128"/>
      <c r="O48" s="128"/>
      <c r="P48" s="174"/>
      <c r="Q48" s="128"/>
    </row>
    <row r="49" spans="1:1016" s="117" customFormat="1" ht="12" customHeight="1">
      <c r="A49" s="128"/>
      <c r="B49" s="128"/>
      <c r="C49" s="128"/>
      <c r="D49" s="128"/>
      <c r="E49" s="128"/>
      <c r="F49" s="128"/>
      <c r="G49" s="96"/>
      <c r="H49" s="96"/>
      <c r="I49" s="225"/>
      <c r="J49" s="96"/>
      <c r="K49" s="159"/>
      <c r="L49" s="96"/>
      <c r="M49" s="96"/>
      <c r="N49" s="96"/>
      <c r="O49" s="96"/>
      <c r="P49" s="173"/>
      <c r="Q49" s="96"/>
      <c r="R49" s="96"/>
      <c r="S49" s="96"/>
      <c r="T49" s="278"/>
      <c r="U49" s="96"/>
      <c r="V49" s="96"/>
      <c r="W49" s="96"/>
      <c r="X49"/>
      <c r="Y49" s="179"/>
      <c r="Z49" s="96"/>
      <c r="AA49" s="161"/>
      <c r="AB49" s="96"/>
      <c r="AD49" s="96"/>
      <c r="AMB49"/>
    </row>
    <row r="50" spans="1:1016" ht="12" customHeight="1">
      <c r="A50" s="117"/>
      <c r="B50" s="117"/>
      <c r="C50" s="117"/>
      <c r="D50" s="117"/>
      <c r="E50" s="117"/>
      <c r="F50" s="117"/>
      <c r="G50" s="117"/>
      <c r="H50" s="117"/>
      <c r="I50" s="251"/>
      <c r="J50" s="117"/>
      <c r="K50" s="117"/>
      <c r="L50" s="117"/>
      <c r="M50" s="117"/>
      <c r="N50" s="117"/>
      <c r="O50" s="117"/>
      <c r="P50" s="189"/>
      <c r="Q50" s="117"/>
    </row>
    <row r="51" spans="1:1016" ht="12" customHeight="1">
      <c r="R51" s="112"/>
      <c r="S51" s="112"/>
      <c r="T51" s="125"/>
      <c r="U51" s="112"/>
      <c r="V51" s="112"/>
      <c r="W51" s="112"/>
      <c r="Y51" s="180"/>
      <c r="Z51" s="112"/>
      <c r="AB51" s="112"/>
      <c r="AD51" s="112"/>
    </row>
    <row r="63" spans="1:1016" ht="12" customHeight="1">
      <c r="A63" s="130"/>
      <c r="B63" s="130"/>
      <c r="C63" s="130"/>
      <c r="D63" s="130"/>
      <c r="E63" s="130"/>
      <c r="F63" s="130"/>
    </row>
    <row r="64" spans="1:1016" ht="12" customHeight="1">
      <c r="A64" s="130"/>
      <c r="B64" s="130"/>
      <c r="C64" s="130"/>
      <c r="D64" s="130"/>
      <c r="E64" s="130"/>
      <c r="F64" s="130"/>
    </row>
    <row r="65" spans="1:1016" ht="12" customHeight="1">
      <c r="A65" s="130"/>
      <c r="B65" s="130"/>
      <c r="C65" s="130"/>
      <c r="D65" s="130"/>
      <c r="E65" s="130"/>
      <c r="F65" s="130"/>
    </row>
    <row r="66" spans="1:1016" ht="12" customHeight="1">
      <c r="A66" s="130"/>
      <c r="B66" s="130"/>
      <c r="C66" s="130"/>
      <c r="D66" s="130"/>
      <c r="E66" s="130"/>
      <c r="F66" s="130"/>
    </row>
    <row r="67" spans="1:1016" ht="12" customHeight="1">
      <c r="A67" s="130"/>
      <c r="B67" s="130"/>
      <c r="C67" s="130"/>
      <c r="D67" s="130"/>
      <c r="E67" s="130"/>
      <c r="F67" s="130"/>
    </row>
    <row r="68" spans="1:1016" ht="12" customHeight="1">
      <c r="A68" s="130"/>
      <c r="B68" s="130"/>
      <c r="C68" s="130"/>
      <c r="D68" s="130"/>
      <c r="E68" s="130"/>
      <c r="F68" s="130"/>
    </row>
    <row r="69" spans="1:1016" ht="12" customHeight="1">
      <c r="A69" s="130"/>
      <c r="B69" s="130"/>
      <c r="C69" s="130"/>
      <c r="D69" s="130"/>
      <c r="E69" s="130"/>
      <c r="F69" s="130"/>
    </row>
    <row r="70" spans="1:1016" ht="12" customHeight="1">
      <c r="A70" s="130"/>
      <c r="B70" s="130"/>
      <c r="C70" s="130"/>
      <c r="D70" s="130"/>
      <c r="E70" s="130"/>
      <c r="F70" s="130"/>
    </row>
    <row r="71" spans="1:1016" ht="12" customHeight="1">
      <c r="A71" s="129"/>
      <c r="B71" s="129"/>
      <c r="C71" s="129"/>
      <c r="D71" s="129"/>
      <c r="E71" s="129"/>
      <c r="F71" s="129"/>
    </row>
    <row r="72" spans="1:1016" ht="12" customHeight="1">
      <c r="A72" s="129"/>
      <c r="B72" s="129"/>
      <c r="C72" s="129"/>
      <c r="D72" s="129"/>
      <c r="E72" s="129"/>
      <c r="F72" s="129"/>
    </row>
    <row r="73" spans="1:1016" ht="12" customHeight="1">
      <c r="A73" s="129"/>
      <c r="B73" s="129"/>
      <c r="C73" s="129"/>
      <c r="D73" s="129"/>
      <c r="E73" s="129"/>
      <c r="F73" s="129"/>
    </row>
    <row r="74" spans="1:1016" ht="12" customHeight="1">
      <c r="A74" s="129"/>
      <c r="B74" s="129"/>
      <c r="C74" s="129"/>
      <c r="D74" s="129"/>
      <c r="E74" s="129"/>
      <c r="F74" s="129"/>
    </row>
    <row r="75" spans="1:1016" ht="12" customHeight="1">
      <c r="A75" s="129"/>
      <c r="B75" s="129"/>
      <c r="C75" s="129"/>
      <c r="D75" s="129"/>
      <c r="E75" s="129"/>
      <c r="F75" s="129"/>
    </row>
    <row r="76" spans="1:1016" ht="12" customHeight="1">
      <c r="A76" s="129"/>
      <c r="B76" s="129"/>
      <c r="C76" s="129"/>
      <c r="D76" s="129"/>
      <c r="E76" s="129"/>
      <c r="F76" s="129"/>
    </row>
    <row r="77" spans="1:1016" ht="12" customHeight="1">
      <c r="A77" s="129"/>
      <c r="B77" s="129"/>
      <c r="C77" s="129"/>
      <c r="D77" s="129"/>
      <c r="E77" s="129"/>
      <c r="F77" s="129"/>
    </row>
    <row r="78" spans="1:1016" s="117" customFormat="1" ht="12" customHeight="1">
      <c r="A78" s="129"/>
      <c r="B78" s="129"/>
      <c r="C78" s="129"/>
      <c r="D78" s="129"/>
      <c r="E78" s="129"/>
      <c r="F78" s="129"/>
      <c r="G78" s="96"/>
      <c r="H78" s="96"/>
      <c r="I78" s="225"/>
      <c r="J78" s="96"/>
      <c r="K78" s="159"/>
      <c r="L78" s="96"/>
      <c r="M78" s="96"/>
      <c r="N78" s="96"/>
      <c r="O78" s="96"/>
      <c r="P78" s="173"/>
      <c r="Q78" s="96"/>
      <c r="R78" s="96"/>
      <c r="S78" s="96"/>
      <c r="T78" s="278"/>
      <c r="U78" s="96"/>
      <c r="V78" s="96"/>
      <c r="W78" s="96"/>
      <c r="X78"/>
      <c r="Y78" s="179"/>
      <c r="Z78" s="96"/>
      <c r="AA78" s="161"/>
      <c r="AB78" s="96"/>
      <c r="AD78" s="96"/>
      <c r="AMB78"/>
    </row>
    <row r="79" spans="1:1016" s="117" customFormat="1" ht="12" customHeight="1">
      <c r="A79" s="130"/>
      <c r="B79" s="130"/>
      <c r="C79" s="130"/>
      <c r="D79" s="130"/>
      <c r="E79" s="130"/>
      <c r="F79" s="130"/>
      <c r="G79" s="96"/>
      <c r="H79" s="96"/>
      <c r="I79" s="225"/>
      <c r="J79" s="96"/>
      <c r="K79" s="159"/>
      <c r="L79" s="96"/>
      <c r="M79" s="96"/>
      <c r="N79" s="96"/>
      <c r="O79" s="96"/>
      <c r="P79" s="173"/>
      <c r="Q79" s="96"/>
      <c r="R79" s="96"/>
      <c r="S79" s="96"/>
      <c r="T79" s="278"/>
      <c r="U79" s="96"/>
      <c r="V79" s="96"/>
      <c r="W79" s="96"/>
      <c r="X79"/>
      <c r="Y79" s="179"/>
      <c r="Z79" s="96"/>
      <c r="AA79" s="161"/>
      <c r="AB79" s="96"/>
      <c r="AD79" s="96"/>
      <c r="AMB79"/>
    </row>
    <row r="80" spans="1:1016" s="117" customFormat="1" ht="12" customHeight="1">
      <c r="A80" s="123"/>
      <c r="B80" s="123"/>
      <c r="C80" s="123"/>
      <c r="D80" s="123"/>
      <c r="E80" s="123"/>
      <c r="F80" s="123"/>
      <c r="G80" s="112"/>
      <c r="H80" s="112"/>
      <c r="I80" s="277"/>
      <c r="J80" s="112"/>
      <c r="K80" s="161"/>
      <c r="L80" s="112"/>
      <c r="M80" s="112"/>
      <c r="N80" s="112"/>
      <c r="O80" s="112"/>
      <c r="P80" s="190"/>
      <c r="Q80" s="112"/>
      <c r="R80" s="112"/>
      <c r="S80" s="112"/>
      <c r="T80" s="125"/>
      <c r="U80" s="112"/>
      <c r="V80" s="112"/>
      <c r="W80" s="112"/>
      <c r="X80"/>
      <c r="Y80" s="180"/>
      <c r="Z80" s="112"/>
      <c r="AA80" s="161"/>
      <c r="AB80" s="112"/>
      <c r="AD80" s="112"/>
      <c r="AMB80"/>
    </row>
    <row r="81" spans="1:1016" s="117" customFormat="1" ht="12" customHeight="1">
      <c r="A81" s="123"/>
      <c r="B81" s="123"/>
      <c r="C81" s="123"/>
      <c r="D81" s="123"/>
      <c r="E81" s="123"/>
      <c r="F81" s="123"/>
      <c r="G81" s="112"/>
      <c r="H81" s="112"/>
      <c r="I81" s="277"/>
      <c r="J81" s="112"/>
      <c r="K81" s="161"/>
      <c r="L81" s="112"/>
      <c r="M81" s="112"/>
      <c r="N81" s="112"/>
      <c r="O81" s="112"/>
      <c r="P81" s="190"/>
      <c r="Q81" s="112"/>
      <c r="R81" s="112"/>
      <c r="S81" s="112"/>
      <c r="T81" s="125"/>
      <c r="U81" s="112"/>
      <c r="V81" s="112"/>
      <c r="W81" s="112"/>
      <c r="X81"/>
      <c r="Y81" s="180"/>
      <c r="Z81" s="112"/>
      <c r="AA81" s="161"/>
      <c r="AB81" s="112"/>
      <c r="AD81" s="112"/>
      <c r="AMB81"/>
    </row>
    <row r="82" spans="1:1016" s="117" customFormat="1" ht="12" customHeight="1">
      <c r="A82" s="123"/>
      <c r="B82" s="123"/>
      <c r="C82" s="123"/>
      <c r="D82" s="123"/>
      <c r="E82" s="123"/>
      <c r="F82" s="123"/>
      <c r="G82" s="112"/>
      <c r="H82" s="112"/>
      <c r="I82" s="277"/>
      <c r="J82" s="112"/>
      <c r="K82" s="161"/>
      <c r="L82" s="112"/>
      <c r="M82" s="112"/>
      <c r="N82" s="112"/>
      <c r="O82" s="112"/>
      <c r="P82" s="190"/>
      <c r="Q82" s="112"/>
      <c r="R82" s="112"/>
      <c r="S82" s="112"/>
      <c r="T82" s="125"/>
      <c r="U82" s="112"/>
      <c r="V82" s="112"/>
      <c r="W82" s="112"/>
      <c r="X82"/>
      <c r="Y82" s="180"/>
      <c r="Z82" s="112"/>
      <c r="AA82" s="161"/>
      <c r="AB82" s="112"/>
      <c r="AD82" s="112"/>
      <c r="AMB82"/>
    </row>
    <row r="83" spans="1:1016" s="117" customFormat="1" ht="12" customHeight="1">
      <c r="A83" s="123"/>
      <c r="B83" s="123"/>
      <c r="C83" s="123"/>
      <c r="D83" s="123"/>
      <c r="E83" s="123"/>
      <c r="F83" s="123"/>
      <c r="G83" s="112"/>
      <c r="H83" s="112"/>
      <c r="I83" s="277"/>
      <c r="J83" s="112"/>
      <c r="K83" s="161"/>
      <c r="L83" s="112"/>
      <c r="M83" s="112"/>
      <c r="N83" s="112"/>
      <c r="O83" s="112"/>
      <c r="P83" s="190"/>
      <c r="Q83" s="112"/>
      <c r="R83" s="112"/>
      <c r="S83" s="112"/>
      <c r="T83" s="125"/>
      <c r="U83" s="112"/>
      <c r="V83" s="112"/>
      <c r="W83" s="112"/>
      <c r="X83"/>
      <c r="Y83" s="180"/>
      <c r="Z83" s="112"/>
      <c r="AA83" s="161"/>
      <c r="AB83" s="112"/>
      <c r="AD83" s="112"/>
      <c r="AMB83"/>
    </row>
    <row r="84" spans="1:1016" s="117" customFormat="1" ht="12" customHeight="1">
      <c r="A84" s="123"/>
      <c r="B84" s="123"/>
      <c r="C84" s="123"/>
      <c r="D84" s="123"/>
      <c r="E84" s="123"/>
      <c r="F84" s="123"/>
      <c r="G84" s="112"/>
      <c r="H84" s="112"/>
      <c r="I84" s="277"/>
      <c r="J84" s="112"/>
      <c r="K84" s="161"/>
      <c r="L84" s="112"/>
      <c r="M84" s="112"/>
      <c r="N84" s="112"/>
      <c r="O84" s="112"/>
      <c r="P84" s="190"/>
      <c r="Q84" s="112"/>
      <c r="R84" s="112"/>
      <c r="S84" s="112"/>
      <c r="T84" s="125"/>
      <c r="U84" s="112"/>
      <c r="V84" s="112"/>
      <c r="W84" s="112"/>
      <c r="X84"/>
      <c r="Y84" s="180"/>
      <c r="Z84" s="112"/>
      <c r="AA84" s="161"/>
      <c r="AB84" s="112"/>
      <c r="AD84" s="112"/>
      <c r="AMB84"/>
    </row>
    <row r="85" spans="1:1016" ht="12" customHeight="1">
      <c r="A85" s="123"/>
      <c r="B85" s="123"/>
      <c r="C85" s="123"/>
      <c r="D85" s="123"/>
      <c r="E85" s="123"/>
      <c r="F85" s="123"/>
      <c r="G85" s="112"/>
      <c r="H85" s="112"/>
      <c r="I85" s="277"/>
      <c r="J85" s="112"/>
      <c r="K85" s="161"/>
      <c r="L85" s="112"/>
      <c r="M85" s="112"/>
      <c r="N85" s="112"/>
      <c r="O85" s="112"/>
      <c r="P85" s="190"/>
      <c r="Q85" s="112"/>
      <c r="R85" s="112"/>
      <c r="S85" s="112"/>
      <c r="T85" s="125"/>
      <c r="U85" s="112"/>
      <c r="V85" s="112"/>
      <c r="W85" s="112"/>
      <c r="Y85" s="180"/>
      <c r="Z85" s="112"/>
      <c r="AB85" s="112"/>
      <c r="AD85" s="112"/>
    </row>
    <row r="86" spans="1:1016" ht="12" customHeight="1">
      <c r="A86" s="123"/>
      <c r="B86" s="123"/>
      <c r="C86" s="123"/>
      <c r="D86" s="123"/>
      <c r="E86" s="123"/>
      <c r="F86" s="123"/>
      <c r="G86" s="112"/>
      <c r="H86" s="112"/>
      <c r="I86" s="277"/>
      <c r="J86" s="112"/>
      <c r="K86" s="161"/>
      <c r="L86" s="112"/>
      <c r="M86" s="112"/>
      <c r="N86" s="112"/>
      <c r="O86" s="112"/>
      <c r="P86" s="190"/>
      <c r="Q86" s="112"/>
      <c r="R86" s="112"/>
      <c r="S86" s="112"/>
      <c r="T86" s="125"/>
      <c r="U86" s="112"/>
      <c r="V86" s="112"/>
      <c r="W86" s="112"/>
      <c r="Y86" s="180"/>
      <c r="Z86" s="112"/>
      <c r="AB86" s="112"/>
      <c r="AD86" s="112"/>
    </row>
    <row r="87" spans="1:1016" ht="12" customHeight="1">
      <c r="A87" s="130"/>
      <c r="B87" s="130"/>
      <c r="C87" s="130"/>
      <c r="D87" s="130"/>
      <c r="E87" s="130"/>
      <c r="F87" s="130"/>
    </row>
    <row r="88" spans="1:1016" ht="12" customHeight="1">
      <c r="A88" s="130"/>
      <c r="B88" s="130"/>
      <c r="C88" s="130"/>
      <c r="D88" s="130"/>
      <c r="E88" s="130"/>
      <c r="F88" s="130"/>
    </row>
    <row r="89" spans="1:1016" ht="12" customHeight="1">
      <c r="A89" s="130"/>
      <c r="B89" s="130"/>
      <c r="C89" s="130"/>
      <c r="D89" s="130"/>
      <c r="E89" s="130"/>
      <c r="F89" s="130"/>
    </row>
    <row r="90" spans="1:1016" ht="12" customHeight="1">
      <c r="A90" s="136"/>
      <c r="B90" s="136"/>
      <c r="C90" s="136"/>
      <c r="D90" s="136"/>
      <c r="E90" s="136"/>
      <c r="F90" s="136"/>
    </row>
    <row r="91" spans="1:1016" ht="12" customHeight="1">
      <c r="A91" s="136"/>
      <c r="B91" s="136"/>
      <c r="C91" s="136"/>
      <c r="D91" s="136"/>
      <c r="E91" s="136"/>
      <c r="F91" s="136"/>
    </row>
  </sheetData>
  <mergeCells count="3">
    <mergeCell ref="L7:O7"/>
    <mergeCell ref="V7:W7"/>
    <mergeCell ref="AC7:AD7"/>
  </mergeCells>
  <conditionalFormatting sqref="A42:F43 A63:F903">
    <cfRule type="expression" dxfId="106" priority="191">
      <formula>OR($AD42="X",$AB42="X")</formula>
    </cfRule>
    <cfRule type="expression" dxfId="105" priority="192">
      <formula>AND($AD42=1,$AB42=1)</formula>
    </cfRule>
    <cfRule type="expression" dxfId="104" priority="193">
      <formula>$AD42=1</formula>
    </cfRule>
    <cfRule type="expression" dxfId="103" priority="194">
      <formula>$AB42=1</formula>
    </cfRule>
  </conditionalFormatting>
  <conditionalFormatting sqref="A9:G9 A10:A40">
    <cfRule type="expression" dxfId="102" priority="196">
      <formula>AND($AD9=1,$AC9=1)</formula>
    </cfRule>
    <cfRule type="expression" dxfId="101" priority="197">
      <formula>$AD9=1</formula>
    </cfRule>
    <cfRule type="expression" dxfId="100" priority="198">
      <formula>$AC9=1</formula>
    </cfRule>
  </conditionalFormatting>
  <conditionalFormatting sqref="A9:G9">
    <cfRule type="expression" dxfId="99" priority="195">
      <formula>OR($AD9="X",$AC9="X")</formula>
    </cfRule>
  </conditionalFormatting>
  <conditionalFormatting sqref="A9:G40">
    <cfRule type="expression" dxfId="98" priority="199">
      <formula>AND(NOT(ISBLANK($W9)),ISBLANK($AC9),ISBLANK($AD9))</formula>
    </cfRule>
  </conditionalFormatting>
  <conditionalFormatting sqref="B10:G39">
    <cfRule type="expression" dxfId="97" priority="171">
      <formula>OR($AD10="X",$AC10="X")</formula>
    </cfRule>
  </conditionalFormatting>
  <conditionalFormatting sqref="B10:G40">
    <cfRule type="expression" dxfId="96" priority="172">
      <formula>AND($AD10=1,$AC10=1)</formula>
    </cfRule>
    <cfRule type="expression" dxfId="95" priority="173">
      <formula>$AD10=1</formula>
    </cfRule>
    <cfRule type="expression" dxfId="94" priority="174">
      <formula>$AC10=1</formula>
    </cfRule>
  </conditionalFormatting>
  <conditionalFormatting sqref="B40:G40 A10:A40">
    <cfRule type="expression" dxfId="93" priority="108">
      <formula>OR($AD10="X",$AC10="X")</formula>
    </cfRule>
  </conditionalFormatting>
  <conditionalFormatting sqref="C9:C40">
    <cfRule type="expression" dxfId="92" priority="167">
      <formula>AND($R9="X",$B9&lt;&gt;"")</formula>
    </cfRule>
  </conditionalFormatting>
  <conditionalFormatting sqref="D9:D40">
    <cfRule type="expression" dxfId="91" priority="35">
      <formula>AND($R9="X",OR($B9&lt;&gt;"",$C9&lt;&gt;""))</formula>
    </cfRule>
  </conditionalFormatting>
  <conditionalFormatting sqref="D38:D39">
    <cfRule type="expression" dxfId="90" priority="115">
      <formula>AND($R38="X",$B38&lt;&gt;"")</formula>
    </cfRule>
  </conditionalFormatting>
  <conditionalFormatting sqref="E9:E40">
    <cfRule type="expression" dxfId="89" priority="88">
      <formula>AND($R9="X",OR($B9&lt;&gt;"",$C9&lt;&gt;"",$D9&lt;&gt;""))</formula>
    </cfRule>
  </conditionalFormatting>
  <conditionalFormatting sqref="F1:F2">
    <cfRule type="dataBar" priority="189">
      <dataBar>
        <cfvo type="num" val="0"/>
        <cfvo type="num" val="1"/>
        <color rgb="FF63C384"/>
      </dataBar>
      <extLst>
        <ext xmlns:x14="http://schemas.microsoft.com/office/spreadsheetml/2009/9/main" uri="{B025F937-C7B1-47D3-B67F-A62EFF666E3E}">
          <x14:id>{00137077-6CC2-4BCE-BAF2-82E50785EEA8}</x14:id>
        </ext>
      </extLst>
    </cfRule>
  </conditionalFormatting>
  <conditionalFormatting sqref="F9:F40">
    <cfRule type="expression" dxfId="88" priority="89">
      <formula>AND($R9="X",OR($B9&lt;&gt;"",$C9&lt;&gt;"",$D9&lt;&gt;"",$E9&lt;&gt;""))</formula>
    </cfRule>
  </conditionalFormatting>
  <conditionalFormatting sqref="G9:G40">
    <cfRule type="expression" dxfId="87" priority="1">
      <formula>AND($R9="X",OR($B9&lt;&gt;"",$C9&lt;&gt;"",$D9&lt;&gt;"",$E9&lt;&gt;"",$F9&lt;&gt;""))</formula>
    </cfRule>
  </conditionalFormatting>
  <conditionalFormatting sqref="H42:H43 H63:H903">
    <cfRule type="expression" dxfId="86" priority="190">
      <formula>$Q42="X"</formula>
    </cfRule>
  </conditionalFormatting>
  <conditionalFormatting sqref="I11:I40">
    <cfRule type="expression" dxfId="85" priority="166">
      <formula>$R11="X"</formula>
    </cfRule>
  </conditionalFormatting>
  <conditionalFormatting sqref="Q9:Q40">
    <cfRule type="cellIs" dxfId="84" priority="100" operator="equal">
      <formula>"1..1"</formula>
    </cfRule>
    <cfRule type="cellIs" dxfId="83" priority="101" operator="equal">
      <formula>"0..n"</formula>
    </cfRule>
    <cfRule type="cellIs" dxfId="82" priority="10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0137077-6CC2-4BCE-BAF2-82E50785EEA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C107"/>
  <sheetViews>
    <sheetView topLeftCell="A7" workbookViewId="0">
      <selection activeCell="K21" sqref="K21"/>
    </sheetView>
  </sheetViews>
  <sheetFormatPr baseColWidth="10" defaultColWidth="9.5" defaultRowHeight="15"/>
  <cols>
    <col min="1" max="1" width="4.75" style="128" customWidth="1"/>
    <col min="2" max="2" width="39.625" style="128" bestFit="1" customWidth="1"/>
    <col min="3" max="3" width="29.375" style="128" customWidth="1"/>
    <col min="4" max="5" width="11.75" style="128" customWidth="1"/>
    <col min="6" max="6" width="8.625" style="128" customWidth="1"/>
    <col min="7" max="7" width="10.125" style="96" customWidth="1"/>
    <col min="8" max="8" width="53.125" style="96" customWidth="1"/>
    <col min="9" max="9" width="33.5" style="225" customWidth="1"/>
    <col min="10" max="10" width="12" style="96" customWidth="1"/>
    <col min="11" max="11" width="17.875" style="159" customWidth="1"/>
    <col min="12" max="12" width="7.75" style="96" hidden="1" customWidth="1"/>
    <col min="13" max="13" width="9.7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2107</v>
      </c>
      <c r="C1" s="129" t="s">
        <v>813</v>
      </c>
      <c r="E1" s="150" t="s">
        <v>814</v>
      </c>
      <c r="F1" s="157">
        <f>createCase2912[[#Totals],[Métier]] / createCase2912[[#Totals],[ID]]</f>
        <v>0</v>
      </c>
      <c r="G1" s="128"/>
      <c r="AC1" s="96"/>
      <c r="AE1"/>
      <c r="AF1" s="128"/>
      <c r="ALZ1"/>
    </row>
    <row r="2" spans="1:1014" ht="13.5" customHeight="1">
      <c r="C2" s="141" t="s">
        <v>818</v>
      </c>
      <c r="D2" s="285"/>
      <c r="E2" s="152" t="s">
        <v>819</v>
      </c>
      <c r="F2" s="157">
        <f>createCase2912[[#Totals],[NexSIS]] / createCase2912[[#Totals],[ID]]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53" t="s">
        <v>828</v>
      </c>
      <c r="M7" s="553"/>
      <c r="N7" s="553"/>
      <c r="O7" s="553"/>
      <c r="V7" s="554" t="s">
        <v>829</v>
      </c>
      <c r="W7" s="554"/>
      <c r="AC7" s="553" t="s">
        <v>830</v>
      </c>
      <c r="AD7" s="553"/>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41" t="s">
        <v>2108</v>
      </c>
      <c r="C9" s="221"/>
      <c r="D9" s="221"/>
      <c r="E9" s="221"/>
      <c r="F9" s="221"/>
      <c r="G9" s="221"/>
      <c r="H9" s="528"/>
      <c r="I9" s="131"/>
      <c r="J9" s="528"/>
      <c r="K9" s="529" t="s">
        <v>1693</v>
      </c>
      <c r="L9" s="528"/>
      <c r="M9" s="528"/>
      <c r="N9" s="528"/>
      <c r="O9" s="528"/>
      <c r="P9" s="530"/>
      <c r="Q9" s="528"/>
      <c r="R9" s="528"/>
      <c r="S9" s="528"/>
      <c r="T9" s="531"/>
      <c r="U9" s="528"/>
      <c r="V9" s="532"/>
      <c r="W9" s="532"/>
      <c r="X9" s="232"/>
      <c r="Y9" s="533"/>
      <c r="Z9" s="528"/>
      <c r="AA9" s="534"/>
      <c r="AB9" s="528"/>
      <c r="AC9" s="531"/>
      <c r="AD9" s="531"/>
    </row>
    <row r="10" spans="1:1014" s="224" customFormat="1" ht="13.5" customHeight="1">
      <c r="A10" s="225">
        <v>2</v>
      </c>
      <c r="B10" s="240"/>
      <c r="C10" s="241" t="s">
        <v>2109</v>
      </c>
      <c r="D10" s="241"/>
      <c r="E10" s="241"/>
      <c r="F10" s="241"/>
      <c r="G10" s="241"/>
      <c r="H10" s="528"/>
      <c r="I10" s="529"/>
      <c r="J10" s="528"/>
      <c r="K10" s="529" t="s">
        <v>2110</v>
      </c>
      <c r="L10" s="528"/>
      <c r="M10" s="528"/>
      <c r="N10" s="528"/>
      <c r="O10" s="528"/>
      <c r="P10" s="530"/>
      <c r="Q10" s="528"/>
      <c r="R10" s="528"/>
      <c r="S10" s="528"/>
      <c r="T10" s="531"/>
      <c r="U10" s="528"/>
      <c r="V10" s="532"/>
      <c r="W10" s="532"/>
      <c r="X10" s="232"/>
      <c r="Y10" s="533"/>
      <c r="Z10" s="528"/>
      <c r="AA10" s="534"/>
      <c r="AB10" s="528"/>
      <c r="AC10" s="531"/>
      <c r="AD10" s="531"/>
    </row>
    <row r="11" spans="1:1014" s="224" customFormat="1" ht="13.5" customHeight="1">
      <c r="A11" s="225">
        <v>3</v>
      </c>
      <c r="B11" s="240"/>
      <c r="C11" s="241" t="s">
        <v>2111</v>
      </c>
      <c r="D11" s="241"/>
      <c r="E11" s="241"/>
      <c r="F11" s="241"/>
      <c r="G11" s="241"/>
      <c r="H11" s="528"/>
      <c r="I11" s="529"/>
      <c r="J11" s="528"/>
      <c r="K11" s="529" t="s">
        <v>2112</v>
      </c>
      <c r="L11" s="528"/>
      <c r="M11" s="528"/>
      <c r="N11" s="528"/>
      <c r="O11" s="528"/>
      <c r="P11" s="530"/>
      <c r="Q11" s="528"/>
      <c r="R11" s="528"/>
      <c r="S11" s="528"/>
      <c r="T11" s="531"/>
      <c r="U11" s="528"/>
      <c r="V11" s="532"/>
      <c r="W11" s="532"/>
      <c r="X11" s="232"/>
      <c r="Y11" s="533"/>
      <c r="Z11" s="528"/>
      <c r="AA11" s="534"/>
      <c r="AB11" s="528"/>
      <c r="AC11" s="531"/>
      <c r="AD11" s="531"/>
    </row>
    <row r="12" spans="1:1014" s="224" customFormat="1" ht="13.5" customHeight="1">
      <c r="A12" s="225">
        <v>4</v>
      </c>
      <c r="B12" s="535"/>
      <c r="C12" s="241" t="s">
        <v>2113</v>
      </c>
      <c r="D12" s="241"/>
      <c r="E12" s="241"/>
      <c r="F12" s="241"/>
      <c r="G12" s="241"/>
      <c r="H12" s="528"/>
      <c r="I12" s="529"/>
      <c r="J12" s="528"/>
      <c r="K12" s="529"/>
      <c r="L12" s="528"/>
      <c r="M12" s="528"/>
      <c r="N12" s="528"/>
      <c r="O12" s="528"/>
      <c r="P12" s="530"/>
      <c r="Q12" s="528"/>
      <c r="R12" s="528"/>
      <c r="S12" s="243"/>
      <c r="T12" s="531"/>
      <c r="U12" s="528"/>
      <c r="V12" s="532"/>
      <c r="W12" s="532"/>
      <c r="X12" s="232"/>
      <c r="Y12" s="533"/>
      <c r="Z12" s="528"/>
      <c r="AA12" s="534"/>
      <c r="AB12" s="528"/>
      <c r="AC12" s="531"/>
      <c r="AD12" s="531"/>
    </row>
    <row r="13" spans="1:1014" s="224" customFormat="1" ht="13.5" customHeight="1">
      <c r="A13" s="225">
        <v>5</v>
      </c>
      <c r="B13" s="535"/>
      <c r="C13" s="241" t="s">
        <v>2114</v>
      </c>
      <c r="D13" s="241"/>
      <c r="E13" s="241"/>
      <c r="F13" s="241"/>
      <c r="G13" s="241"/>
      <c r="H13" s="528"/>
      <c r="I13" s="529"/>
      <c r="J13" s="528"/>
      <c r="K13" s="529"/>
      <c r="L13" s="528"/>
      <c r="M13" s="528"/>
      <c r="N13" s="528"/>
      <c r="O13" s="528"/>
      <c r="P13" s="530"/>
      <c r="Q13" s="528"/>
      <c r="R13" s="528"/>
      <c r="S13" s="528"/>
      <c r="T13" s="531"/>
      <c r="U13" s="528"/>
      <c r="V13" s="532"/>
      <c r="W13" s="532"/>
      <c r="X13" s="232"/>
      <c r="Y13" s="533"/>
      <c r="Z13" s="528"/>
      <c r="AA13" s="534"/>
      <c r="AB13" s="528"/>
      <c r="AC13" s="531"/>
      <c r="AD13" s="531"/>
    </row>
    <row r="14" spans="1:1014" s="224" customFormat="1" ht="13.5" customHeight="1">
      <c r="A14" s="225">
        <v>6</v>
      </c>
      <c r="B14" s="535" t="s">
        <v>2115</v>
      </c>
      <c r="C14" s="241"/>
      <c r="D14" s="241"/>
      <c r="E14" s="241"/>
      <c r="F14" s="241"/>
      <c r="G14" s="241"/>
      <c r="H14" s="528"/>
      <c r="I14" s="529"/>
      <c r="J14" s="528"/>
      <c r="K14" s="529"/>
      <c r="L14" s="528"/>
      <c r="M14" s="528"/>
      <c r="N14" s="528"/>
      <c r="O14" s="528"/>
      <c r="P14" s="530"/>
      <c r="Q14" s="528"/>
      <c r="R14" s="528"/>
      <c r="S14" s="528"/>
      <c r="T14" s="531"/>
      <c r="U14" s="528"/>
      <c r="V14" s="532"/>
      <c r="W14" s="532"/>
      <c r="X14" s="232"/>
      <c r="Y14" s="533"/>
      <c r="Z14" s="528"/>
      <c r="AA14" s="534"/>
      <c r="AB14" s="528"/>
      <c r="AC14" s="531"/>
      <c r="AD14" s="531"/>
    </row>
    <row r="15" spans="1:1014" s="224" customFormat="1" ht="13.5" customHeight="1">
      <c r="A15" s="225">
        <v>7</v>
      </c>
      <c r="B15" s="535"/>
      <c r="C15" s="241" t="s">
        <v>2116</v>
      </c>
      <c r="D15" s="241"/>
      <c r="E15" s="241"/>
      <c r="F15" s="241"/>
      <c r="G15" s="241"/>
      <c r="H15" s="528"/>
      <c r="I15" s="529"/>
      <c r="J15" s="528"/>
      <c r="K15" s="529"/>
      <c r="L15" s="528"/>
      <c r="M15" s="528"/>
      <c r="N15" s="528"/>
      <c r="O15" s="528"/>
      <c r="P15" s="530"/>
      <c r="Q15" s="528"/>
      <c r="R15" s="528"/>
      <c r="S15" s="528"/>
      <c r="T15" s="531"/>
      <c r="U15" s="528"/>
      <c r="V15" s="532"/>
      <c r="W15" s="532"/>
      <c r="X15" s="232"/>
      <c r="Y15" s="533"/>
      <c r="Z15" s="528"/>
      <c r="AA15" s="534"/>
      <c r="AB15" s="528"/>
      <c r="AC15" s="531"/>
      <c r="AD15" s="531"/>
    </row>
    <row r="16" spans="1:1014" s="224" customFormat="1" ht="13.5" customHeight="1">
      <c r="A16" s="225">
        <v>8</v>
      </c>
      <c r="B16" s="535"/>
      <c r="C16" s="241" t="s">
        <v>2117</v>
      </c>
      <c r="D16" s="241"/>
      <c r="E16" s="241"/>
      <c r="F16" s="241"/>
      <c r="G16" s="241"/>
      <c r="H16" s="528"/>
      <c r="I16" s="529"/>
      <c r="J16" s="528"/>
      <c r="K16" s="528" t="s">
        <v>988</v>
      </c>
      <c r="L16" s="528"/>
      <c r="M16" s="528"/>
      <c r="N16" s="528"/>
      <c r="O16" s="528"/>
      <c r="P16" s="530"/>
      <c r="Q16" s="528"/>
      <c r="R16" s="528"/>
      <c r="S16" s="528"/>
      <c r="T16" s="531"/>
      <c r="U16" s="528"/>
      <c r="V16" s="532"/>
      <c r="W16" s="532"/>
      <c r="X16" s="232"/>
      <c r="Y16" s="533"/>
      <c r="Z16" s="528"/>
      <c r="AA16" s="534"/>
      <c r="AB16" s="528"/>
      <c r="AC16" s="531"/>
      <c r="AD16" s="531"/>
    </row>
    <row r="17" spans="1:30" s="224" customFormat="1" ht="13.5" customHeight="1">
      <c r="A17" s="225">
        <v>9</v>
      </c>
      <c r="B17" s="535" t="s">
        <v>2118</v>
      </c>
      <c r="C17" s="241"/>
      <c r="D17" s="241"/>
      <c r="E17" s="241"/>
      <c r="F17" s="241"/>
      <c r="G17" s="241"/>
      <c r="H17" s="528"/>
      <c r="I17" s="529"/>
      <c r="J17" s="528"/>
      <c r="K17" s="529" t="s">
        <v>1035</v>
      </c>
      <c r="L17" s="528"/>
      <c r="M17" s="528"/>
      <c r="N17" s="528"/>
      <c r="O17" s="528"/>
      <c r="P17" s="530"/>
      <c r="Q17" s="528"/>
      <c r="R17" s="528"/>
      <c r="S17" s="528"/>
      <c r="T17" s="531"/>
      <c r="U17" s="528"/>
      <c r="V17" s="532"/>
      <c r="W17" s="532"/>
      <c r="X17" s="232"/>
      <c r="Y17" s="533"/>
      <c r="Z17" s="528"/>
      <c r="AA17" s="534"/>
      <c r="AB17" s="528"/>
      <c r="AC17" s="531"/>
      <c r="AD17" s="531"/>
    </row>
    <row r="18" spans="1:30" s="224" customFormat="1" ht="13.5" customHeight="1">
      <c r="A18" s="225">
        <v>10</v>
      </c>
      <c r="B18" s="535"/>
      <c r="C18" s="241" t="s">
        <v>2119</v>
      </c>
      <c r="D18" s="241"/>
      <c r="E18" s="241"/>
      <c r="F18" s="241"/>
      <c r="G18" s="241"/>
      <c r="H18" s="528"/>
      <c r="I18" s="529"/>
      <c r="J18" s="528"/>
      <c r="K18" s="529" t="s">
        <v>999</v>
      </c>
      <c r="L18" s="528"/>
      <c r="M18" s="528"/>
      <c r="N18" s="528"/>
      <c r="O18" s="528"/>
      <c r="P18" s="530"/>
      <c r="Q18" s="528"/>
      <c r="R18" s="528"/>
      <c r="S18" s="528"/>
      <c r="T18" s="531"/>
      <c r="U18" s="528"/>
      <c r="V18" s="532"/>
      <c r="W18" s="532"/>
      <c r="X18" s="232"/>
      <c r="Y18" s="533"/>
      <c r="Z18" s="528"/>
      <c r="AA18" s="534"/>
      <c r="AB18" s="528"/>
      <c r="AC18" s="531"/>
      <c r="AD18" s="531"/>
    </row>
    <row r="19" spans="1:30" s="224" customFormat="1" ht="13.5" customHeight="1">
      <c r="A19" s="225">
        <v>11</v>
      </c>
      <c r="B19" s="535"/>
      <c r="C19" s="241" t="s">
        <v>2120</v>
      </c>
      <c r="D19" s="241"/>
      <c r="E19" s="241"/>
      <c r="F19" s="241"/>
      <c r="G19" s="241"/>
      <c r="H19" s="528"/>
      <c r="I19" s="529"/>
      <c r="J19" s="528"/>
      <c r="K19" s="529" t="s">
        <v>2121</v>
      </c>
      <c r="L19" s="528"/>
      <c r="M19" s="528"/>
      <c r="N19" s="528"/>
      <c r="O19" s="528"/>
      <c r="P19" s="530"/>
      <c r="Q19" s="528"/>
      <c r="R19" s="528"/>
      <c r="S19" s="528"/>
      <c r="T19" s="531"/>
      <c r="U19" s="528"/>
      <c r="V19" s="532"/>
      <c r="W19" s="532"/>
      <c r="X19" s="232"/>
      <c r="Y19" s="533"/>
      <c r="Z19" s="528"/>
      <c r="AA19" s="534"/>
      <c r="AB19" s="528"/>
      <c r="AC19" s="531"/>
      <c r="AD19" s="531"/>
    </row>
    <row r="20" spans="1:30" s="224" customFormat="1" ht="13.5" customHeight="1">
      <c r="A20" s="225">
        <v>12</v>
      </c>
      <c r="B20" s="535"/>
      <c r="C20" s="241" t="s">
        <v>2122</v>
      </c>
      <c r="D20" s="241"/>
      <c r="E20" s="241"/>
      <c r="F20" s="241"/>
      <c r="G20" s="241"/>
      <c r="H20" s="528"/>
      <c r="I20" s="529"/>
      <c r="J20" s="528"/>
      <c r="K20" s="529" t="s">
        <v>2123</v>
      </c>
      <c r="L20" s="528"/>
      <c r="M20" s="528"/>
      <c r="N20" s="528"/>
      <c r="O20" s="528"/>
      <c r="P20" s="530"/>
      <c r="Q20" s="528"/>
      <c r="R20" s="528"/>
      <c r="S20" s="528"/>
      <c r="T20" s="531"/>
      <c r="U20" s="528"/>
      <c r="V20" s="532"/>
      <c r="W20" s="532"/>
      <c r="X20" s="232"/>
      <c r="Y20" s="533"/>
      <c r="Z20" s="528"/>
      <c r="AA20" s="534"/>
      <c r="AB20" s="528"/>
      <c r="AC20" s="531"/>
      <c r="AD20" s="531"/>
    </row>
    <row r="21" spans="1:30" s="224" customFormat="1" ht="13.5" customHeight="1">
      <c r="A21" s="225">
        <v>13</v>
      </c>
      <c r="B21" s="217"/>
      <c r="C21" s="241" t="s">
        <v>2255</v>
      </c>
      <c r="D21" s="241"/>
      <c r="E21" s="241"/>
      <c r="F21" s="241"/>
      <c r="G21" s="241"/>
      <c r="H21" s="528"/>
      <c r="I21" s="529"/>
      <c r="J21" s="528"/>
      <c r="K21" s="529"/>
      <c r="L21" s="528"/>
      <c r="M21" s="528"/>
      <c r="N21" s="528"/>
      <c r="O21" s="528"/>
      <c r="P21" s="530"/>
      <c r="Q21" s="528"/>
      <c r="R21" s="528"/>
      <c r="S21" s="528"/>
      <c r="T21" s="531"/>
      <c r="U21" s="528"/>
      <c r="V21" s="532"/>
      <c r="W21" s="532"/>
      <c r="X21" s="232"/>
      <c r="Y21" s="533"/>
      <c r="Z21" s="528"/>
      <c r="AA21" s="534"/>
      <c r="AB21" s="528"/>
      <c r="AC21" s="531"/>
      <c r="AD21" s="531"/>
    </row>
    <row r="22" spans="1:30" s="224" customFormat="1" ht="13.5" customHeight="1">
      <c r="A22" s="225">
        <v>14</v>
      </c>
      <c r="B22" s="535"/>
      <c r="C22" s="241"/>
      <c r="D22" s="241" t="s">
        <v>250</v>
      </c>
      <c r="E22" s="241"/>
      <c r="F22" s="241"/>
      <c r="G22" s="241"/>
      <c r="H22" s="528"/>
      <c r="I22" s="529"/>
      <c r="J22" s="528"/>
      <c r="K22" s="529" t="s">
        <v>2252</v>
      </c>
      <c r="L22" s="528"/>
      <c r="M22" s="528"/>
      <c r="N22" s="528"/>
      <c r="O22" s="528"/>
      <c r="P22" s="530"/>
      <c r="Q22" s="528"/>
      <c r="R22" s="528"/>
      <c r="S22" s="528"/>
      <c r="T22" s="531"/>
      <c r="U22" s="528"/>
      <c r="V22" s="532"/>
      <c r="W22" s="532"/>
      <c r="X22" s="232"/>
      <c r="Y22" s="533"/>
      <c r="Z22" s="528"/>
      <c r="AA22" s="534"/>
      <c r="AB22" s="528"/>
      <c r="AC22" s="531"/>
      <c r="AD22" s="531"/>
    </row>
    <row r="23" spans="1:30" s="224" customFormat="1" ht="13.5" customHeight="1">
      <c r="A23" s="225">
        <v>15</v>
      </c>
      <c r="B23" s="535"/>
      <c r="C23" s="241"/>
      <c r="D23" s="241" t="s">
        <v>248</v>
      </c>
      <c r="E23" s="241"/>
      <c r="F23" s="241"/>
      <c r="G23" s="241"/>
      <c r="H23" s="528"/>
      <c r="I23" s="529"/>
      <c r="J23" s="528"/>
      <c r="K23" s="529" t="s">
        <v>1088</v>
      </c>
      <c r="L23" s="528"/>
      <c r="M23" s="528"/>
      <c r="N23" s="528"/>
      <c r="O23" s="528"/>
      <c r="P23" s="530"/>
      <c r="Q23" s="528"/>
      <c r="R23" s="528"/>
      <c r="S23" s="528"/>
      <c r="T23" s="531"/>
      <c r="U23" s="528"/>
      <c r="V23" s="532"/>
      <c r="W23" s="532"/>
      <c r="X23" s="232"/>
      <c r="Y23" s="533"/>
      <c r="Z23" s="528"/>
      <c r="AA23" s="534"/>
      <c r="AB23" s="528"/>
      <c r="AC23" s="531"/>
      <c r="AD23" s="531"/>
    </row>
    <row r="24" spans="1:30" s="224" customFormat="1" ht="13.5" customHeight="1">
      <c r="A24" s="225">
        <v>16</v>
      </c>
      <c r="B24" s="535"/>
      <c r="C24" s="241"/>
      <c r="D24" s="241" t="s">
        <v>264</v>
      </c>
      <c r="E24" s="241"/>
      <c r="F24" s="241"/>
      <c r="G24" s="241"/>
      <c r="H24" s="528"/>
      <c r="I24" s="529"/>
      <c r="J24" s="528"/>
      <c r="K24" s="529" t="s">
        <v>1202</v>
      </c>
      <c r="L24" s="528"/>
      <c r="M24" s="528"/>
      <c r="N24" s="528"/>
      <c r="O24" s="528"/>
      <c r="P24" s="530"/>
      <c r="Q24" s="528"/>
      <c r="R24" s="528"/>
      <c r="S24" s="528"/>
      <c r="T24" s="531"/>
      <c r="U24" s="528"/>
      <c r="V24" s="532"/>
      <c r="W24" s="532"/>
      <c r="X24" s="232"/>
      <c r="Y24" s="533"/>
      <c r="Z24" s="528"/>
      <c r="AA24" s="534"/>
      <c r="AB24" s="528"/>
      <c r="AC24" s="531"/>
      <c r="AD24" s="531"/>
    </row>
    <row r="25" spans="1:30" s="224" customFormat="1" ht="13.5" customHeight="1">
      <c r="A25" s="225">
        <v>17</v>
      </c>
      <c r="B25" s="217" t="s">
        <v>561</v>
      </c>
      <c r="C25" s="535"/>
      <c r="D25" s="241"/>
      <c r="E25" s="241"/>
      <c r="F25" s="241"/>
      <c r="G25" s="241"/>
      <c r="H25" s="528"/>
      <c r="I25" s="529"/>
      <c r="J25" s="528"/>
      <c r="K25" s="529" t="s">
        <v>1386</v>
      </c>
      <c r="L25" s="528"/>
      <c r="M25" s="528"/>
      <c r="N25" s="528"/>
      <c r="O25" s="528"/>
      <c r="P25" s="530"/>
      <c r="Q25" s="528"/>
      <c r="R25" s="528"/>
      <c r="S25" s="528"/>
      <c r="T25" s="531"/>
      <c r="U25" s="528"/>
      <c r="V25" s="532"/>
      <c r="W25" s="532"/>
      <c r="X25" s="232"/>
      <c r="Y25" s="533"/>
      <c r="Z25" s="528"/>
      <c r="AA25" s="534"/>
      <c r="AB25" s="528"/>
      <c r="AC25" s="531"/>
      <c r="AD25" s="531"/>
    </row>
    <row r="26" spans="1:30" s="224" customFormat="1" ht="13.5" customHeight="1">
      <c r="A26" s="225">
        <v>18</v>
      </c>
      <c r="B26" s="217"/>
      <c r="C26" s="535" t="s">
        <v>2246</v>
      </c>
      <c r="D26" s="241"/>
      <c r="E26" s="241"/>
      <c r="F26" s="241"/>
      <c r="G26" s="241"/>
      <c r="H26" s="528"/>
      <c r="I26" s="529"/>
      <c r="J26" s="528"/>
      <c r="K26" s="529" t="s">
        <v>1199</v>
      </c>
      <c r="L26" s="528"/>
      <c r="M26" s="528"/>
      <c r="N26" s="528"/>
      <c r="O26" s="528"/>
      <c r="P26" s="530"/>
      <c r="Q26" s="528"/>
      <c r="R26" s="528"/>
      <c r="S26" s="528"/>
      <c r="T26" s="531"/>
      <c r="U26" s="528"/>
      <c r="V26" s="532"/>
      <c r="W26" s="532"/>
      <c r="X26" s="232"/>
      <c r="Y26" s="533"/>
      <c r="Z26" s="528"/>
      <c r="AA26" s="534"/>
      <c r="AB26" s="528"/>
      <c r="AC26" s="531"/>
      <c r="AD26" s="531"/>
    </row>
    <row r="27" spans="1:30" s="224" customFormat="1" ht="13.5" customHeight="1">
      <c r="A27" s="225">
        <v>19</v>
      </c>
      <c r="B27" s="217"/>
      <c r="C27" s="535" t="s">
        <v>1458</v>
      </c>
      <c r="D27" s="241"/>
      <c r="E27" s="241"/>
      <c r="F27" s="241"/>
      <c r="G27" s="241"/>
      <c r="H27" s="528"/>
      <c r="I27" s="529"/>
      <c r="J27" s="528"/>
      <c r="K27" s="529" t="s">
        <v>1460</v>
      </c>
      <c r="L27" s="528"/>
      <c r="M27" s="528"/>
      <c r="N27" s="528"/>
      <c r="O27" s="528"/>
      <c r="P27" s="530"/>
      <c r="Q27" s="528"/>
      <c r="R27" s="528"/>
      <c r="S27" s="528"/>
      <c r="T27" s="531"/>
      <c r="U27" s="528"/>
      <c r="V27" s="532"/>
      <c r="W27" s="532"/>
      <c r="X27" s="232"/>
      <c r="Y27" s="533"/>
      <c r="Z27" s="528"/>
      <c r="AA27" s="534"/>
      <c r="AB27" s="528"/>
      <c r="AC27" s="531"/>
      <c r="AD27" s="531"/>
    </row>
    <row r="28" spans="1:30" s="224" customFormat="1" ht="13.5" customHeight="1">
      <c r="A28" s="225">
        <v>20</v>
      </c>
      <c r="B28" s="217"/>
      <c r="C28" s="535" t="s">
        <v>2055</v>
      </c>
      <c r="D28" s="241"/>
      <c r="E28" s="241"/>
      <c r="F28" s="241"/>
      <c r="G28" s="241"/>
      <c r="H28" s="528"/>
      <c r="I28" s="529"/>
      <c r="J28" s="528"/>
      <c r="K28" s="529" t="s">
        <v>1464</v>
      </c>
      <c r="L28" s="528"/>
      <c r="M28" s="528"/>
      <c r="N28" s="528"/>
      <c r="O28" s="528"/>
      <c r="P28" s="530"/>
      <c r="Q28" s="528"/>
      <c r="R28" s="528"/>
      <c r="S28" s="528"/>
      <c r="T28" s="531"/>
      <c r="U28" s="528"/>
      <c r="V28" s="532"/>
      <c r="W28" s="532"/>
      <c r="X28" s="232"/>
      <c r="Y28" s="533"/>
      <c r="Z28" s="528"/>
      <c r="AA28" s="534"/>
      <c r="AB28" s="528"/>
      <c r="AC28" s="531"/>
      <c r="AD28" s="531"/>
    </row>
    <row r="29" spans="1:30" s="224" customFormat="1" ht="13.5" customHeight="1">
      <c r="A29" s="225">
        <v>21</v>
      </c>
      <c r="B29" s="217"/>
      <c r="C29" s="535" t="s">
        <v>2247</v>
      </c>
      <c r="D29" s="241"/>
      <c r="E29" s="241"/>
      <c r="F29" s="241"/>
      <c r="G29" s="241"/>
      <c r="H29" s="528"/>
      <c r="I29" s="529"/>
      <c r="J29" s="528"/>
      <c r="K29" s="529" t="s">
        <v>2251</v>
      </c>
      <c r="L29" s="528"/>
      <c r="M29" s="528"/>
      <c r="N29" s="528"/>
      <c r="O29" s="528"/>
      <c r="P29" s="530"/>
      <c r="Q29" s="528"/>
      <c r="R29" s="528"/>
      <c r="S29" s="528"/>
      <c r="T29" s="531"/>
      <c r="U29" s="528"/>
      <c r="V29" s="532"/>
      <c r="W29" s="532"/>
      <c r="X29" s="232"/>
      <c r="Y29" s="533"/>
      <c r="Z29" s="528"/>
      <c r="AA29" s="534"/>
      <c r="AB29" s="528"/>
      <c r="AC29" s="531"/>
      <c r="AD29" s="531"/>
    </row>
    <row r="30" spans="1:30" s="224" customFormat="1" ht="13.5" customHeight="1">
      <c r="A30" s="225">
        <v>22</v>
      </c>
      <c r="B30" s="217"/>
      <c r="C30" s="535" t="s">
        <v>2253</v>
      </c>
      <c r="D30" s="241"/>
      <c r="E30" s="241"/>
      <c r="F30" s="241"/>
      <c r="G30" s="241"/>
      <c r="H30" s="528"/>
      <c r="I30" s="529"/>
      <c r="J30" s="528"/>
      <c r="K30" s="529" t="s">
        <v>2254</v>
      </c>
      <c r="L30" s="528"/>
      <c r="M30" s="528"/>
      <c r="N30" s="528"/>
      <c r="O30" s="528"/>
      <c r="P30" s="530"/>
      <c r="Q30" s="528"/>
      <c r="R30" s="528"/>
      <c r="S30" s="528"/>
      <c r="T30" s="531"/>
      <c r="U30" s="528"/>
      <c r="V30" s="532"/>
      <c r="W30" s="532"/>
      <c r="X30" s="232"/>
      <c r="Y30" s="533"/>
      <c r="Z30" s="528"/>
      <c r="AA30" s="534"/>
      <c r="AB30" s="528"/>
      <c r="AC30" s="531"/>
      <c r="AD30" s="531"/>
    </row>
    <row r="31" spans="1:30" s="224" customFormat="1" ht="13.5" customHeight="1">
      <c r="A31" s="225">
        <v>23</v>
      </c>
      <c r="B31" s="217"/>
      <c r="C31" s="535"/>
      <c r="D31" s="535" t="s">
        <v>2248</v>
      </c>
      <c r="E31" s="241"/>
      <c r="F31" s="241"/>
      <c r="G31" s="241"/>
      <c r="H31" s="528"/>
      <c r="I31" s="529"/>
      <c r="J31" s="528"/>
      <c r="K31" s="529" t="s">
        <v>1088</v>
      </c>
      <c r="L31" s="528"/>
      <c r="M31" s="528"/>
      <c r="N31" s="528"/>
      <c r="O31" s="528"/>
      <c r="P31" s="530"/>
      <c r="Q31" s="528"/>
      <c r="R31" s="528"/>
      <c r="S31" s="528"/>
      <c r="T31" s="531"/>
      <c r="U31" s="528"/>
      <c r="V31" s="532"/>
      <c r="W31" s="532"/>
      <c r="X31" s="232"/>
      <c r="Y31" s="533"/>
      <c r="Z31" s="528"/>
      <c r="AA31" s="534"/>
      <c r="AB31" s="528"/>
      <c r="AC31" s="531"/>
      <c r="AD31" s="531"/>
    </row>
    <row r="32" spans="1:30" s="224" customFormat="1" ht="13.5" customHeight="1">
      <c r="A32" s="225">
        <v>24</v>
      </c>
      <c r="B32" s="217"/>
      <c r="C32" s="535"/>
      <c r="D32" s="535" t="s">
        <v>2249</v>
      </c>
      <c r="E32" s="241"/>
      <c r="F32" s="241"/>
      <c r="G32" s="241"/>
      <c r="H32" s="528"/>
      <c r="I32" s="529"/>
      <c r="J32" s="528"/>
      <c r="K32" s="529" t="s">
        <v>2252</v>
      </c>
      <c r="L32" s="528"/>
      <c r="M32" s="528"/>
      <c r="N32" s="528"/>
      <c r="O32" s="528"/>
      <c r="P32" s="530"/>
      <c r="Q32" s="528"/>
      <c r="R32" s="528"/>
      <c r="S32" s="528"/>
      <c r="T32" s="531"/>
      <c r="U32" s="528"/>
      <c r="V32" s="532"/>
      <c r="W32" s="532"/>
      <c r="X32" s="232"/>
      <c r="Y32" s="533"/>
      <c r="Z32" s="528"/>
      <c r="AA32" s="534"/>
      <c r="AB32" s="528"/>
      <c r="AC32" s="531"/>
      <c r="AD32" s="531"/>
    </row>
    <row r="33" spans="1:30" s="224" customFormat="1" ht="13.5" customHeight="1">
      <c r="A33" s="225">
        <v>25</v>
      </c>
      <c r="B33" s="217"/>
      <c r="C33" s="535"/>
      <c r="D33" s="241" t="s">
        <v>2250</v>
      </c>
      <c r="E33" s="241"/>
      <c r="F33" s="241"/>
      <c r="G33" s="241"/>
      <c r="H33" s="528"/>
      <c r="I33" s="529"/>
      <c r="J33" s="528"/>
      <c r="K33" s="529" t="s">
        <v>1202</v>
      </c>
      <c r="L33" s="528"/>
      <c r="M33" s="528"/>
      <c r="N33" s="528"/>
      <c r="O33" s="528"/>
      <c r="P33" s="530"/>
      <c r="Q33" s="528"/>
      <c r="R33" s="528"/>
      <c r="S33" s="528"/>
      <c r="T33" s="531"/>
      <c r="U33" s="528"/>
      <c r="V33" s="532"/>
      <c r="W33" s="532"/>
      <c r="X33" s="232"/>
      <c r="Y33" s="533"/>
      <c r="Z33" s="528"/>
      <c r="AA33" s="534"/>
      <c r="AB33" s="528"/>
      <c r="AC33" s="531"/>
      <c r="AD33" s="531"/>
    </row>
    <row r="34" spans="1:30" s="224" customFormat="1" ht="13.5" customHeight="1">
      <c r="A34" s="225">
        <v>26</v>
      </c>
      <c r="B34" s="217"/>
      <c r="C34" s="512"/>
      <c r="D34" s="241"/>
      <c r="E34" s="241"/>
      <c r="F34" s="241"/>
      <c r="G34" s="241"/>
      <c r="H34" s="504"/>
      <c r="I34" s="503"/>
      <c r="J34" s="504"/>
      <c r="K34" s="503"/>
      <c r="L34" s="504"/>
      <c r="M34" s="504"/>
      <c r="N34" s="504"/>
      <c r="O34" s="504"/>
      <c r="P34" s="505"/>
      <c r="Q34" s="504"/>
      <c r="R34" s="504"/>
      <c r="S34" s="504"/>
      <c r="T34" s="506"/>
      <c r="U34" s="504"/>
      <c r="V34" s="507"/>
      <c r="W34" s="507"/>
      <c r="X34" s="232"/>
      <c r="Y34" s="513"/>
      <c r="Z34" s="504"/>
      <c r="AA34" s="508"/>
      <c r="AB34" s="504"/>
      <c r="AC34" s="506"/>
      <c r="AD34" s="506"/>
    </row>
    <row r="35" spans="1:30" s="224" customFormat="1" ht="13.5" customHeight="1">
      <c r="A35" s="225">
        <v>27</v>
      </c>
      <c r="B35" s="217"/>
      <c r="C35" s="512"/>
      <c r="D35" s="241"/>
      <c r="E35" s="241"/>
      <c r="F35" s="241"/>
      <c r="G35" s="241"/>
      <c r="H35" s="504"/>
      <c r="I35" s="503"/>
      <c r="J35" s="504"/>
      <c r="K35" s="503"/>
      <c r="L35" s="504"/>
      <c r="M35" s="504"/>
      <c r="N35" s="504"/>
      <c r="O35" s="504"/>
      <c r="P35" s="505"/>
      <c r="Q35" s="504"/>
      <c r="R35" s="504"/>
      <c r="S35" s="504"/>
      <c r="T35" s="506"/>
      <c r="U35" s="504"/>
      <c r="V35" s="507"/>
      <c r="W35" s="507"/>
      <c r="X35" s="232"/>
      <c r="Y35" s="513"/>
      <c r="Z35" s="504"/>
      <c r="AA35" s="508"/>
      <c r="AB35" s="504"/>
      <c r="AC35" s="506"/>
      <c r="AD35" s="506"/>
    </row>
    <row r="36" spans="1:30" s="224" customFormat="1" ht="13.5" customHeight="1">
      <c r="A36" s="225">
        <v>28</v>
      </c>
      <c r="B36" s="217"/>
      <c r="C36" s="535"/>
      <c r="D36" s="241"/>
      <c r="E36" s="241"/>
      <c r="F36" s="241"/>
      <c r="G36" s="241"/>
      <c r="H36" s="528"/>
      <c r="I36" s="529"/>
      <c r="J36" s="528"/>
      <c r="K36" s="529"/>
      <c r="L36" s="528"/>
      <c r="M36" s="528"/>
      <c r="N36" s="528"/>
      <c r="O36" s="528"/>
      <c r="P36" s="530"/>
      <c r="Q36" s="528"/>
      <c r="R36" s="528"/>
      <c r="S36" s="528"/>
      <c r="T36" s="531"/>
      <c r="U36" s="528"/>
      <c r="V36" s="532"/>
      <c r="W36" s="532"/>
      <c r="X36" s="232"/>
      <c r="Y36" s="533"/>
      <c r="Z36" s="528"/>
      <c r="AA36" s="534"/>
      <c r="AB36" s="528"/>
      <c r="AC36" s="531"/>
      <c r="AD36" s="531"/>
    </row>
    <row r="37" spans="1:30" s="224" customFormat="1" ht="13.5" customHeight="1">
      <c r="A37" s="225">
        <v>29</v>
      </c>
      <c r="B37" s="217"/>
      <c r="C37" s="535"/>
      <c r="D37" s="241"/>
      <c r="E37" s="241"/>
      <c r="F37" s="241"/>
      <c r="G37" s="241"/>
      <c r="H37" s="528"/>
      <c r="I37" s="529"/>
      <c r="J37" s="528"/>
      <c r="K37" s="529"/>
      <c r="L37" s="528"/>
      <c r="M37" s="528"/>
      <c r="N37" s="528"/>
      <c r="O37" s="528"/>
      <c r="P37" s="530"/>
      <c r="Q37" s="528"/>
      <c r="R37" s="528"/>
      <c r="S37" s="528"/>
      <c r="T37" s="531"/>
      <c r="U37" s="528"/>
      <c r="V37" s="532"/>
      <c r="W37" s="532"/>
      <c r="X37" s="232"/>
      <c r="Y37" s="533"/>
      <c r="Z37" s="528"/>
      <c r="AA37" s="534"/>
      <c r="AB37" s="528"/>
      <c r="AC37" s="531"/>
      <c r="AD37" s="531"/>
    </row>
    <row r="38" spans="1:30" s="224" customFormat="1" ht="13.5" customHeight="1">
      <c r="A38" s="225">
        <v>30</v>
      </c>
      <c r="B38" s="217"/>
      <c r="C38" s="535"/>
      <c r="D38" s="241"/>
      <c r="E38" s="241"/>
      <c r="F38" s="241"/>
      <c r="G38" s="241"/>
      <c r="H38" s="528"/>
      <c r="I38" s="529"/>
      <c r="J38" s="528"/>
      <c r="K38" s="529"/>
      <c r="L38" s="528"/>
      <c r="M38" s="528"/>
      <c r="N38" s="528"/>
      <c r="O38" s="528"/>
      <c r="P38" s="530"/>
      <c r="Q38" s="528"/>
      <c r="R38" s="528"/>
      <c r="S38" s="528"/>
      <c r="T38" s="531"/>
      <c r="U38" s="528"/>
      <c r="V38" s="532"/>
      <c r="W38" s="532"/>
      <c r="X38" s="232"/>
      <c r="Y38" s="533"/>
      <c r="Z38" s="528"/>
      <c r="AA38" s="534"/>
      <c r="AB38" s="528"/>
      <c r="AC38" s="531"/>
      <c r="AD38" s="531"/>
    </row>
    <row r="39" spans="1:30" s="224" customFormat="1" ht="13.5" customHeight="1">
      <c r="A39" s="225">
        <v>31</v>
      </c>
      <c r="B39" s="217"/>
      <c r="C39" s="535"/>
      <c r="D39" s="241"/>
      <c r="E39" s="241"/>
      <c r="F39" s="241"/>
      <c r="G39" s="241"/>
      <c r="H39" s="528"/>
      <c r="I39" s="529"/>
      <c r="J39" s="528"/>
      <c r="K39" s="529"/>
      <c r="L39" s="528"/>
      <c r="M39" s="528"/>
      <c r="N39" s="528"/>
      <c r="O39" s="528"/>
      <c r="P39" s="530"/>
      <c r="Q39" s="528"/>
      <c r="R39" s="528"/>
      <c r="S39" s="528"/>
      <c r="T39" s="531"/>
      <c r="U39" s="528"/>
      <c r="V39" s="532"/>
      <c r="W39" s="532"/>
      <c r="X39" s="232"/>
      <c r="Y39" s="533"/>
      <c r="Z39" s="528"/>
      <c r="AA39" s="534"/>
      <c r="AB39" s="528"/>
      <c r="AC39" s="531"/>
      <c r="AD39" s="531"/>
    </row>
    <row r="40" spans="1:30" s="224" customFormat="1" ht="13.5" customHeight="1">
      <c r="A40" s="225">
        <v>32</v>
      </c>
      <c r="B40" s="217"/>
      <c r="C40" s="535"/>
      <c r="D40" s="241"/>
      <c r="E40" s="241"/>
      <c r="F40" s="241"/>
      <c r="G40" s="241"/>
      <c r="H40" s="528"/>
      <c r="I40" s="529"/>
      <c r="J40" s="528"/>
      <c r="K40" s="529"/>
      <c r="L40" s="528"/>
      <c r="M40" s="528"/>
      <c r="N40" s="528"/>
      <c r="O40" s="528"/>
      <c r="P40" s="530"/>
      <c r="Q40" s="528"/>
      <c r="R40" s="528"/>
      <c r="S40" s="528"/>
      <c r="T40" s="531"/>
      <c r="U40" s="528"/>
      <c r="V40" s="532"/>
      <c r="W40" s="532"/>
      <c r="X40" s="232"/>
      <c r="Y40" s="533"/>
      <c r="Z40" s="528"/>
      <c r="AA40" s="534"/>
      <c r="AB40" s="528"/>
      <c r="AC40" s="531"/>
      <c r="AD40" s="531"/>
    </row>
    <row r="41" spans="1:30" s="224" customFormat="1" ht="13.5" customHeight="1">
      <c r="A41" s="225">
        <v>33</v>
      </c>
      <c r="B41" s="217"/>
      <c r="C41" s="535"/>
      <c r="D41" s="241"/>
      <c r="E41" s="241"/>
      <c r="F41" s="241"/>
      <c r="G41" s="241"/>
      <c r="H41" s="528"/>
      <c r="I41" s="529"/>
      <c r="J41" s="528"/>
      <c r="K41" s="529"/>
      <c r="L41" s="528"/>
      <c r="M41" s="528"/>
      <c r="N41" s="528"/>
      <c r="O41" s="528"/>
      <c r="P41" s="530"/>
      <c r="Q41" s="528"/>
      <c r="R41" s="528"/>
      <c r="S41" s="528"/>
      <c r="T41" s="531"/>
      <c r="U41" s="528"/>
      <c r="V41" s="532"/>
      <c r="W41" s="532"/>
      <c r="X41" s="232"/>
      <c r="Y41" s="533"/>
      <c r="Z41" s="528"/>
      <c r="AA41" s="534"/>
      <c r="AB41" s="528"/>
      <c r="AC41" s="531"/>
      <c r="AD41" s="531"/>
    </row>
    <row r="42" spans="1:30" s="224" customFormat="1" ht="13.5" customHeight="1">
      <c r="A42" s="225">
        <v>34</v>
      </c>
      <c r="B42" s="217"/>
      <c r="C42" s="535"/>
      <c r="D42" s="241"/>
      <c r="E42" s="241"/>
      <c r="F42" s="241"/>
      <c r="G42" s="241"/>
      <c r="H42" s="528"/>
      <c r="I42" s="529"/>
      <c r="J42" s="528"/>
      <c r="K42" s="529"/>
      <c r="L42" s="528"/>
      <c r="M42" s="528"/>
      <c r="N42" s="528"/>
      <c r="O42" s="528"/>
      <c r="P42" s="530"/>
      <c r="Q42" s="528"/>
      <c r="R42" s="528"/>
      <c r="S42" s="528"/>
      <c r="T42" s="531"/>
      <c r="U42" s="528"/>
      <c r="V42" s="532"/>
      <c r="W42" s="532"/>
      <c r="X42" s="232"/>
      <c r="Y42" s="533"/>
      <c r="Z42" s="528"/>
      <c r="AA42" s="534"/>
      <c r="AB42" s="528"/>
      <c r="AC42" s="531"/>
      <c r="AD42" s="531"/>
    </row>
    <row r="43" spans="1:30" s="224" customFormat="1" ht="13.5" customHeight="1">
      <c r="A43" s="225">
        <v>35</v>
      </c>
      <c r="B43" s="217"/>
      <c r="C43" s="535"/>
      <c r="D43" s="241"/>
      <c r="E43" s="241"/>
      <c r="F43" s="241"/>
      <c r="G43" s="241"/>
      <c r="H43" s="528"/>
      <c r="I43" s="529"/>
      <c r="J43" s="528"/>
      <c r="K43" s="529"/>
      <c r="L43" s="528"/>
      <c r="M43" s="528"/>
      <c r="N43" s="528"/>
      <c r="O43" s="528"/>
      <c r="P43" s="530"/>
      <c r="Q43" s="528"/>
      <c r="R43" s="528"/>
      <c r="S43" s="528"/>
      <c r="T43" s="531"/>
      <c r="U43" s="528"/>
      <c r="V43" s="532"/>
      <c r="W43" s="532"/>
      <c r="X43" s="232"/>
      <c r="Y43" s="533"/>
      <c r="Z43" s="528"/>
      <c r="AA43" s="534"/>
      <c r="AB43" s="528"/>
      <c r="AC43" s="531"/>
      <c r="AD43" s="531"/>
    </row>
    <row r="44" spans="1:30" s="224" customFormat="1" ht="13.5" customHeight="1">
      <c r="A44" s="225">
        <v>36</v>
      </c>
      <c r="B44" s="217"/>
      <c r="C44" s="535"/>
      <c r="D44" s="241"/>
      <c r="E44" s="241"/>
      <c r="F44" s="241"/>
      <c r="G44" s="241"/>
      <c r="H44" s="528"/>
      <c r="I44" s="529"/>
      <c r="J44" s="528"/>
      <c r="K44" s="529"/>
      <c r="L44" s="528"/>
      <c r="M44" s="528"/>
      <c r="N44" s="528"/>
      <c r="O44" s="528"/>
      <c r="P44" s="530"/>
      <c r="Q44" s="528"/>
      <c r="R44" s="528"/>
      <c r="S44" s="528"/>
      <c r="T44" s="531"/>
      <c r="U44" s="528"/>
      <c r="V44" s="532"/>
      <c r="W44" s="532"/>
      <c r="X44" s="232"/>
      <c r="Y44" s="533"/>
      <c r="Z44" s="528"/>
      <c r="AA44" s="534"/>
      <c r="AB44" s="528"/>
      <c r="AC44" s="531"/>
      <c r="AD44" s="531"/>
    </row>
    <row r="45" spans="1:30" s="224" customFormat="1" ht="13.5" customHeight="1">
      <c r="A45" s="225">
        <v>37</v>
      </c>
      <c r="B45" s="217"/>
      <c r="C45" s="535"/>
      <c r="D45" s="241"/>
      <c r="E45" s="241"/>
      <c r="F45" s="241"/>
      <c r="G45" s="241"/>
      <c r="H45" s="528"/>
      <c r="I45" s="529"/>
      <c r="J45" s="528"/>
      <c r="K45" s="529"/>
      <c r="L45" s="528"/>
      <c r="M45" s="528"/>
      <c r="N45" s="528"/>
      <c r="O45" s="528"/>
      <c r="P45" s="530"/>
      <c r="Q45" s="528"/>
      <c r="R45" s="528"/>
      <c r="S45" s="528"/>
      <c r="T45" s="531"/>
      <c r="U45" s="528"/>
      <c r="V45" s="532"/>
      <c r="W45" s="532"/>
      <c r="X45" s="232"/>
      <c r="Y45" s="533"/>
      <c r="Z45" s="528"/>
      <c r="AA45" s="534"/>
      <c r="AB45" s="528"/>
      <c r="AC45" s="531"/>
      <c r="AD45" s="531"/>
    </row>
    <row r="46" spans="1:30" s="224" customFormat="1" ht="13.5" customHeight="1">
      <c r="A46" s="225">
        <v>38</v>
      </c>
      <c r="B46" s="217"/>
      <c r="C46" s="535"/>
      <c r="D46" s="241"/>
      <c r="E46" s="241"/>
      <c r="F46" s="241"/>
      <c r="G46" s="241"/>
      <c r="H46" s="528"/>
      <c r="I46" s="529"/>
      <c r="J46" s="528"/>
      <c r="K46" s="529"/>
      <c r="L46" s="528"/>
      <c r="M46" s="528"/>
      <c r="N46" s="528"/>
      <c r="O46" s="528"/>
      <c r="P46" s="530"/>
      <c r="Q46" s="528"/>
      <c r="R46" s="528"/>
      <c r="S46" s="528"/>
      <c r="T46" s="531"/>
      <c r="U46" s="528"/>
      <c r="V46" s="532"/>
      <c r="W46" s="532"/>
      <c r="X46" s="232"/>
      <c r="Y46" s="533"/>
      <c r="Z46" s="528"/>
      <c r="AA46" s="534"/>
      <c r="AB46" s="528"/>
      <c r="AC46" s="531"/>
      <c r="AD46" s="531"/>
    </row>
    <row r="47" spans="1:30" s="224" customFormat="1" ht="13.5" customHeight="1">
      <c r="A47" s="225">
        <v>39</v>
      </c>
      <c r="B47" s="217"/>
      <c r="C47" s="535"/>
      <c r="D47" s="241"/>
      <c r="E47" s="241"/>
      <c r="F47" s="241"/>
      <c r="G47" s="241"/>
      <c r="H47" s="528"/>
      <c r="I47" s="529"/>
      <c r="J47" s="528"/>
      <c r="K47" s="529"/>
      <c r="L47" s="528"/>
      <c r="M47" s="528"/>
      <c r="N47" s="528"/>
      <c r="O47" s="528"/>
      <c r="P47" s="530"/>
      <c r="Q47" s="528"/>
      <c r="R47" s="528"/>
      <c r="S47" s="528"/>
      <c r="T47" s="531"/>
      <c r="U47" s="528"/>
      <c r="V47" s="532"/>
      <c r="W47" s="532"/>
      <c r="X47" s="232"/>
      <c r="Y47" s="533"/>
      <c r="Z47" s="528"/>
      <c r="AA47" s="534"/>
      <c r="AB47" s="528"/>
      <c r="AC47" s="531"/>
      <c r="AD47" s="531"/>
    </row>
    <row r="48" spans="1:30" s="224" customFormat="1" ht="13.5" customHeight="1">
      <c r="A48" s="225">
        <v>40</v>
      </c>
      <c r="B48" s="217"/>
      <c r="C48" s="535"/>
      <c r="D48" s="241"/>
      <c r="E48" s="241"/>
      <c r="F48" s="241"/>
      <c r="G48" s="241"/>
      <c r="H48" s="528"/>
      <c r="I48" s="529"/>
      <c r="J48" s="528"/>
      <c r="K48" s="529"/>
      <c r="L48" s="528"/>
      <c r="M48" s="528"/>
      <c r="N48" s="528"/>
      <c r="O48" s="528"/>
      <c r="P48" s="530"/>
      <c r="Q48" s="528"/>
      <c r="R48" s="528"/>
      <c r="S48" s="528"/>
      <c r="T48" s="531"/>
      <c r="U48" s="528"/>
      <c r="V48" s="532"/>
      <c r="W48" s="532"/>
      <c r="X48" s="232"/>
      <c r="Y48" s="533"/>
      <c r="Z48" s="528"/>
      <c r="AA48" s="534"/>
      <c r="AB48" s="528"/>
      <c r="AC48" s="531"/>
      <c r="AD48" s="531"/>
    </row>
    <row r="49" spans="1:1017" s="224" customFormat="1" ht="13.5" customHeight="1">
      <c r="A49" s="225">
        <v>41</v>
      </c>
      <c r="B49" s="217"/>
      <c r="C49" s="535"/>
      <c r="D49" s="241"/>
      <c r="E49" s="241"/>
      <c r="F49" s="241"/>
      <c r="G49" s="241"/>
      <c r="H49" s="528"/>
      <c r="I49" s="529"/>
      <c r="J49" s="528"/>
      <c r="K49" s="529"/>
      <c r="L49" s="528"/>
      <c r="M49" s="528"/>
      <c r="N49" s="528"/>
      <c r="O49" s="528"/>
      <c r="P49" s="530"/>
      <c r="Q49" s="528"/>
      <c r="R49" s="528"/>
      <c r="S49" s="528"/>
      <c r="T49" s="531"/>
      <c r="U49" s="528"/>
      <c r="V49" s="532"/>
      <c r="W49" s="532"/>
      <c r="X49" s="232"/>
      <c r="Y49" s="533"/>
      <c r="Z49" s="528"/>
      <c r="AA49" s="534"/>
      <c r="AB49" s="528"/>
      <c r="AC49" s="531"/>
      <c r="AD49" s="531"/>
    </row>
    <row r="50" spans="1:1017" s="224" customFormat="1" ht="13.5" customHeight="1">
      <c r="A50" s="225">
        <v>42</v>
      </c>
      <c r="B50" s="217"/>
      <c r="C50" s="535"/>
      <c r="D50" s="241"/>
      <c r="E50" s="241"/>
      <c r="F50" s="241"/>
      <c r="G50" s="241"/>
      <c r="H50" s="528"/>
      <c r="I50" s="529"/>
      <c r="J50" s="528"/>
      <c r="K50" s="529"/>
      <c r="L50" s="528"/>
      <c r="M50" s="528"/>
      <c r="N50" s="528"/>
      <c r="O50" s="528"/>
      <c r="P50" s="530"/>
      <c r="Q50" s="528"/>
      <c r="R50" s="528"/>
      <c r="S50" s="528"/>
      <c r="T50" s="531"/>
      <c r="U50" s="528"/>
      <c r="V50" s="532"/>
      <c r="W50" s="532"/>
      <c r="X50" s="232"/>
      <c r="Y50" s="533"/>
      <c r="Z50" s="528"/>
      <c r="AA50" s="534"/>
      <c r="AB50" s="528"/>
      <c r="AC50" s="531"/>
      <c r="AD50" s="531"/>
    </row>
    <row r="51" spans="1:1017" s="224" customFormat="1" ht="13.5" customHeight="1">
      <c r="A51" s="225">
        <v>43</v>
      </c>
      <c r="B51" s="217"/>
      <c r="C51" s="535"/>
      <c r="D51" s="241"/>
      <c r="E51" s="241"/>
      <c r="F51" s="241"/>
      <c r="G51" s="241"/>
      <c r="H51" s="528"/>
      <c r="I51" s="529"/>
      <c r="J51" s="528"/>
      <c r="K51" s="529"/>
      <c r="L51" s="528"/>
      <c r="M51" s="528"/>
      <c r="N51" s="528"/>
      <c r="O51" s="528"/>
      <c r="P51" s="530"/>
      <c r="Q51" s="528"/>
      <c r="R51" s="528"/>
      <c r="S51" s="528"/>
      <c r="T51" s="531"/>
      <c r="U51" s="528"/>
      <c r="V51" s="532"/>
      <c r="W51" s="532"/>
      <c r="X51" s="232"/>
      <c r="Y51" s="533"/>
      <c r="Z51" s="528"/>
      <c r="AA51" s="534"/>
      <c r="AB51" s="528"/>
      <c r="AC51" s="531"/>
      <c r="AD51" s="531"/>
    </row>
    <row r="52" spans="1:1017" s="224" customFormat="1" ht="13.5" customHeight="1">
      <c r="A52" s="225">
        <v>44</v>
      </c>
      <c r="B52" s="217"/>
      <c r="C52" s="535"/>
      <c r="D52" s="241"/>
      <c r="E52" s="241"/>
      <c r="F52" s="241"/>
      <c r="G52" s="241"/>
      <c r="H52" s="528"/>
      <c r="I52" s="529"/>
      <c r="J52" s="528"/>
      <c r="K52" s="529"/>
      <c r="L52" s="528"/>
      <c r="M52" s="528"/>
      <c r="N52" s="528"/>
      <c r="O52" s="528"/>
      <c r="P52" s="530"/>
      <c r="Q52" s="528"/>
      <c r="R52" s="528"/>
      <c r="S52" s="528"/>
      <c r="T52" s="531"/>
      <c r="U52" s="528"/>
      <c r="V52" s="532"/>
      <c r="W52" s="532"/>
      <c r="X52" s="232"/>
      <c r="Y52" s="533"/>
      <c r="Z52" s="528"/>
      <c r="AA52" s="534"/>
      <c r="AB52" s="528"/>
      <c r="AC52" s="531"/>
      <c r="AD52" s="531"/>
    </row>
    <row r="53" spans="1:1017" s="224" customFormat="1" ht="13.5" customHeight="1">
      <c r="A53" s="225">
        <v>45</v>
      </c>
      <c r="B53" s="217"/>
      <c r="C53" s="535"/>
      <c r="D53" s="241"/>
      <c r="E53" s="241"/>
      <c r="F53" s="241"/>
      <c r="G53" s="241"/>
      <c r="H53" s="528"/>
      <c r="I53" s="529"/>
      <c r="J53" s="528"/>
      <c r="K53" s="529"/>
      <c r="L53" s="528"/>
      <c r="M53" s="528"/>
      <c r="N53" s="528"/>
      <c r="O53" s="528"/>
      <c r="P53" s="530"/>
      <c r="Q53" s="528"/>
      <c r="R53" s="528"/>
      <c r="S53" s="528"/>
      <c r="T53" s="531"/>
      <c r="U53" s="528"/>
      <c r="V53" s="532"/>
      <c r="W53" s="532"/>
      <c r="X53" s="232"/>
      <c r="Y53" s="533"/>
      <c r="Z53" s="528"/>
      <c r="AA53" s="534"/>
      <c r="AB53" s="528"/>
      <c r="AC53" s="531"/>
      <c r="AD53" s="531"/>
    </row>
    <row r="54" spans="1:1017" s="224" customFormat="1" ht="13.5" customHeight="1">
      <c r="A54" s="225">
        <v>46</v>
      </c>
      <c r="B54" s="217"/>
      <c r="C54" s="535"/>
      <c r="D54" s="241"/>
      <c r="E54" s="241"/>
      <c r="F54" s="241"/>
      <c r="G54" s="241"/>
      <c r="H54" s="528"/>
      <c r="I54" s="529"/>
      <c r="J54" s="528"/>
      <c r="K54" s="529"/>
      <c r="L54" s="528"/>
      <c r="M54" s="528"/>
      <c r="N54" s="528"/>
      <c r="O54" s="528"/>
      <c r="P54" s="530"/>
      <c r="Q54" s="528"/>
      <c r="R54" s="528"/>
      <c r="S54" s="528"/>
      <c r="T54" s="531"/>
      <c r="U54" s="528"/>
      <c r="V54" s="532"/>
      <c r="W54" s="532"/>
      <c r="X54" s="232"/>
      <c r="Y54" s="533"/>
      <c r="Z54" s="528"/>
      <c r="AA54" s="534"/>
      <c r="AB54" s="528"/>
      <c r="AC54" s="531"/>
      <c r="AD54" s="531"/>
    </row>
    <row r="55" spans="1:1017" s="224" customFormat="1" ht="13.5" customHeight="1">
      <c r="A55" s="225">
        <v>47</v>
      </c>
      <c r="B55" s="217"/>
      <c r="C55" s="535"/>
      <c r="D55" s="241"/>
      <c r="E55" s="241"/>
      <c r="F55" s="241"/>
      <c r="G55" s="241"/>
      <c r="H55" s="528"/>
      <c r="I55" s="529"/>
      <c r="J55" s="528"/>
      <c r="K55" s="529"/>
      <c r="L55" s="528"/>
      <c r="M55" s="528"/>
      <c r="N55" s="528"/>
      <c r="O55" s="528"/>
      <c r="P55" s="530"/>
      <c r="Q55" s="528"/>
      <c r="R55" s="528"/>
      <c r="S55" s="528"/>
      <c r="T55" s="531"/>
      <c r="U55" s="528"/>
      <c r="V55" s="532"/>
      <c r="W55" s="532"/>
      <c r="X55" s="232"/>
      <c r="Y55" s="533"/>
      <c r="Z55" s="528"/>
      <c r="AA55" s="534"/>
      <c r="AB55" s="528"/>
      <c r="AC55" s="531"/>
      <c r="AD55" s="531"/>
    </row>
    <row r="56" spans="1:1017" s="224" customFormat="1" ht="13.5" customHeight="1">
      <c r="A56" s="225">
        <v>48</v>
      </c>
      <c r="B56" s="217"/>
      <c r="C56" s="512"/>
      <c r="D56" s="241"/>
      <c r="E56" s="241"/>
      <c r="F56" s="241"/>
      <c r="G56" s="241"/>
      <c r="H56" s="504"/>
      <c r="I56" s="503"/>
      <c r="J56" s="504"/>
      <c r="K56" s="503"/>
      <c r="L56" s="504"/>
      <c r="M56" s="504"/>
      <c r="N56" s="504"/>
      <c r="O56" s="504"/>
      <c r="P56" s="505"/>
      <c r="Q56" s="504"/>
      <c r="R56" s="504"/>
      <c r="S56" s="504"/>
      <c r="T56" s="506"/>
      <c r="U56" s="504"/>
      <c r="V56" s="507"/>
      <c r="W56" s="507"/>
      <c r="X56" s="232"/>
      <c r="Y56" s="513"/>
      <c r="Z56" s="504"/>
      <c r="AA56" s="508"/>
      <c r="AB56" s="504"/>
      <c r="AC56" s="506"/>
      <c r="AD56" s="506"/>
    </row>
    <row r="57" spans="1:1017" s="224" customFormat="1" ht="12" customHeight="1">
      <c r="A57" s="225">
        <f>SUBTOTAL(103,createCase2912[ID])</f>
        <v>48</v>
      </c>
      <c r="C57" s="225">
        <f>SUBTOTAL(103,createCase2912[Donnée (Niveau 2)])</f>
        <v>15</v>
      </c>
      <c r="D57" s="225">
        <f>SUBTOTAL(103,createCase2912[Donnée (Niveau 3)])</f>
        <v>6</v>
      </c>
      <c r="E57" s="225">
        <f>SUBTOTAL(103,createCase2912[Donnée (Niveau 4)])</f>
        <v>0</v>
      </c>
      <c r="F57" s="225">
        <f>SUBTOTAL(103,createCase2912[Donnée (Niveau 5)])</f>
        <v>0</v>
      </c>
      <c r="G57" s="225">
        <f>SUBTOTAL(103,createCase2912[Donnée (Niveau 6)])</f>
        <v>0</v>
      </c>
      <c r="H57" s="225">
        <f>SUBTOTAL(103,createCase2912[Description])</f>
        <v>0</v>
      </c>
      <c r="I57" s="225">
        <f>SUBTOTAL(103,createCase2912[Exemples])</f>
        <v>0</v>
      </c>
      <c r="J57" s="225">
        <f>SUBTOTAL(103,createCase2912[Balise NexSIS])</f>
        <v>0</v>
      </c>
      <c r="K57" s="239">
        <f>SUBTOTAL(103,createCase2912[Nouvelle balise])</f>
        <v>20</v>
      </c>
      <c r="L57" s="225">
        <f>SUBTOTAL(103,createCase2912[Nantes - balise])</f>
        <v>0</v>
      </c>
      <c r="M57" s="225">
        <f>SUBTOTAL(103,createCase2912[Nantes - description])</f>
        <v>0</v>
      </c>
      <c r="N57" s="225">
        <f>SUBTOTAL(103,createCase2912[GT399])</f>
        <v>0</v>
      </c>
      <c r="O57" s="225">
        <f>SUBTOTAL(103,createCase2912[GT399 description])</f>
        <v>0</v>
      </c>
      <c r="P57" s="234">
        <f>SUBTOTAL(103,createCase2912[Priorisation])</f>
        <v>0</v>
      </c>
      <c r="Q57" s="225"/>
      <c r="R57" s="225">
        <f>SUBTOTAL(103,createCase2912[Objet])</f>
        <v>0</v>
      </c>
      <c r="S57" s="225">
        <f>SUBTOTAL(103,createCase2912[Format (ou type)])</f>
        <v>0</v>
      </c>
      <c r="T57" s="274"/>
      <c r="U57" s="225"/>
      <c r="V57" s="225"/>
      <c r="W57" s="225"/>
      <c r="Y57" s="271">
        <f>SUBTOTAL(103,createCase2912[Commentaire Hub Santé])</f>
        <v>0</v>
      </c>
      <c r="Z57" s="225">
        <f>SUBTOTAL(103,createCase2912[Commentaire Philippe Dreyfus])</f>
        <v>0</v>
      </c>
      <c r="AA57" s="239"/>
      <c r="AB57" s="225">
        <f>SUBTOTAL(103,createCase2912[Commentaire Yann Penverne])</f>
        <v>0</v>
      </c>
      <c r="AC57" s="225">
        <f>SUBTOTAL(103,createCase2912[NexSIS])-COUNTIFS(createCase2912[NexSIS],"=X")</f>
        <v>0</v>
      </c>
      <c r="AD57" s="225">
        <f>SUBTOTAL(103,createCase2912[Métier])-COUNTIFS(createCase2912[Métier],"=X")</f>
        <v>0</v>
      </c>
    </row>
    <row r="58" spans="1:1017" s="128" customFormat="1" ht="12" customHeight="1">
      <c r="A58" s="3"/>
      <c r="B58" s="3"/>
      <c r="C58" s="131"/>
      <c r="D58" s="131"/>
      <c r="E58" s="131"/>
      <c r="F58" s="131"/>
      <c r="G58" s="5"/>
      <c r="H58" s="155"/>
      <c r="I58" s="225"/>
      <c r="J58" s="5"/>
      <c r="K58" s="155"/>
      <c r="L58" s="5"/>
      <c r="M58" s="5"/>
      <c r="N58" s="5"/>
      <c r="O58" s="5"/>
      <c r="P58" s="188"/>
      <c r="Q58" s="5"/>
      <c r="R58" s="5"/>
      <c r="S58" s="5"/>
      <c r="T58" s="56"/>
      <c r="U58" s="56"/>
      <c r="V58" s="56"/>
      <c r="W58" s="56"/>
      <c r="X58"/>
      <c r="Y58" s="178"/>
      <c r="Z58" s="5"/>
      <c r="AA58" s="159"/>
      <c r="AB58" s="56"/>
      <c r="AD58" s="56"/>
      <c r="AMA58"/>
      <c r="AMB58"/>
      <c r="AMC58"/>
    </row>
    <row r="59" spans="1:1017" s="128" customFormat="1" ht="12" customHeight="1">
      <c r="A59" s="129"/>
      <c r="B59" s="129"/>
      <c r="C59" s="129"/>
      <c r="D59" s="129"/>
      <c r="E59" s="129"/>
      <c r="F59" s="129"/>
      <c r="G59" s="96"/>
      <c r="H59" s="96"/>
      <c r="I59" s="225"/>
      <c r="J59" s="96"/>
      <c r="K59" s="159"/>
      <c r="L59" s="96"/>
      <c r="M59" s="96"/>
      <c r="N59" s="96"/>
      <c r="O59" s="96"/>
      <c r="P59" s="173"/>
      <c r="Q59" s="96"/>
      <c r="R59" s="96"/>
      <c r="S59" s="96"/>
      <c r="T59" s="278"/>
      <c r="U59" s="96"/>
      <c r="V59" s="96"/>
      <c r="W59" s="96"/>
      <c r="X59"/>
      <c r="Y59" s="179"/>
      <c r="Z59" s="96"/>
      <c r="AA59" s="159"/>
      <c r="AB59" s="96"/>
      <c r="AD59" s="96"/>
      <c r="AMA59"/>
      <c r="AMB59"/>
      <c r="AMC59"/>
    </row>
    <row r="60" spans="1:1017" s="128" customFormat="1" ht="12" customHeight="1">
      <c r="I60" s="224"/>
      <c r="P60" s="174"/>
      <c r="R60" s="96"/>
      <c r="S60" s="96"/>
      <c r="T60" s="278"/>
      <c r="U60" s="96"/>
      <c r="V60" s="96"/>
      <c r="W60" s="96"/>
      <c r="X60"/>
      <c r="Y60" s="179"/>
      <c r="Z60" s="96"/>
      <c r="AA60" s="159"/>
      <c r="AB60" s="96"/>
      <c r="AD60" s="96"/>
      <c r="AMA60"/>
      <c r="AMB60"/>
      <c r="AMC60"/>
    </row>
    <row r="61" spans="1:1017" s="128" customFormat="1" ht="12" customHeight="1">
      <c r="I61" s="224"/>
      <c r="P61" s="174"/>
      <c r="R61" s="96"/>
      <c r="S61" s="96"/>
      <c r="T61" s="278"/>
      <c r="U61" s="96"/>
      <c r="V61" s="96"/>
      <c r="W61" s="96"/>
      <c r="X61"/>
      <c r="Y61" s="179"/>
      <c r="Z61" s="96"/>
      <c r="AA61" s="159"/>
      <c r="AB61" s="96"/>
      <c r="AD61" s="96"/>
      <c r="AMA61"/>
      <c r="AMB61"/>
      <c r="AMC61"/>
    </row>
    <row r="62" spans="1:1017" s="128" customFormat="1" ht="12" customHeight="1">
      <c r="I62" s="224"/>
      <c r="P62" s="174"/>
      <c r="R62" s="96"/>
      <c r="S62" s="96"/>
      <c r="T62" s="278"/>
      <c r="U62" s="96"/>
      <c r="V62" s="96"/>
      <c r="W62" s="96"/>
      <c r="X62"/>
      <c r="Y62" s="179"/>
      <c r="Z62" s="96"/>
      <c r="AA62" s="159"/>
      <c r="AB62" s="96"/>
      <c r="AD62" s="96"/>
      <c r="AMA62"/>
      <c r="AMB62"/>
      <c r="AMC62"/>
    </row>
    <row r="63" spans="1:1017" s="128" customFormat="1" ht="12" customHeight="1">
      <c r="I63" s="224"/>
      <c r="P63" s="174"/>
      <c r="R63" s="96"/>
      <c r="S63" s="96"/>
      <c r="T63" s="278"/>
      <c r="U63" s="96"/>
      <c r="V63" s="96"/>
      <c r="W63" s="96"/>
      <c r="X63"/>
      <c r="Y63" s="179"/>
      <c r="Z63" s="96"/>
      <c r="AA63" s="159"/>
      <c r="AB63" s="96"/>
      <c r="AD63" s="96"/>
      <c r="AMA63"/>
      <c r="AMB63"/>
      <c r="AMC63"/>
    </row>
    <row r="64" spans="1:1017" ht="12" customHeight="1">
      <c r="G64" s="128"/>
      <c r="H64" s="128"/>
      <c r="I64" s="224"/>
      <c r="J64" s="128"/>
      <c r="K64" s="128"/>
      <c r="L64" s="128"/>
      <c r="M64" s="128"/>
      <c r="N64" s="128"/>
      <c r="O64" s="128"/>
      <c r="P64" s="174"/>
      <c r="Q64" s="128"/>
    </row>
    <row r="65" spans="1:1016" s="117" customFormat="1" ht="12" customHeight="1">
      <c r="A65" s="128"/>
      <c r="B65" s="128"/>
      <c r="C65" s="128"/>
      <c r="D65" s="128"/>
      <c r="E65" s="128"/>
      <c r="F65" s="128"/>
      <c r="G65" s="96"/>
      <c r="H65" s="96"/>
      <c r="I65" s="225"/>
      <c r="J65" s="96"/>
      <c r="K65" s="159"/>
      <c r="L65" s="96"/>
      <c r="M65" s="96"/>
      <c r="N65" s="96"/>
      <c r="O65" s="96"/>
      <c r="P65" s="173"/>
      <c r="Q65" s="96"/>
      <c r="R65" s="96"/>
      <c r="S65" s="96"/>
      <c r="T65" s="278"/>
      <c r="U65" s="96"/>
      <c r="V65" s="96"/>
      <c r="W65" s="96"/>
      <c r="X65"/>
      <c r="Y65" s="179"/>
      <c r="Z65" s="96"/>
      <c r="AA65" s="161"/>
      <c r="AB65" s="96"/>
      <c r="AD65" s="96"/>
      <c r="AMB65"/>
    </row>
    <row r="66" spans="1:1016" ht="12" customHeight="1">
      <c r="A66" s="117"/>
      <c r="B66" s="117"/>
      <c r="C66" s="117"/>
      <c r="D66" s="117"/>
      <c r="E66" s="117"/>
      <c r="F66" s="117"/>
      <c r="G66" s="117"/>
      <c r="H66" s="117"/>
      <c r="I66" s="251"/>
      <c r="J66" s="117"/>
      <c r="K66" s="117"/>
      <c r="L66" s="117"/>
      <c r="M66" s="117"/>
      <c r="N66" s="117"/>
      <c r="O66" s="117"/>
      <c r="P66" s="189"/>
      <c r="Q66" s="117"/>
    </row>
    <row r="67" spans="1:1016" ht="12" customHeight="1">
      <c r="R67" s="112"/>
      <c r="S67" s="112"/>
      <c r="T67" s="125"/>
      <c r="U67" s="112"/>
      <c r="V67" s="112"/>
      <c r="W67" s="112"/>
      <c r="Y67" s="180"/>
      <c r="Z67" s="112"/>
      <c r="AB67" s="112"/>
      <c r="AD67" s="112"/>
    </row>
    <row r="79" spans="1:1016" ht="12" customHeight="1">
      <c r="A79" s="130"/>
      <c r="B79" s="130"/>
      <c r="C79" s="130"/>
      <c r="D79" s="130"/>
      <c r="E79" s="130"/>
      <c r="F79" s="130"/>
    </row>
    <row r="80" spans="1:1016" ht="12" customHeight="1">
      <c r="A80" s="130"/>
      <c r="B80" s="130"/>
      <c r="C80" s="130"/>
      <c r="D80" s="130"/>
      <c r="E80" s="130"/>
      <c r="F80" s="130"/>
    </row>
    <row r="81" spans="1:1016" ht="12" customHeight="1">
      <c r="A81" s="130"/>
      <c r="B81" s="130"/>
      <c r="C81" s="130"/>
      <c r="D81" s="130"/>
      <c r="E81" s="130"/>
      <c r="F81" s="130"/>
    </row>
    <row r="82" spans="1:1016" ht="12" customHeight="1">
      <c r="A82" s="130"/>
      <c r="B82" s="130"/>
      <c r="C82" s="130"/>
      <c r="D82" s="130"/>
      <c r="E82" s="130"/>
      <c r="F82" s="130"/>
    </row>
    <row r="83" spans="1:1016" ht="12" customHeight="1">
      <c r="A83" s="130"/>
      <c r="B83" s="130"/>
      <c r="C83" s="130"/>
      <c r="D83" s="130"/>
      <c r="E83" s="130"/>
      <c r="F83" s="130"/>
    </row>
    <row r="84" spans="1:1016" ht="12" customHeight="1">
      <c r="A84" s="130"/>
      <c r="B84" s="130"/>
      <c r="C84" s="130"/>
      <c r="D84" s="130"/>
      <c r="E84" s="130"/>
      <c r="F84" s="130"/>
    </row>
    <row r="85" spans="1:1016" ht="12" customHeight="1">
      <c r="A85" s="130"/>
      <c r="B85" s="130"/>
      <c r="C85" s="130"/>
      <c r="D85" s="130"/>
      <c r="E85" s="130"/>
      <c r="F85" s="130"/>
    </row>
    <row r="86" spans="1:1016" ht="12" customHeight="1">
      <c r="A86" s="130"/>
      <c r="B86" s="130"/>
      <c r="C86" s="130"/>
      <c r="D86" s="130"/>
      <c r="E86" s="130"/>
      <c r="F86" s="130"/>
    </row>
    <row r="87" spans="1:1016" ht="12" customHeight="1">
      <c r="A87" s="129"/>
      <c r="B87" s="129"/>
      <c r="C87" s="129"/>
      <c r="D87" s="129"/>
      <c r="E87" s="129"/>
      <c r="F87" s="129"/>
    </row>
    <row r="88" spans="1:1016" ht="12" customHeight="1">
      <c r="A88" s="129"/>
      <c r="B88" s="129"/>
      <c r="C88" s="129"/>
      <c r="D88" s="129"/>
      <c r="E88" s="129"/>
      <c r="F88" s="129"/>
    </row>
    <row r="89" spans="1:1016" ht="12" customHeight="1">
      <c r="A89" s="129"/>
      <c r="B89" s="129"/>
      <c r="C89" s="129"/>
      <c r="D89" s="129"/>
      <c r="E89" s="129"/>
      <c r="F89" s="129"/>
    </row>
    <row r="90" spans="1:1016" ht="12" customHeight="1">
      <c r="A90" s="129"/>
      <c r="B90" s="129"/>
      <c r="C90" s="129"/>
      <c r="D90" s="129"/>
      <c r="E90" s="129"/>
      <c r="F90" s="129"/>
    </row>
    <row r="91" spans="1:1016" ht="12" customHeight="1">
      <c r="A91" s="129"/>
      <c r="B91" s="129"/>
      <c r="C91" s="129"/>
      <c r="D91" s="129"/>
      <c r="E91" s="129"/>
      <c r="F91" s="129"/>
    </row>
    <row r="92" spans="1:1016" ht="12" customHeight="1">
      <c r="A92" s="129"/>
      <c r="B92" s="129"/>
      <c r="C92" s="129"/>
      <c r="D92" s="129"/>
      <c r="E92" s="129"/>
      <c r="F92" s="129"/>
    </row>
    <row r="93" spans="1:1016" ht="12" customHeight="1">
      <c r="A93" s="129"/>
      <c r="B93" s="129"/>
      <c r="C93" s="129"/>
      <c r="D93" s="129"/>
      <c r="E93" s="129"/>
      <c r="F93" s="129"/>
    </row>
    <row r="94" spans="1:1016" s="117" customFormat="1" ht="12" customHeight="1">
      <c r="A94" s="129"/>
      <c r="B94" s="129"/>
      <c r="C94" s="129"/>
      <c r="D94" s="129"/>
      <c r="E94" s="129"/>
      <c r="F94" s="129"/>
      <c r="G94" s="96"/>
      <c r="H94" s="96"/>
      <c r="I94" s="225"/>
      <c r="J94" s="96"/>
      <c r="K94" s="159"/>
      <c r="L94" s="96"/>
      <c r="M94" s="96"/>
      <c r="N94" s="96"/>
      <c r="O94" s="96"/>
      <c r="P94" s="173"/>
      <c r="Q94" s="96"/>
      <c r="R94" s="96"/>
      <c r="S94" s="96"/>
      <c r="T94" s="278"/>
      <c r="U94" s="96"/>
      <c r="V94" s="96"/>
      <c r="W94" s="96"/>
      <c r="X94"/>
      <c r="Y94" s="179"/>
      <c r="Z94" s="96"/>
      <c r="AA94" s="161"/>
      <c r="AB94" s="96"/>
      <c r="AD94" s="96"/>
      <c r="AMB94"/>
    </row>
    <row r="95" spans="1:1016" s="117" customFormat="1" ht="12" customHeight="1">
      <c r="A95" s="130"/>
      <c r="B95" s="130"/>
      <c r="C95" s="130"/>
      <c r="D95" s="130"/>
      <c r="E95" s="130"/>
      <c r="F95" s="130"/>
      <c r="G95" s="96"/>
      <c r="H95" s="96"/>
      <c r="I95" s="225"/>
      <c r="J95" s="96"/>
      <c r="K95" s="159"/>
      <c r="L95" s="96"/>
      <c r="M95" s="96"/>
      <c r="N95" s="96"/>
      <c r="O95" s="96"/>
      <c r="P95" s="173"/>
      <c r="Q95" s="96"/>
      <c r="R95" s="96"/>
      <c r="S95" s="96"/>
      <c r="T95" s="278"/>
      <c r="U95" s="96"/>
      <c r="V95" s="96"/>
      <c r="W95" s="96"/>
      <c r="X95"/>
      <c r="Y95" s="179"/>
      <c r="Z95" s="96"/>
      <c r="AA95" s="161"/>
      <c r="AB95" s="96"/>
      <c r="AD95" s="96"/>
      <c r="AMB95"/>
    </row>
    <row r="96" spans="1:1016" s="117" customFormat="1" ht="12" customHeight="1">
      <c r="A96" s="123"/>
      <c r="B96" s="123"/>
      <c r="C96" s="123"/>
      <c r="D96" s="123"/>
      <c r="E96" s="123"/>
      <c r="F96" s="123"/>
      <c r="G96" s="112"/>
      <c r="H96" s="112"/>
      <c r="I96" s="277"/>
      <c r="J96" s="112"/>
      <c r="K96" s="161"/>
      <c r="L96" s="112"/>
      <c r="M96" s="112"/>
      <c r="N96" s="112"/>
      <c r="O96" s="112"/>
      <c r="P96" s="190"/>
      <c r="Q96" s="112"/>
      <c r="R96" s="112"/>
      <c r="S96" s="112"/>
      <c r="T96" s="125"/>
      <c r="U96" s="112"/>
      <c r="V96" s="112"/>
      <c r="W96" s="112"/>
      <c r="X96"/>
      <c r="Y96" s="180"/>
      <c r="Z96" s="112"/>
      <c r="AA96" s="161"/>
      <c r="AB96" s="112"/>
      <c r="AD96" s="112"/>
      <c r="AMB96"/>
    </row>
    <row r="97" spans="1:1016" s="117" customFormat="1" ht="12" customHeight="1">
      <c r="A97" s="123"/>
      <c r="B97" s="123"/>
      <c r="C97" s="123"/>
      <c r="D97" s="123"/>
      <c r="E97" s="123"/>
      <c r="F97" s="123"/>
      <c r="G97" s="112"/>
      <c r="H97" s="112"/>
      <c r="I97" s="277"/>
      <c r="J97" s="112"/>
      <c r="K97" s="161"/>
      <c r="L97" s="112"/>
      <c r="M97" s="112"/>
      <c r="N97" s="112"/>
      <c r="O97" s="112"/>
      <c r="P97" s="190"/>
      <c r="Q97" s="112"/>
      <c r="R97" s="112"/>
      <c r="S97" s="112"/>
      <c r="T97" s="125"/>
      <c r="U97" s="112"/>
      <c r="V97" s="112"/>
      <c r="W97" s="112"/>
      <c r="X97"/>
      <c r="Y97" s="180"/>
      <c r="Z97" s="112"/>
      <c r="AA97" s="161"/>
      <c r="AB97" s="112"/>
      <c r="AD97" s="112"/>
      <c r="AMB97"/>
    </row>
    <row r="98" spans="1:1016" s="117" customFormat="1" ht="12" customHeight="1">
      <c r="A98" s="123"/>
      <c r="B98" s="123"/>
      <c r="C98" s="123"/>
      <c r="D98" s="123"/>
      <c r="E98" s="123"/>
      <c r="F98" s="123"/>
      <c r="G98" s="112"/>
      <c r="H98" s="112"/>
      <c r="I98" s="277"/>
      <c r="J98" s="112"/>
      <c r="K98" s="161"/>
      <c r="L98" s="112"/>
      <c r="M98" s="112"/>
      <c r="N98" s="112"/>
      <c r="O98" s="112"/>
      <c r="P98" s="190"/>
      <c r="Q98" s="112"/>
      <c r="R98" s="112"/>
      <c r="S98" s="112"/>
      <c r="T98" s="125"/>
      <c r="U98" s="112"/>
      <c r="V98" s="112"/>
      <c r="W98" s="112"/>
      <c r="X98"/>
      <c r="Y98" s="180"/>
      <c r="Z98" s="112"/>
      <c r="AA98" s="161"/>
      <c r="AB98" s="112"/>
      <c r="AD98" s="112"/>
      <c r="AMB98"/>
    </row>
    <row r="99" spans="1:1016" s="117" customFormat="1" ht="12" customHeight="1">
      <c r="A99" s="123"/>
      <c r="B99" s="123"/>
      <c r="C99" s="123"/>
      <c r="D99" s="123"/>
      <c r="E99" s="123"/>
      <c r="F99" s="123"/>
      <c r="G99" s="112"/>
      <c r="H99" s="112"/>
      <c r="I99" s="277"/>
      <c r="J99" s="112"/>
      <c r="K99" s="161"/>
      <c r="L99" s="112"/>
      <c r="M99" s="112"/>
      <c r="N99" s="112"/>
      <c r="O99" s="112"/>
      <c r="P99" s="190"/>
      <c r="Q99" s="112"/>
      <c r="R99" s="112"/>
      <c r="S99" s="112"/>
      <c r="T99" s="125"/>
      <c r="U99" s="112"/>
      <c r="V99" s="112"/>
      <c r="W99" s="112"/>
      <c r="X99"/>
      <c r="Y99" s="180"/>
      <c r="Z99" s="112"/>
      <c r="AA99" s="161"/>
      <c r="AB99" s="112"/>
      <c r="AD99" s="112"/>
      <c r="AMB99"/>
    </row>
    <row r="100" spans="1:1016" s="117" customFormat="1" ht="12" customHeight="1">
      <c r="A100" s="123"/>
      <c r="B100" s="123"/>
      <c r="C100" s="123"/>
      <c r="D100" s="123"/>
      <c r="E100" s="123"/>
      <c r="F100" s="123"/>
      <c r="G100" s="112"/>
      <c r="H100" s="112"/>
      <c r="I100" s="277"/>
      <c r="J100" s="112"/>
      <c r="K100" s="161"/>
      <c r="L100" s="112"/>
      <c r="M100" s="112"/>
      <c r="N100" s="112"/>
      <c r="O100" s="112"/>
      <c r="P100" s="190"/>
      <c r="Q100" s="112"/>
      <c r="R100" s="112"/>
      <c r="S100" s="112"/>
      <c r="T100" s="125"/>
      <c r="U100" s="112"/>
      <c r="V100" s="112"/>
      <c r="W100" s="112"/>
      <c r="X100"/>
      <c r="Y100" s="180"/>
      <c r="Z100" s="112"/>
      <c r="AA100" s="161"/>
      <c r="AB100" s="112"/>
      <c r="AD100" s="112"/>
      <c r="AMB100"/>
    </row>
    <row r="101" spans="1:1016" ht="12" customHeight="1">
      <c r="A101" s="123"/>
      <c r="B101" s="123"/>
      <c r="C101" s="123"/>
      <c r="D101" s="123"/>
      <c r="E101" s="123"/>
      <c r="F101" s="123"/>
      <c r="G101" s="112"/>
      <c r="H101" s="112"/>
      <c r="I101" s="277"/>
      <c r="J101" s="112"/>
      <c r="K101" s="161"/>
      <c r="L101" s="112"/>
      <c r="M101" s="112"/>
      <c r="N101" s="112"/>
      <c r="O101" s="112"/>
      <c r="P101" s="190"/>
      <c r="Q101" s="112"/>
      <c r="R101" s="112"/>
      <c r="S101" s="112"/>
      <c r="T101" s="125"/>
      <c r="U101" s="112"/>
      <c r="V101" s="112"/>
      <c r="W101" s="112"/>
      <c r="Y101" s="180"/>
      <c r="Z101" s="112"/>
      <c r="AB101" s="112"/>
      <c r="AD101" s="112"/>
    </row>
    <row r="102" spans="1:1016" ht="12" customHeight="1">
      <c r="A102" s="123"/>
      <c r="B102" s="123"/>
      <c r="C102" s="123"/>
      <c r="D102" s="123"/>
      <c r="E102" s="123"/>
      <c r="F102" s="123"/>
      <c r="G102" s="112"/>
      <c r="H102" s="112"/>
      <c r="I102" s="277"/>
      <c r="J102" s="112"/>
      <c r="K102" s="161"/>
      <c r="L102" s="112"/>
      <c r="M102" s="112"/>
      <c r="N102" s="112"/>
      <c r="O102" s="112"/>
      <c r="P102" s="190"/>
      <c r="Q102" s="112"/>
      <c r="R102" s="112"/>
      <c r="S102" s="112"/>
      <c r="T102" s="125"/>
      <c r="U102" s="112"/>
      <c r="V102" s="112"/>
      <c r="W102" s="112"/>
      <c r="Y102" s="180"/>
      <c r="Z102" s="112"/>
      <c r="AB102" s="112"/>
      <c r="AD102" s="112"/>
    </row>
    <row r="103" spans="1:1016" ht="12" customHeight="1">
      <c r="A103" s="130"/>
      <c r="B103" s="130"/>
      <c r="C103" s="130"/>
      <c r="D103" s="130"/>
      <c r="E103" s="130"/>
      <c r="F103" s="130"/>
    </row>
    <row r="104" spans="1:1016" ht="12" customHeight="1">
      <c r="A104" s="130"/>
      <c r="B104" s="130"/>
      <c r="C104" s="130"/>
      <c r="D104" s="130"/>
      <c r="E104" s="130"/>
      <c r="F104" s="130"/>
    </row>
    <row r="105" spans="1:1016" ht="12" customHeight="1">
      <c r="A105" s="130"/>
      <c r="B105" s="130"/>
      <c r="C105" s="130"/>
      <c r="D105" s="130"/>
      <c r="E105" s="130"/>
      <c r="F105" s="130"/>
    </row>
    <row r="106" spans="1:1016" ht="12" customHeight="1">
      <c r="A106" s="136"/>
      <c r="B106" s="136"/>
      <c r="C106" s="136"/>
      <c r="D106" s="136"/>
      <c r="E106" s="136"/>
      <c r="F106" s="136"/>
    </row>
    <row r="107" spans="1:1016" ht="12" customHeight="1">
      <c r="A107" s="136"/>
      <c r="B107" s="136"/>
      <c r="C107" s="136"/>
      <c r="D107" s="136"/>
      <c r="E107" s="136"/>
      <c r="F107" s="136"/>
    </row>
  </sheetData>
  <mergeCells count="3">
    <mergeCell ref="L7:O7"/>
    <mergeCell ref="V7:W7"/>
    <mergeCell ref="AC7:AD7"/>
  </mergeCells>
  <conditionalFormatting sqref="A9:A56">
    <cfRule type="expression" dxfId="81" priority="14">
      <formula>OR($AD9="X",$AC9="X")</formula>
    </cfRule>
    <cfRule type="expression" dxfId="80" priority="22">
      <formula>AND($AD9=1,$AC9=1)</formula>
    </cfRule>
    <cfRule type="expression" dxfId="79" priority="23">
      <formula>$AD9=1</formula>
    </cfRule>
    <cfRule type="expression" dxfId="78" priority="24">
      <formula>$AC9=1</formula>
    </cfRule>
  </conditionalFormatting>
  <conditionalFormatting sqref="A58:F59 A79:F919">
    <cfRule type="expression" dxfId="77" priority="43">
      <formula>OR($AD58="X",$AB58="X")</formula>
    </cfRule>
    <cfRule type="expression" dxfId="76" priority="44">
      <formula>AND($AD58=1,$AB58=1)</formula>
    </cfRule>
    <cfRule type="expression" dxfId="75" priority="45">
      <formula>$AD58=1</formula>
    </cfRule>
    <cfRule type="expression" dxfId="74" priority="46">
      <formula>$AB58=1</formula>
    </cfRule>
  </conditionalFormatting>
  <conditionalFormatting sqref="A9:G11 A12:A56 B12:G56">
    <cfRule type="expression" dxfId="73" priority="25">
      <formula>AND(NOT(ISBLANK($W9)),ISBLANK($AC9),ISBLANK($AD9))</formula>
    </cfRule>
  </conditionalFormatting>
  <conditionalFormatting sqref="B9:B24">
    <cfRule type="expression" dxfId="72" priority="4">
      <formula>AND($R9="X",$B9&lt;&gt;"")</formula>
    </cfRule>
  </conditionalFormatting>
  <conditionalFormatting sqref="B9:C9">
    <cfRule type="expression" dxfId="71" priority="6">
      <formula>AND($R9="X",OR($B9&lt;&gt;"",$C9&lt;&gt;""))</formula>
    </cfRule>
  </conditionalFormatting>
  <conditionalFormatting sqref="B9:G56">
    <cfRule type="expression" dxfId="70" priority="17">
      <formula>OR($AD9="X",$AC9="X")</formula>
    </cfRule>
    <cfRule type="expression" dxfId="69" priority="18">
      <formula>AND($AD9=1,$AC9=1)</formula>
    </cfRule>
    <cfRule type="expression" dxfId="68" priority="19">
      <formula>$AD9=1</formula>
    </cfRule>
    <cfRule type="expression" dxfId="67" priority="20">
      <formula>$AC9=1</formula>
    </cfRule>
  </conditionalFormatting>
  <conditionalFormatting sqref="C9:C24">
    <cfRule type="expression" dxfId="66" priority="3">
      <formula>AND($R9="X",OR($B9&lt;&gt;"",$C9&lt;&gt;""))</formula>
    </cfRule>
  </conditionalFormatting>
  <conditionalFormatting sqref="C9:C56">
    <cfRule type="expression" dxfId="65" priority="16">
      <formula>AND($R9="X",$B9&lt;&gt;"")</formula>
    </cfRule>
  </conditionalFormatting>
  <conditionalFormatting sqref="D9:D56">
    <cfRule type="expression" dxfId="64" priority="1">
      <formula>AND($R9="X",OR($B9&lt;&gt;"",$C9&lt;&gt;""))</formula>
    </cfRule>
  </conditionalFormatting>
  <conditionalFormatting sqref="D22:D24">
    <cfRule type="expression" dxfId="63" priority="2">
      <formula>AND($R22="X",$B22&lt;&gt;"")</formula>
    </cfRule>
  </conditionalFormatting>
  <conditionalFormatting sqref="D31:D32">
    <cfRule type="expression" dxfId="62" priority="5">
      <formula>AND($R31="X",$B31&lt;&gt;"")</formula>
    </cfRule>
  </conditionalFormatting>
  <conditionalFormatting sqref="E9:E56">
    <cfRule type="expression" dxfId="61" priority="9">
      <formula>AND($R9="X",OR($B9&lt;&gt;"",$C9&lt;&gt;"",$D9&lt;&gt;""))</formula>
    </cfRule>
  </conditionalFormatting>
  <conditionalFormatting sqref="F1:F2">
    <cfRule type="dataBar" priority="41">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F9:F56">
    <cfRule type="expression" dxfId="60" priority="10">
      <formula>AND($R9="X",OR($B9&lt;&gt;"",$C9&lt;&gt;"",$D9&lt;&gt;"",$E9&lt;&gt;""))</formula>
    </cfRule>
  </conditionalFormatting>
  <conditionalFormatting sqref="G9:G56">
    <cfRule type="expression" dxfId="59" priority="7">
      <formula>AND($R9="X",OR($B9&lt;&gt;"",$C9&lt;&gt;"",$D9&lt;&gt;"",$E9&lt;&gt;"",$F9&lt;&gt;""))</formula>
    </cfRule>
  </conditionalFormatting>
  <conditionalFormatting sqref="H58:H59 H79:H919">
    <cfRule type="expression" dxfId="58" priority="42">
      <formula>$Q58="X"</formula>
    </cfRule>
  </conditionalFormatting>
  <conditionalFormatting sqref="I10:I56">
    <cfRule type="expression" dxfId="57" priority="15">
      <formula>$R10="X"</formula>
    </cfRule>
  </conditionalFormatting>
  <conditionalFormatting sqref="Q9:Q56">
    <cfRule type="cellIs" dxfId="56" priority="11" operator="equal">
      <formula>"1..1"</formula>
    </cfRule>
    <cfRule type="cellIs" dxfId="55" priority="12" operator="equal">
      <formula>"0..n"</formula>
    </cfRule>
    <cfRule type="cellIs" dxfId="54" priority="13" operator="equal">
      <formula>"0..1"</formula>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workbookViewId="0">
      <selection sqref="A1:XFD1048576"/>
    </sheetView>
  </sheetViews>
  <sheetFormatPr baseColWidth="10" defaultColWidth="9.5" defaultRowHeight="15"/>
  <cols>
    <col min="1" max="1" width="4.75" style="128" customWidth="1"/>
    <col min="2" max="2" width="39.625" style="128" bestFit="1" customWidth="1"/>
    <col min="3" max="3" width="29.375" style="128" customWidth="1"/>
    <col min="4" max="5" width="11.75" style="128" customWidth="1"/>
    <col min="6" max="6" width="8.625" style="128" customWidth="1"/>
    <col min="7" max="7" width="10.125" style="96" customWidth="1"/>
    <col min="8" max="8" width="53.125" style="96" customWidth="1"/>
    <col min="9" max="9" width="33.5" style="225" customWidth="1"/>
    <col min="10" max="10" width="12" style="96" customWidth="1"/>
    <col min="11" max="11" width="17.875" style="159" customWidth="1"/>
    <col min="12" max="12" width="7.75" style="96" hidden="1" customWidth="1"/>
    <col min="13" max="13" width="9.7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2124</v>
      </c>
      <c r="C1" s="129" t="s">
        <v>813</v>
      </c>
      <c r="E1" s="150" t="s">
        <v>814</v>
      </c>
      <c r="F1" s="157">
        <f>createCase29[[#Totals],[Métier]] / createCase29[[#Totals],[ID]]</f>
        <v>0</v>
      </c>
      <c r="G1" s="128"/>
      <c r="AC1" s="96"/>
      <c r="AE1"/>
      <c r="AF1" s="128"/>
      <c r="ALZ1"/>
    </row>
    <row r="2" spans="1:1014" ht="13.5" customHeight="1">
      <c r="C2" s="141" t="s">
        <v>818</v>
      </c>
      <c r="D2" s="285"/>
      <c r="E2" s="152" t="s">
        <v>819</v>
      </c>
      <c r="F2" s="157">
        <f>createCase29[[#Totals],[NexSIS]] / createCase29[[#Totals],[ID]]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53" t="s">
        <v>828</v>
      </c>
      <c r="M7" s="553"/>
      <c r="N7" s="553"/>
      <c r="O7" s="553"/>
      <c r="V7" s="554" t="s">
        <v>829</v>
      </c>
      <c r="W7" s="554"/>
      <c r="AC7" s="553" t="s">
        <v>830</v>
      </c>
      <c r="AD7" s="553"/>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c r="C9" s="240"/>
      <c r="D9" s="512"/>
      <c r="E9" s="512"/>
      <c r="F9" s="512"/>
      <c r="G9" s="512"/>
      <c r="H9" s="504"/>
      <c r="I9" s="317"/>
      <c r="J9" s="504"/>
      <c r="K9" s="503"/>
      <c r="L9" s="504"/>
      <c r="M9" s="504"/>
      <c r="N9" s="504"/>
      <c r="O9" s="504"/>
      <c r="P9" s="505"/>
      <c r="Q9" s="504"/>
      <c r="R9" s="504"/>
      <c r="S9" s="504"/>
      <c r="T9" s="506"/>
      <c r="U9" s="504"/>
      <c r="V9" s="507"/>
      <c r="W9" s="507"/>
      <c r="X9" s="232"/>
      <c r="Y9" s="513"/>
      <c r="Z9" s="504"/>
      <c r="AA9" s="508"/>
      <c r="AB9" s="504"/>
      <c r="AC9" s="506"/>
      <c r="AD9" s="506"/>
    </row>
    <row r="10" spans="1:1014" s="224" customFormat="1" ht="13.5" customHeight="1">
      <c r="A10" s="225">
        <v>2</v>
      </c>
      <c r="B10" s="253"/>
      <c r="C10" s="221"/>
      <c r="D10" s="221"/>
      <c r="E10" s="221"/>
      <c r="F10" s="221"/>
      <c r="G10" s="221"/>
      <c r="H10" s="504"/>
      <c r="I10" s="131"/>
      <c r="J10" s="504"/>
      <c r="K10" s="503"/>
      <c r="L10" s="504"/>
      <c r="M10" s="504"/>
      <c r="N10" s="504"/>
      <c r="O10" s="504"/>
      <c r="P10" s="505"/>
      <c r="Q10" s="504"/>
      <c r="R10" s="504"/>
      <c r="S10" s="504"/>
      <c r="T10" s="506"/>
      <c r="U10" s="504"/>
      <c r="V10" s="507"/>
      <c r="W10" s="507"/>
      <c r="X10" s="232"/>
      <c r="Y10" s="513"/>
      <c r="Z10" s="504"/>
      <c r="AA10" s="508"/>
      <c r="AB10" s="504"/>
      <c r="AC10" s="506"/>
      <c r="AD10" s="506"/>
    </row>
    <row r="11" spans="1:1014" s="224" customFormat="1" ht="13.5" customHeight="1">
      <c r="A11" s="225">
        <v>3</v>
      </c>
      <c r="B11" s="217"/>
      <c r="C11" s="240"/>
      <c r="D11" s="241"/>
      <c r="E11" s="241"/>
      <c r="F11" s="241"/>
      <c r="G11" s="241"/>
      <c r="H11" s="504"/>
      <c r="I11" s="503"/>
      <c r="J11" s="504"/>
      <c r="K11" s="503"/>
      <c r="L11" s="504"/>
      <c r="M11" s="504"/>
      <c r="N11" s="504"/>
      <c r="O11" s="504"/>
      <c r="P11" s="505"/>
      <c r="Q11" s="504"/>
      <c r="R11" s="504"/>
      <c r="S11" s="504"/>
      <c r="T11" s="506"/>
      <c r="U11" s="504"/>
      <c r="V11" s="507"/>
      <c r="W11" s="507"/>
      <c r="X11" s="232"/>
      <c r="Y11" s="513"/>
      <c r="Z11" s="504"/>
      <c r="AA11" s="508"/>
      <c r="AB11" s="504"/>
      <c r="AC11" s="506"/>
      <c r="AD11" s="506"/>
    </row>
    <row r="12" spans="1:1014" s="224" customFormat="1" ht="13.5" customHeight="1">
      <c r="A12" s="225">
        <v>4</v>
      </c>
      <c r="B12" s="217"/>
      <c r="C12" s="240"/>
      <c r="D12" s="241"/>
      <c r="E12" s="241"/>
      <c r="F12" s="241"/>
      <c r="G12" s="241"/>
      <c r="H12" s="504"/>
      <c r="I12" s="503"/>
      <c r="J12" s="504"/>
      <c r="K12" s="503"/>
      <c r="L12" s="504"/>
      <c r="M12" s="504"/>
      <c r="N12" s="504"/>
      <c r="O12" s="504"/>
      <c r="P12" s="505"/>
      <c r="Q12" s="504"/>
      <c r="R12" s="504"/>
      <c r="S12" s="504"/>
      <c r="T12" s="506"/>
      <c r="U12" s="504"/>
      <c r="V12" s="507"/>
      <c r="W12" s="507"/>
      <c r="X12" s="232"/>
      <c r="Y12" s="513"/>
      <c r="Z12" s="504"/>
      <c r="AA12" s="508"/>
      <c r="AB12" s="504"/>
      <c r="AC12" s="506"/>
      <c r="AD12" s="506"/>
    </row>
    <row r="13" spans="1:1014" s="224" customFormat="1" ht="13.5" customHeight="1">
      <c r="A13" s="225">
        <v>5</v>
      </c>
      <c r="B13" s="217"/>
      <c r="C13" s="512"/>
      <c r="D13" s="241"/>
      <c r="E13" s="241"/>
      <c r="F13" s="241"/>
      <c r="G13" s="241"/>
      <c r="H13" s="504"/>
      <c r="I13" s="503"/>
      <c r="J13" s="504"/>
      <c r="K13" s="503"/>
      <c r="L13" s="504"/>
      <c r="M13" s="504"/>
      <c r="N13" s="504"/>
      <c r="O13" s="504"/>
      <c r="P13" s="505"/>
      <c r="Q13" s="504"/>
      <c r="R13" s="504"/>
      <c r="S13" s="243"/>
      <c r="T13" s="506"/>
      <c r="U13" s="504"/>
      <c r="V13" s="507"/>
      <c r="W13" s="507"/>
      <c r="X13" s="232"/>
      <c r="Y13" s="513"/>
      <c r="Z13" s="504"/>
      <c r="AA13" s="508"/>
      <c r="AB13" s="504"/>
      <c r="AC13" s="506"/>
      <c r="AD13" s="506"/>
    </row>
    <row r="14" spans="1:1014" s="224" customFormat="1" ht="13.5" customHeight="1">
      <c r="A14" s="225">
        <v>6</v>
      </c>
      <c r="B14" s="217"/>
      <c r="C14" s="512"/>
      <c r="D14" s="241"/>
      <c r="E14" s="241"/>
      <c r="F14" s="241"/>
      <c r="G14" s="241"/>
      <c r="H14" s="504"/>
      <c r="I14" s="503"/>
      <c r="J14" s="504"/>
      <c r="K14" s="503"/>
      <c r="L14" s="504"/>
      <c r="M14" s="504"/>
      <c r="N14" s="504"/>
      <c r="O14" s="504"/>
      <c r="P14" s="505"/>
      <c r="Q14" s="504"/>
      <c r="R14" s="504"/>
      <c r="S14" s="504"/>
      <c r="T14" s="506"/>
      <c r="U14" s="504"/>
      <c r="V14" s="507"/>
      <c r="W14" s="507"/>
      <c r="X14" s="232"/>
      <c r="Y14" s="513"/>
      <c r="Z14" s="504"/>
      <c r="AA14" s="508"/>
      <c r="AB14" s="504"/>
      <c r="AC14" s="506"/>
      <c r="AD14" s="506"/>
    </row>
    <row r="15" spans="1:1014" s="224" customFormat="1" ht="13.5" customHeight="1">
      <c r="A15" s="225">
        <v>7</v>
      </c>
      <c r="B15" s="217"/>
      <c r="C15" s="512"/>
      <c r="D15" s="241"/>
      <c r="E15" s="241"/>
      <c r="F15" s="241"/>
      <c r="G15" s="241"/>
      <c r="H15" s="504"/>
      <c r="I15" s="503"/>
      <c r="J15" s="504"/>
      <c r="K15" s="503"/>
      <c r="L15" s="504"/>
      <c r="M15" s="504"/>
      <c r="N15" s="504"/>
      <c r="O15" s="504"/>
      <c r="P15" s="505"/>
      <c r="Q15" s="504"/>
      <c r="R15" s="504"/>
      <c r="S15" s="504"/>
      <c r="T15" s="506"/>
      <c r="U15" s="504"/>
      <c r="V15" s="507"/>
      <c r="W15" s="507"/>
      <c r="X15" s="232"/>
      <c r="Y15" s="513"/>
      <c r="Z15" s="504"/>
      <c r="AA15" s="508"/>
      <c r="AB15" s="504"/>
      <c r="AC15" s="506"/>
      <c r="AD15" s="506"/>
    </row>
    <row r="16" spans="1:1014" s="224" customFormat="1" ht="13.5" customHeight="1">
      <c r="A16" s="225">
        <v>8</v>
      </c>
      <c r="B16" s="217"/>
      <c r="C16" s="512"/>
      <c r="D16" s="241"/>
      <c r="E16" s="241"/>
      <c r="F16" s="241"/>
      <c r="G16" s="241"/>
      <c r="H16" s="504"/>
      <c r="I16" s="503"/>
      <c r="J16" s="504"/>
      <c r="K16" s="503"/>
      <c r="L16" s="504"/>
      <c r="M16" s="504"/>
      <c r="N16" s="504"/>
      <c r="O16" s="504"/>
      <c r="P16" s="505"/>
      <c r="Q16" s="504"/>
      <c r="R16" s="504"/>
      <c r="S16" s="504"/>
      <c r="T16" s="506"/>
      <c r="U16" s="504"/>
      <c r="V16" s="507"/>
      <c r="W16" s="507"/>
      <c r="X16" s="232"/>
      <c r="Y16" s="513"/>
      <c r="Z16" s="504"/>
      <c r="AA16" s="508"/>
      <c r="AB16" s="504"/>
      <c r="AC16" s="506"/>
      <c r="AD16" s="506"/>
    </row>
    <row r="17" spans="1:1017" s="224" customFormat="1" ht="13.5" customHeight="1">
      <c r="A17" s="225">
        <v>9</v>
      </c>
      <c r="B17" s="217"/>
      <c r="C17" s="512"/>
      <c r="D17" s="241"/>
      <c r="E17" s="241"/>
      <c r="F17" s="241"/>
      <c r="G17" s="241"/>
      <c r="H17" s="504"/>
      <c r="I17" s="503"/>
      <c r="J17" s="504"/>
      <c r="K17" s="503"/>
      <c r="L17" s="504"/>
      <c r="M17" s="504"/>
      <c r="N17" s="504"/>
      <c r="O17" s="504"/>
      <c r="P17" s="505"/>
      <c r="Q17" s="504"/>
      <c r="R17" s="504"/>
      <c r="S17" s="504"/>
      <c r="T17" s="506"/>
      <c r="U17" s="504"/>
      <c r="V17" s="507"/>
      <c r="W17" s="507"/>
      <c r="X17" s="232"/>
      <c r="Y17" s="513"/>
      <c r="Z17" s="504"/>
      <c r="AA17" s="508"/>
      <c r="AB17" s="504"/>
      <c r="AC17" s="506"/>
      <c r="AD17" s="506"/>
    </row>
    <row r="18" spans="1:1017" s="224" customFormat="1" ht="13.5" customHeight="1">
      <c r="A18" s="225">
        <v>10</v>
      </c>
      <c r="B18" s="217"/>
      <c r="C18" s="512"/>
      <c r="D18" s="241"/>
      <c r="E18" s="241"/>
      <c r="F18" s="241"/>
      <c r="G18" s="241"/>
      <c r="H18" s="504"/>
      <c r="I18" s="503"/>
      <c r="J18" s="504"/>
      <c r="K18" s="503"/>
      <c r="L18" s="504"/>
      <c r="M18" s="504"/>
      <c r="N18" s="504"/>
      <c r="O18" s="504"/>
      <c r="P18" s="505"/>
      <c r="Q18" s="504"/>
      <c r="R18" s="504"/>
      <c r="S18" s="504"/>
      <c r="T18" s="506"/>
      <c r="U18" s="504"/>
      <c r="V18" s="507"/>
      <c r="W18" s="507"/>
      <c r="X18" s="232"/>
      <c r="Y18" s="513"/>
      <c r="Z18" s="504"/>
      <c r="AA18" s="508"/>
      <c r="AB18" s="504"/>
      <c r="AC18" s="506"/>
      <c r="AD18" s="506"/>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8"/>
      <c r="U21" s="96"/>
      <c r="V21" s="96"/>
      <c r="W21" s="96"/>
      <c r="X21"/>
      <c r="Y21" s="179"/>
      <c r="Z21" s="96"/>
      <c r="AA21" s="159"/>
      <c r="AB21" s="96"/>
      <c r="AD21" s="96"/>
      <c r="AMA21"/>
      <c r="AMB21"/>
      <c r="AMC21"/>
    </row>
    <row r="22" spans="1:1017" s="128" customFormat="1" ht="12" customHeight="1">
      <c r="I22" s="224"/>
      <c r="P22" s="174"/>
      <c r="R22" s="96"/>
      <c r="S22" s="96"/>
      <c r="T22" s="278"/>
      <c r="U22" s="96"/>
      <c r="V22" s="96"/>
      <c r="W22" s="96"/>
      <c r="X22"/>
      <c r="Y22" s="179"/>
      <c r="Z22" s="96"/>
      <c r="AA22" s="159"/>
      <c r="AB22" s="96"/>
      <c r="AD22" s="96"/>
      <c r="AMA22"/>
      <c r="AMB22"/>
      <c r="AMC22"/>
    </row>
    <row r="23" spans="1:1017" s="128" customFormat="1" ht="12" customHeight="1">
      <c r="I23" s="224"/>
      <c r="P23" s="174"/>
      <c r="R23" s="96"/>
      <c r="S23" s="96"/>
      <c r="T23" s="278"/>
      <c r="U23" s="96"/>
      <c r="V23" s="96"/>
      <c r="W23" s="96"/>
      <c r="X23"/>
      <c r="Y23" s="179"/>
      <c r="Z23" s="96"/>
      <c r="AA23" s="159"/>
      <c r="AB23" s="96"/>
      <c r="AD23" s="96"/>
      <c r="AMA23"/>
      <c r="AMB23"/>
      <c r="AMC23"/>
    </row>
    <row r="24" spans="1:1017" s="128" customFormat="1" ht="12" customHeight="1">
      <c r="I24" s="224"/>
      <c r="P24" s="174"/>
      <c r="R24" s="96"/>
      <c r="S24" s="96"/>
      <c r="T24" s="278"/>
      <c r="U24" s="96"/>
      <c r="V24" s="96"/>
      <c r="W24" s="96"/>
      <c r="X24"/>
      <c r="Y24" s="179"/>
      <c r="Z24" s="96"/>
      <c r="AA24" s="159"/>
      <c r="AB24" s="96"/>
      <c r="AD24" s="96"/>
      <c r="AMA24"/>
      <c r="AMB24"/>
      <c r="AMC24"/>
    </row>
    <row r="25" spans="1:1017" s="128" customFormat="1" ht="12" customHeight="1">
      <c r="I25" s="224"/>
      <c r="P25" s="174"/>
      <c r="R25" s="96"/>
      <c r="S25" s="96"/>
      <c r="T25" s="278"/>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8"/>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8"/>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8"/>
      <c r="U57" s="96"/>
      <c r="V57" s="96"/>
      <c r="W57" s="96"/>
      <c r="X57"/>
      <c r="Y57" s="179"/>
      <c r="Z57" s="96"/>
      <c r="AA57" s="161"/>
      <c r="AB57" s="96"/>
      <c r="AD57" s="96"/>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7"/>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7"/>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7"/>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7"/>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53" priority="8">
      <formula>OR($AD10="X",$AC10="X")</formula>
    </cfRule>
  </conditionalFormatting>
  <conditionalFormatting sqref="A20:F21 A41:F881">
    <cfRule type="expression" dxfId="52" priority="20">
      <formula>OR($AD20="X",$AB20="X")</formula>
    </cfRule>
    <cfRule type="expression" dxfId="51" priority="21">
      <formula>AND($AD20=1,$AB20=1)</formula>
    </cfRule>
    <cfRule type="expression" dxfId="50" priority="22">
      <formula>$AD20=1</formula>
    </cfRule>
    <cfRule type="expression" dxfId="49" priority="23">
      <formula>$AB20=1</formula>
    </cfRule>
  </conditionalFormatting>
  <conditionalFormatting sqref="A9:G9 A10:A18">
    <cfRule type="expression" dxfId="48" priority="25">
      <formula>AND($AD9=1,$AC9=1)</formula>
    </cfRule>
    <cfRule type="expression" dxfId="47" priority="26">
      <formula>$AD9=1</formula>
    </cfRule>
    <cfRule type="expression" dxfId="46" priority="27">
      <formula>$AC9=1</formula>
    </cfRule>
  </conditionalFormatting>
  <conditionalFormatting sqref="A9:G9">
    <cfRule type="expression" dxfId="45" priority="24">
      <formula>OR($AD9="X",$AC9="X")</formula>
    </cfRule>
  </conditionalFormatting>
  <conditionalFormatting sqref="A9:G18">
    <cfRule type="expression" dxfId="44" priority="28">
      <formula>AND(NOT(ISBLANK($W9)),ISBLANK($AC9),ISBLANK($AD9))</formula>
    </cfRule>
  </conditionalFormatting>
  <conditionalFormatting sqref="B10:G18">
    <cfRule type="expression" dxfId="43" priority="12">
      <formula>OR($AD10="X",$AC10="X")</formula>
    </cfRule>
    <cfRule type="expression" dxfId="42" priority="13">
      <formula>AND($AD10=1,$AC10=1)</formula>
    </cfRule>
    <cfRule type="expression" dxfId="41" priority="14">
      <formula>$AD10=1</formula>
    </cfRule>
    <cfRule type="expression" dxfId="40" priority="15">
      <formula>$AC10=1</formula>
    </cfRule>
  </conditionalFormatting>
  <conditionalFormatting sqref="C9:C18">
    <cfRule type="expression" dxfId="39" priority="11">
      <formula>AND($R9="X",$B9&lt;&gt;"")</formula>
    </cfRule>
  </conditionalFormatting>
  <conditionalFormatting sqref="D9:D18">
    <cfRule type="expression" dxfId="38" priority="2">
      <formula>AND($R9="X",OR($B9&lt;&gt;"",$C9&lt;&gt;""))</formula>
    </cfRule>
  </conditionalFormatting>
  <conditionalFormatting sqref="E9:E18">
    <cfRule type="expression" dxfId="37"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36" priority="4">
      <formula>AND($R9="X",OR($B9&lt;&gt;"",$C9&lt;&gt;"",$D9&lt;&gt;"",$E9&lt;&gt;""))</formula>
    </cfRule>
  </conditionalFormatting>
  <conditionalFormatting sqref="G9:G18">
    <cfRule type="expression" dxfId="35" priority="1">
      <formula>AND($R9="X",OR($B9&lt;&gt;"",$C9&lt;&gt;"",$D9&lt;&gt;"",$E9&lt;&gt;"",$F9&lt;&gt;""))</formula>
    </cfRule>
  </conditionalFormatting>
  <conditionalFormatting sqref="H20:H21 H41:H881">
    <cfRule type="expression" dxfId="34" priority="19">
      <formula>$Q20="X"</formula>
    </cfRule>
  </conditionalFormatting>
  <conditionalFormatting sqref="I11:I18">
    <cfRule type="expression" dxfId="33" priority="10">
      <formula>$R11="X"</formula>
    </cfRule>
  </conditionalFormatting>
  <conditionalFormatting sqref="Q9:Q18">
    <cfRule type="cellIs" dxfId="32" priority="5" operator="equal">
      <formula>"1..1"</formula>
    </cfRule>
    <cfRule type="cellIs" dxfId="31" priority="6" operator="equal">
      <formula>"0..n"</formula>
    </cfRule>
    <cfRule type="cellIs" dxfId="30"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topRight"/>
      <selection pane="bottomLeft"/>
      <selection pane="bottomRight" activeCell="F16" sqref="F16"/>
    </sheetView>
  </sheetViews>
  <sheetFormatPr baseColWidth="10" defaultColWidth="9" defaultRowHeight="14.25" customHeight="1"/>
  <cols>
    <col min="1" max="1" width="3.125" customWidth="1"/>
    <col min="2" max="2" width="12.875" bestFit="1" customWidth="1"/>
    <col min="3" max="3" width="52.62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2125</v>
      </c>
      <c r="B1" s="128"/>
      <c r="C1" s="129" t="s">
        <v>813</v>
      </c>
      <c r="D1" s="128"/>
      <c r="E1" s="150" t="s">
        <v>814</v>
      </c>
      <c r="F1" s="157"/>
      <c r="G1" s="128"/>
      <c r="H1" s="551"/>
      <c r="I1" s="551"/>
      <c r="J1" s="551"/>
      <c r="K1" s="159"/>
      <c r="L1" s="96"/>
      <c r="M1" s="96"/>
      <c r="N1" s="96"/>
      <c r="O1" s="552" t="s">
        <v>816</v>
      </c>
      <c r="P1" s="552"/>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51"/>
      <c r="I2" s="551"/>
      <c r="J2" s="551"/>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53" t="s">
        <v>828</v>
      </c>
      <c r="M7" s="553"/>
      <c r="N7" s="553"/>
      <c r="O7" s="553"/>
      <c r="P7" s="173"/>
      <c r="Q7" s="96"/>
      <c r="R7" s="96"/>
      <c r="S7" s="96"/>
      <c r="T7" s="278"/>
      <c r="U7" s="96"/>
      <c r="V7" s="559" t="s">
        <v>829</v>
      </c>
      <c r="W7" s="559"/>
      <c r="Y7" s="179"/>
      <c r="Z7" s="96"/>
      <c r="AA7" s="159"/>
      <c r="AB7" s="96"/>
      <c r="AC7" s="553" t="s">
        <v>830</v>
      </c>
      <c r="AD7" s="55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2126</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70">
        <v>1</v>
      </c>
      <c r="B9" s="415" t="s">
        <v>2127</v>
      </c>
      <c r="C9" s="415"/>
      <c r="D9" s="415"/>
      <c r="E9" s="415"/>
      <c r="F9" s="415"/>
      <c r="G9" s="415"/>
      <c r="H9" s="317" t="s">
        <v>2128</v>
      </c>
      <c r="I9" s="417" t="s">
        <v>1593</v>
      </c>
      <c r="J9" s="317" t="s">
        <v>2129</v>
      </c>
      <c r="K9" s="317" t="s">
        <v>1851</v>
      </c>
      <c r="L9" s="342" t="s">
        <v>864</v>
      </c>
      <c r="M9" s="342" t="s">
        <v>1851</v>
      </c>
      <c r="N9" s="418"/>
      <c r="O9" s="418"/>
      <c r="P9" s="418" t="s">
        <v>864</v>
      </c>
      <c r="Q9" s="417" t="s">
        <v>823</v>
      </c>
      <c r="R9" s="342" t="s">
        <v>864</v>
      </c>
      <c r="S9" s="342" t="s">
        <v>1851</v>
      </c>
      <c r="T9" s="418"/>
      <c r="U9" s="418"/>
      <c r="V9" s="521" t="s">
        <v>864</v>
      </c>
      <c r="W9" s="522" t="s">
        <v>864</v>
      </c>
      <c r="ALN9" s="238"/>
      <c r="ALO9" s="238"/>
      <c r="ALP9" s="238"/>
      <c r="ALQ9" s="238"/>
      <c r="ALR9" s="238"/>
      <c r="ALS9" s="238"/>
      <c r="ALT9" s="238"/>
      <c r="ALU9" s="238"/>
      <c r="ALV9" s="238"/>
      <c r="ALW9" s="238"/>
      <c r="ALX9" s="238"/>
      <c r="ALY9" s="238"/>
      <c r="ALZ9" s="238"/>
    </row>
    <row r="10" spans="1:1014" ht="14.25" customHeight="1">
      <c r="A10" s="396">
        <v>2</v>
      </c>
      <c r="B10" s="397"/>
      <c r="C10" s="397" t="s">
        <v>2130</v>
      </c>
      <c r="D10" s="466"/>
      <c r="E10" s="466"/>
      <c r="F10" s="466"/>
      <c r="G10" s="466"/>
      <c r="H10" s="323" t="s">
        <v>2131</v>
      </c>
      <c r="I10" s="323" t="s">
        <v>2132</v>
      </c>
      <c r="K10" s="323" t="s">
        <v>1199</v>
      </c>
      <c r="Q10" s="325" t="s">
        <v>820</v>
      </c>
      <c r="R10" s="224"/>
      <c r="S10" s="224" t="s">
        <v>863</v>
      </c>
      <c r="V10" s="95" t="s">
        <v>864</v>
      </c>
      <c r="W10" s="95" t="s">
        <v>864</v>
      </c>
    </row>
    <row r="11" spans="1:1014" ht="14.25" customHeight="1">
      <c r="A11" s="396">
        <v>3</v>
      </c>
      <c r="B11" s="397"/>
      <c r="C11" s="397" t="s">
        <v>2133</v>
      </c>
      <c r="D11" s="397"/>
      <c r="E11" s="397"/>
      <c r="F11" s="397"/>
      <c r="G11" s="397"/>
      <c r="H11" s="317" t="s">
        <v>2134</v>
      </c>
      <c r="I11" s="317" t="s">
        <v>2135</v>
      </c>
      <c r="K11" s="317" t="s">
        <v>879</v>
      </c>
      <c r="Q11" s="320" t="s">
        <v>820</v>
      </c>
      <c r="R11" s="224"/>
      <c r="S11" s="224" t="s">
        <v>879</v>
      </c>
      <c r="V11" s="95" t="s">
        <v>864</v>
      </c>
      <c r="W11" s="95" t="s">
        <v>864</v>
      </c>
    </row>
    <row r="12" spans="1:1014" ht="14.25" customHeight="1">
      <c r="A12" s="470">
        <v>4</v>
      </c>
      <c r="B12" s="397"/>
      <c r="C12" s="397" t="s">
        <v>2136</v>
      </c>
      <c r="D12" s="397"/>
      <c r="E12" s="397"/>
      <c r="F12" s="397"/>
      <c r="G12" s="397"/>
      <c r="H12" s="400" t="s">
        <v>2137</v>
      </c>
      <c r="I12" s="400" t="s">
        <v>2138</v>
      </c>
      <c r="K12" s="400" t="s">
        <v>2139</v>
      </c>
      <c r="Q12" s="333" t="s">
        <v>817</v>
      </c>
      <c r="R12" s="224"/>
      <c r="S12" s="224" t="s">
        <v>879</v>
      </c>
      <c r="V12" s="95" t="s">
        <v>864</v>
      </c>
      <c r="W12" s="95" t="s">
        <v>864</v>
      </c>
    </row>
    <row r="13" spans="1:1014" ht="14.25" customHeight="1">
      <c r="A13" s="396">
        <v>5</v>
      </c>
      <c r="B13" s="397"/>
      <c r="C13" s="397" t="s">
        <v>1148</v>
      </c>
      <c r="D13" s="397"/>
      <c r="E13" s="397"/>
      <c r="F13" s="397"/>
      <c r="G13" s="397"/>
      <c r="H13" s="399" t="s">
        <v>2140</v>
      </c>
      <c r="I13" s="394"/>
      <c r="K13" s="399" t="s">
        <v>1150</v>
      </c>
      <c r="Q13" s="395" t="s">
        <v>823</v>
      </c>
      <c r="R13" s="224" t="s">
        <v>864</v>
      </c>
      <c r="S13" s="317" t="s">
        <v>1150</v>
      </c>
      <c r="V13" s="95" t="s">
        <v>864</v>
      </c>
      <c r="W13" s="95" t="s">
        <v>864</v>
      </c>
    </row>
    <row r="14" spans="1:1014" ht="14.25" customHeight="1">
      <c r="A14" s="396">
        <v>6</v>
      </c>
      <c r="B14" s="397"/>
      <c r="C14" s="397"/>
      <c r="D14" s="397" t="s">
        <v>1870</v>
      </c>
      <c r="E14" s="397"/>
      <c r="F14" s="397"/>
      <c r="G14" s="397"/>
      <c r="H14" s="400" t="s">
        <v>2141</v>
      </c>
      <c r="I14" s="400" t="s">
        <v>1873</v>
      </c>
      <c r="K14" s="400" t="s">
        <v>1154</v>
      </c>
      <c r="Q14" s="325" t="s">
        <v>820</v>
      </c>
      <c r="R14" s="224"/>
      <c r="S14" s="323" t="s">
        <v>1073</v>
      </c>
      <c r="V14" s="95" t="s">
        <v>864</v>
      </c>
      <c r="W14" s="95" t="s">
        <v>864</v>
      </c>
    </row>
    <row r="15" spans="1:1014" ht="14.25" customHeight="1">
      <c r="A15" s="470">
        <v>7</v>
      </c>
      <c r="B15" s="397"/>
      <c r="C15" s="397"/>
      <c r="D15" s="397" t="s">
        <v>1157</v>
      </c>
      <c r="E15" s="397"/>
      <c r="F15" s="397"/>
      <c r="G15" s="397"/>
      <c r="H15" s="399" t="s">
        <v>2142</v>
      </c>
      <c r="I15" s="401" t="s">
        <v>1877</v>
      </c>
      <c r="K15" s="399" t="s">
        <v>1160</v>
      </c>
      <c r="Q15" s="320" t="s">
        <v>820</v>
      </c>
      <c r="R15" s="224"/>
      <c r="S15" s="317" t="s">
        <v>1073</v>
      </c>
      <c r="V15" s="95" t="s">
        <v>864</v>
      </c>
      <c r="W15" s="95" t="s">
        <v>864</v>
      </c>
    </row>
    <row r="16" spans="1:1014" ht="14.25" customHeight="1">
      <c r="A16" s="396">
        <v>8</v>
      </c>
      <c r="B16" s="397"/>
      <c r="C16" s="397"/>
      <c r="D16" s="397" t="s">
        <v>1879</v>
      </c>
      <c r="E16" s="397"/>
      <c r="F16" s="397"/>
      <c r="G16" s="397"/>
      <c r="H16" s="400" t="s">
        <v>2143</v>
      </c>
      <c r="I16" s="402">
        <v>1</v>
      </c>
      <c r="K16" s="400" t="s">
        <v>1163</v>
      </c>
      <c r="Q16" s="333" t="s">
        <v>817</v>
      </c>
      <c r="R16" s="224"/>
      <c r="S16" s="323" t="s">
        <v>1073</v>
      </c>
      <c r="V16" s="95" t="s">
        <v>864</v>
      </c>
      <c r="W16" s="95" t="s">
        <v>864</v>
      </c>
    </row>
    <row r="17" spans="1:23" ht="14.25" customHeight="1">
      <c r="A17" s="396">
        <v>9</v>
      </c>
      <c r="B17" s="397"/>
      <c r="C17" s="397" t="s">
        <v>2144</v>
      </c>
      <c r="D17" s="397"/>
      <c r="E17" s="397"/>
      <c r="F17" s="397"/>
      <c r="G17" s="397"/>
      <c r="H17" s="399" t="s">
        <v>2145</v>
      </c>
      <c r="I17" s="464">
        <v>80</v>
      </c>
      <c r="K17" s="399" t="s">
        <v>1171</v>
      </c>
      <c r="Q17" s="333" t="s">
        <v>817</v>
      </c>
      <c r="R17" s="224"/>
      <c r="S17" s="323" t="s">
        <v>1073</v>
      </c>
      <c r="V17" s="95" t="s">
        <v>864</v>
      </c>
      <c r="W17" s="95" t="s">
        <v>864</v>
      </c>
    </row>
    <row r="18" spans="1:23" ht="14.25" customHeight="1">
      <c r="A18" s="470">
        <v>10</v>
      </c>
      <c r="B18" s="397"/>
      <c r="C18" s="397" t="s">
        <v>2146</v>
      </c>
      <c r="D18" s="397"/>
      <c r="E18" s="397"/>
      <c r="F18" s="397"/>
      <c r="G18" s="397"/>
      <c r="H18" s="400" t="s">
        <v>2147</v>
      </c>
      <c r="I18" s="402">
        <v>96</v>
      </c>
      <c r="K18" s="400" t="s">
        <v>2148</v>
      </c>
      <c r="Q18" s="333" t="s">
        <v>817</v>
      </c>
      <c r="R18" s="224"/>
      <c r="S18" s="224" t="s">
        <v>863</v>
      </c>
      <c r="V18" s="95" t="s">
        <v>864</v>
      </c>
      <c r="W18" s="95" t="s">
        <v>864</v>
      </c>
    </row>
    <row r="19" spans="1:23" ht="14.25" customHeight="1">
      <c r="A19" s="396">
        <v>11</v>
      </c>
      <c r="B19" s="397"/>
      <c r="C19" s="397" t="s">
        <v>2149</v>
      </c>
      <c r="D19" s="397"/>
      <c r="E19" s="397"/>
      <c r="F19" s="397"/>
      <c r="G19" s="397"/>
      <c r="H19" s="399" t="s">
        <v>2150</v>
      </c>
      <c r="I19" s="464" t="s">
        <v>2151</v>
      </c>
      <c r="K19" s="399" t="s">
        <v>2152</v>
      </c>
      <c r="Q19" s="333" t="s">
        <v>817</v>
      </c>
      <c r="R19" s="224"/>
      <c r="S19" s="224" t="s">
        <v>863</v>
      </c>
      <c r="T19" s="457" t="s">
        <v>864</v>
      </c>
      <c r="U19" t="s">
        <v>2153</v>
      </c>
      <c r="V19" s="95" t="s">
        <v>864</v>
      </c>
      <c r="W19" s="95" t="s">
        <v>864</v>
      </c>
    </row>
    <row r="20" spans="1:23" ht="14.25" customHeight="1">
      <c r="A20" s="396">
        <v>12</v>
      </c>
      <c r="B20" s="397"/>
      <c r="C20" s="397" t="s">
        <v>2154</v>
      </c>
      <c r="D20" s="397"/>
      <c r="E20" s="397"/>
      <c r="F20" s="397"/>
      <c r="G20" s="397"/>
      <c r="H20" s="323" t="s">
        <v>2155</v>
      </c>
      <c r="I20" s="376" t="b">
        <v>1</v>
      </c>
      <c r="K20" s="323" t="s">
        <v>2156</v>
      </c>
      <c r="Q20" s="333" t="s">
        <v>817</v>
      </c>
      <c r="R20" s="224"/>
      <c r="S20" s="323" t="s">
        <v>2090</v>
      </c>
      <c r="T20" s="457"/>
      <c r="U20" s="225"/>
      <c r="V20" s="95" t="s">
        <v>864</v>
      </c>
      <c r="W20" s="95" t="s">
        <v>864</v>
      </c>
    </row>
    <row r="21" spans="1:23" ht="14.25" customHeight="1">
      <c r="A21" s="470">
        <v>13</v>
      </c>
      <c r="B21" s="397"/>
      <c r="C21" s="397" t="s">
        <v>2157</v>
      </c>
      <c r="D21" s="397"/>
      <c r="E21" s="397"/>
      <c r="F21" s="397"/>
      <c r="G21" s="397"/>
      <c r="H21" s="399" t="s">
        <v>2158</v>
      </c>
      <c r="I21" s="376" t="b">
        <v>1</v>
      </c>
      <c r="K21" s="399" t="s">
        <v>2159</v>
      </c>
      <c r="Q21" s="333" t="s">
        <v>817</v>
      </c>
      <c r="R21" s="224"/>
      <c r="S21" s="323" t="s">
        <v>2090</v>
      </c>
      <c r="T21" s="457"/>
      <c r="U21" s="225"/>
      <c r="V21" s="95" t="s">
        <v>864</v>
      </c>
      <c r="W21" s="95" t="s">
        <v>864</v>
      </c>
    </row>
    <row r="22" spans="1:23" ht="14.25" customHeight="1">
      <c r="A22" s="396">
        <v>14</v>
      </c>
      <c r="B22" s="397"/>
      <c r="C22" s="397" t="s">
        <v>2024</v>
      </c>
      <c r="D22" s="397"/>
      <c r="E22" s="397"/>
      <c r="F22" s="397"/>
      <c r="G22" s="397"/>
      <c r="H22" s="323" t="s">
        <v>2160</v>
      </c>
      <c r="I22" s="376" t="s">
        <v>2161</v>
      </c>
      <c r="K22" s="323" t="s">
        <v>888</v>
      </c>
      <c r="Q22" s="333" t="s">
        <v>817</v>
      </c>
      <c r="R22" s="224"/>
      <c r="S22" s="224" t="s">
        <v>863</v>
      </c>
      <c r="T22" s="238" t="s">
        <v>864</v>
      </c>
      <c r="U22" s="225" t="s">
        <v>2162</v>
      </c>
      <c r="V22" s="95" t="s">
        <v>864</v>
      </c>
      <c r="W22" s="95" t="s">
        <v>864</v>
      </c>
    </row>
    <row r="23" spans="1:23" ht="14.25" customHeight="1" thickBot="1">
      <c r="A23" s="491">
        <v>15</v>
      </c>
      <c r="B23" s="476"/>
      <c r="C23" s="476" t="s">
        <v>2163</v>
      </c>
      <c r="D23" s="476"/>
      <c r="E23" s="476"/>
      <c r="F23" s="476"/>
      <c r="G23" s="476"/>
      <c r="H23" s="494" t="s">
        <v>2164</v>
      </c>
      <c r="I23" s="495" t="s">
        <v>2165</v>
      </c>
      <c r="J23" s="479"/>
      <c r="K23" s="494" t="s">
        <v>2166</v>
      </c>
      <c r="L23" s="479"/>
      <c r="M23" s="479"/>
      <c r="N23" s="479"/>
      <c r="O23" s="479"/>
      <c r="P23" s="479"/>
      <c r="Q23" s="480" t="s">
        <v>817</v>
      </c>
      <c r="R23" s="482"/>
      <c r="S23" s="482" t="s">
        <v>863</v>
      </c>
      <c r="T23" s="481" t="s">
        <v>864</v>
      </c>
      <c r="U23" s="496" t="s">
        <v>2167</v>
      </c>
      <c r="V23" s="497" t="s">
        <v>864</v>
      </c>
      <c r="W23" s="497" t="s">
        <v>864</v>
      </c>
    </row>
    <row r="24" spans="1:23" ht="15.75" thickTop="1">
      <c r="A24" s="407">
        <f>SUBTOTAL(103,Tableau3[ID])</f>
        <v>15</v>
      </c>
      <c r="B24" s="407">
        <f>SUBTOTAL(103,Tableau3[Donnée (Niveau 1)])</f>
        <v>1</v>
      </c>
      <c r="C24" s="407">
        <f>SUBTOTAL(103,Tableau3[Donnée (Niveau 2)])</f>
        <v>11</v>
      </c>
      <c r="D24" s="407">
        <f>SUBTOTAL(103,Tableau3[Donnée (Niveau 3)])</f>
        <v>3</v>
      </c>
      <c r="E24" s="407">
        <f>SUBTOTAL(103,Tableau3[Donnée (Niveau 4)])</f>
        <v>0</v>
      </c>
      <c r="F24" s="407">
        <f>SUBTOTAL(103,Tableau3[Donnée (Niveau 5)])</f>
        <v>0</v>
      </c>
      <c r="G24" s="407">
        <f>SUBTOTAL(103,Tableau3[Donnée (Niveau 6)])</f>
        <v>0</v>
      </c>
      <c r="H24" s="407">
        <f>SUBTOTAL(103,Tableau3[Description])</f>
        <v>15</v>
      </c>
      <c r="I24" s="407">
        <f>SUBTOTAL(103,Tableau3[Exemples])</f>
        <v>14</v>
      </c>
      <c r="J24" s="407">
        <f>SUBTOTAL(103,Tableau3[Balise NexSIS])</f>
        <v>1</v>
      </c>
      <c r="K24" s="407">
        <f>SUBTOTAL(103,Tableau3[Nouvelle balise])</f>
        <v>15</v>
      </c>
      <c r="L24" s="407">
        <f>SUBTOTAL(103,Tableau3[Nantes - balise])</f>
        <v>1</v>
      </c>
      <c r="M24" s="407">
        <f>SUBTOTAL(103,Tableau3[Nantes - description])</f>
        <v>1</v>
      </c>
      <c r="N24" s="407">
        <f>SUBTOTAL(103,Tableau3[GT399])</f>
        <v>0</v>
      </c>
      <c r="O24" s="407">
        <f>SUBTOTAL(103,Tableau3[GT399 description])</f>
        <v>0</v>
      </c>
      <c r="P24" s="407">
        <f>SUBTOTAL(103,Tableau3[Priorisation])</f>
        <v>1</v>
      </c>
      <c r="Q24" s="407">
        <f>SUBTOTAL(103,Tableau3[Cardinalité])</f>
        <v>15</v>
      </c>
      <c r="R24" s="407">
        <f>SUBTOTAL(103,Tableau3[Objet])</f>
        <v>2</v>
      </c>
      <c r="S24" s="407">
        <f>SUBTOTAL(103,Tableau3[Format (ou type)])</f>
        <v>15</v>
      </c>
      <c r="T24" s="407">
        <f>SUBTOTAL(103,Tableau3[Nomenclature/ énumération])</f>
        <v>3</v>
      </c>
      <c r="U24" s="407">
        <f>SUBTOTAL(103,Tableau3[Détails de format])</f>
        <v>3</v>
      </c>
      <c r="V24" s="407">
        <f>SUBTOTAL(103,Tableau3[15-18])</f>
        <v>15</v>
      </c>
      <c r="W24" s="407">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K9" sqref="K9"/>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2168</v>
      </c>
      <c r="B1" s="128"/>
      <c r="C1" s="129" t="s">
        <v>813</v>
      </c>
      <c r="D1" s="128"/>
      <c r="E1" s="150" t="s">
        <v>814</v>
      </c>
      <c r="F1" s="157"/>
      <c r="G1" s="128"/>
      <c r="H1" s="551"/>
      <c r="I1" s="551"/>
      <c r="J1" s="551"/>
      <c r="K1" s="159"/>
      <c r="L1" s="96"/>
      <c r="M1" s="96"/>
      <c r="N1" s="96"/>
      <c r="O1" s="552" t="s">
        <v>816</v>
      </c>
      <c r="P1" s="552"/>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51"/>
      <c r="I2" s="551"/>
      <c r="J2" s="551"/>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53" t="s">
        <v>828</v>
      </c>
      <c r="M7" s="553"/>
      <c r="N7" s="553"/>
      <c r="O7" s="553"/>
      <c r="P7" s="173"/>
      <c r="Q7" s="96"/>
      <c r="R7" s="96"/>
      <c r="S7" s="96"/>
      <c r="T7" s="278"/>
      <c r="U7" s="96"/>
      <c r="V7" s="559" t="s">
        <v>829</v>
      </c>
      <c r="W7" s="559"/>
      <c r="Y7" s="179"/>
      <c r="Z7" s="96"/>
      <c r="AA7" s="159"/>
      <c r="AB7" s="96"/>
      <c r="AC7" s="553" t="s">
        <v>830</v>
      </c>
      <c r="AD7" s="55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2126</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1">
        <v>1</v>
      </c>
      <c r="B9" s="475" t="s">
        <v>2169</v>
      </c>
      <c r="C9" s="492"/>
      <c r="D9" s="475"/>
      <c r="E9" s="476"/>
      <c r="F9" s="476"/>
      <c r="G9" s="476"/>
      <c r="H9" s="493" t="s">
        <v>2170</v>
      </c>
      <c r="I9" s="493" t="s">
        <v>2132</v>
      </c>
      <c r="J9" s="479"/>
      <c r="K9" s="493" t="s">
        <v>2171</v>
      </c>
      <c r="L9" s="479"/>
      <c r="M9" s="479"/>
      <c r="N9" s="479"/>
      <c r="O9" s="479"/>
      <c r="P9" s="479"/>
      <c r="Q9" s="480" t="s">
        <v>893</v>
      </c>
      <c r="R9" s="482"/>
      <c r="S9" s="482" t="s">
        <v>863</v>
      </c>
      <c r="T9" s="479"/>
      <c r="U9" s="479"/>
      <c r="V9" s="479" t="s">
        <v>864</v>
      </c>
      <c r="W9" s="479" t="s">
        <v>864</v>
      </c>
    </row>
    <row r="10" spans="1:1014" ht="15.75" thickTop="1">
      <c r="A10" s="406">
        <f>SUBTOTAL(103,Tableau35[ID])</f>
        <v>1</v>
      </c>
      <c r="B10" s="406">
        <f>SUBTOTAL(103,Tableau35[Donnée (Niveau 1)])</f>
        <v>1</v>
      </c>
      <c r="C10" s="406">
        <f>SUBTOTAL(103,Tableau35[Donnée (Niveau 2)])</f>
        <v>0</v>
      </c>
      <c r="D10" s="406">
        <f>SUBTOTAL(103,Tableau35[Donnée (Niveau 3)])</f>
        <v>0</v>
      </c>
      <c r="E10" s="406">
        <f>SUBTOTAL(103,Tableau35[Donnée (Niveau 4)])</f>
        <v>0</v>
      </c>
      <c r="F10" s="406">
        <f>SUBTOTAL(103,Tableau35[Donnée (Niveau 5)])</f>
        <v>0</v>
      </c>
      <c r="G10" s="406">
        <f>SUBTOTAL(103,Tableau35[Donnée (Niveau 6)])</f>
        <v>0</v>
      </c>
      <c r="H10" s="406">
        <f>SUBTOTAL(103,Tableau35[Description])</f>
        <v>1</v>
      </c>
      <c r="I10" s="406">
        <f>SUBTOTAL(103,Tableau35[Exemples])</f>
        <v>1</v>
      </c>
      <c r="J10" s="406">
        <f>SUBTOTAL(103,Tableau35[Balise NexSIS])</f>
        <v>0</v>
      </c>
      <c r="K10" s="406">
        <f>SUBTOTAL(103,Tableau35[Nouvelle balise])</f>
        <v>1</v>
      </c>
      <c r="L10" s="406">
        <f>SUBTOTAL(103,Tableau35[Nantes - balise])</f>
        <v>0</v>
      </c>
      <c r="M10" s="406">
        <f>SUBTOTAL(103,Tableau35[Nantes - description])</f>
        <v>0</v>
      </c>
      <c r="N10" s="406">
        <f>SUBTOTAL(103,Tableau35[GT399])</f>
        <v>0</v>
      </c>
      <c r="O10" s="406">
        <f>SUBTOTAL(103,Tableau35[GT399 description])</f>
        <v>0</v>
      </c>
      <c r="P10" s="406">
        <f>SUBTOTAL(103,Tableau35[Priorisation])</f>
        <v>0</v>
      </c>
      <c r="Q10" s="406">
        <f>SUBTOTAL(103,Tableau35[Cardinalité])</f>
        <v>1</v>
      </c>
      <c r="R10" s="406">
        <f>SUBTOTAL(103,Tableau35[Objet])</f>
        <v>0</v>
      </c>
      <c r="S10" s="406">
        <f>SUBTOTAL(103,Tableau35[Format (ou type)])</f>
        <v>1</v>
      </c>
      <c r="T10" s="406">
        <f>SUBTOTAL(103,Tableau35[Nomenclature/ énumération])</f>
        <v>0</v>
      </c>
      <c r="U10" s="406">
        <f>SUBTOTAL(103,Tableau35[Détails de format])</f>
        <v>0</v>
      </c>
      <c r="V10" s="406">
        <f>SUBTOTAL(103,Tableau35[15-18])</f>
        <v>1</v>
      </c>
      <c r="W10" s="406">
        <f>SUBTOTAL(103,Tableau35[15-15])</f>
        <v>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H11" sqref="H11"/>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2172</v>
      </c>
      <c r="B1" s="128"/>
      <c r="C1" s="129" t="s">
        <v>813</v>
      </c>
      <c r="D1" s="128"/>
      <c r="E1" s="150" t="s">
        <v>814</v>
      </c>
      <c r="F1" s="157"/>
      <c r="G1" s="128"/>
      <c r="H1" s="551"/>
      <c r="I1" s="551"/>
      <c r="J1" s="551"/>
      <c r="K1" s="159"/>
      <c r="L1" s="96"/>
      <c r="M1" s="96"/>
      <c r="N1" s="96"/>
      <c r="O1" s="552" t="s">
        <v>816</v>
      </c>
      <c r="P1" s="552"/>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551"/>
      <c r="I2" s="551"/>
      <c r="J2" s="551"/>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53" t="s">
        <v>828</v>
      </c>
      <c r="M7" s="553"/>
      <c r="N7" s="553"/>
      <c r="O7" s="553"/>
      <c r="P7" s="173"/>
      <c r="Q7" s="96"/>
      <c r="R7" s="96"/>
      <c r="S7" s="96"/>
      <c r="T7" s="278"/>
      <c r="U7" s="96"/>
      <c r="V7" s="559" t="s">
        <v>829</v>
      </c>
      <c r="W7" s="559"/>
      <c r="Y7" s="179"/>
      <c r="Z7" s="96"/>
      <c r="AA7" s="159"/>
      <c r="AB7" s="96"/>
      <c r="AC7" s="553" t="s">
        <v>830</v>
      </c>
      <c r="AD7" s="55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2126</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8">
        <v>1</v>
      </c>
      <c r="B9" s="393" t="s">
        <v>1958</v>
      </c>
      <c r="C9" s="393"/>
      <c r="D9" s="393"/>
      <c r="E9" s="397"/>
      <c r="F9" s="397"/>
      <c r="G9" s="397"/>
      <c r="H9" s="317" t="s">
        <v>2173</v>
      </c>
      <c r="I9" s="395"/>
      <c r="K9" s="317" t="s">
        <v>1347</v>
      </c>
      <c r="Q9" s="395" t="s">
        <v>823</v>
      </c>
      <c r="R9" s="224" t="s">
        <v>864</v>
      </c>
      <c r="S9" s="224" t="s">
        <v>1347</v>
      </c>
      <c r="T9" s="457"/>
      <c r="U9" s="224"/>
      <c r="V9" t="s">
        <v>864</v>
      </c>
      <c r="W9" t="s">
        <v>864</v>
      </c>
    </row>
    <row r="10" spans="1:1014" ht="13.5" customHeight="1">
      <c r="A10" s="396">
        <v>2</v>
      </c>
      <c r="B10" s="468"/>
      <c r="C10" s="468" t="s">
        <v>2130</v>
      </c>
      <c r="D10" s="468"/>
      <c r="E10" s="466"/>
      <c r="F10" s="466"/>
      <c r="G10" s="397"/>
      <c r="H10" s="323" t="s">
        <v>2131</v>
      </c>
      <c r="I10" s="323" t="s">
        <v>2132</v>
      </c>
      <c r="K10" s="323" t="s">
        <v>1199</v>
      </c>
      <c r="Q10" s="320" t="s">
        <v>820</v>
      </c>
      <c r="R10" s="224"/>
      <c r="S10" s="224" t="s">
        <v>863</v>
      </c>
      <c r="T10" s="457"/>
      <c r="U10" s="224"/>
      <c r="V10" t="s">
        <v>864</v>
      </c>
      <c r="W10" t="s">
        <v>864</v>
      </c>
    </row>
    <row r="11" spans="1:1014" ht="13.5" customHeight="1">
      <c r="A11" s="398">
        <v>3</v>
      </c>
      <c r="B11" s="393"/>
      <c r="C11" s="393" t="s">
        <v>1909</v>
      </c>
      <c r="D11" s="393"/>
      <c r="E11" s="397"/>
      <c r="F11" s="397"/>
      <c r="G11" s="397"/>
      <c r="H11" s="317" t="s">
        <v>2174</v>
      </c>
      <c r="I11" s="317" t="s">
        <v>2175</v>
      </c>
      <c r="K11" s="317" t="s">
        <v>2176</v>
      </c>
      <c r="Q11" s="320" t="s">
        <v>820</v>
      </c>
      <c r="R11" s="224"/>
      <c r="S11" s="224" t="s">
        <v>863</v>
      </c>
      <c r="T11" s="457"/>
      <c r="U11" s="224"/>
      <c r="V11" t="s">
        <v>864</v>
      </c>
      <c r="W11" t="s">
        <v>864</v>
      </c>
    </row>
    <row r="12" spans="1:1014" ht="13.5" customHeight="1">
      <c r="A12" s="396">
        <v>4</v>
      </c>
      <c r="B12" s="393"/>
      <c r="C12" s="393" t="s">
        <v>1988</v>
      </c>
      <c r="D12" s="393"/>
      <c r="E12" s="397"/>
      <c r="F12" s="397"/>
      <c r="G12" s="397"/>
      <c r="H12" s="323" t="s">
        <v>2177</v>
      </c>
      <c r="I12" s="323" t="s">
        <v>2178</v>
      </c>
      <c r="K12" s="323" t="s">
        <v>871</v>
      </c>
      <c r="Q12" s="333" t="s">
        <v>817</v>
      </c>
      <c r="R12" s="224"/>
      <c r="S12" s="224" t="s">
        <v>863</v>
      </c>
      <c r="T12" s="457"/>
      <c r="U12" s="224"/>
      <c r="V12" t="s">
        <v>864</v>
      </c>
      <c r="W12" t="s">
        <v>864</v>
      </c>
    </row>
    <row r="13" spans="1:1014" ht="13.5" customHeight="1">
      <c r="A13" s="398">
        <v>5</v>
      </c>
      <c r="B13" s="393"/>
      <c r="C13" s="393" t="s">
        <v>2179</v>
      </c>
      <c r="D13" s="393"/>
      <c r="E13" s="397"/>
      <c r="F13" s="397"/>
      <c r="G13" s="397"/>
      <c r="H13" s="317" t="s">
        <v>2180</v>
      </c>
      <c r="I13" s="317" t="s">
        <v>2181</v>
      </c>
      <c r="K13" s="317" t="s">
        <v>999</v>
      </c>
      <c r="Q13" s="325" t="s">
        <v>820</v>
      </c>
      <c r="R13" s="224"/>
      <c r="S13" s="224" t="s">
        <v>863</v>
      </c>
      <c r="T13" s="457" t="s">
        <v>864</v>
      </c>
      <c r="U13" s="224" t="s">
        <v>2182</v>
      </c>
      <c r="V13" t="s">
        <v>864</v>
      </c>
      <c r="W13" t="s">
        <v>864</v>
      </c>
    </row>
    <row r="14" spans="1:1014" ht="13.5" customHeight="1">
      <c r="A14" s="396">
        <v>6</v>
      </c>
      <c r="B14" s="393"/>
      <c r="C14" s="393" t="s">
        <v>2183</v>
      </c>
      <c r="D14" s="393"/>
      <c r="E14" s="397"/>
      <c r="F14" s="397"/>
      <c r="G14" s="397"/>
      <c r="H14" s="323" t="s">
        <v>2184</v>
      </c>
      <c r="I14" s="323" t="s">
        <v>2185</v>
      </c>
      <c r="K14" s="323" t="s">
        <v>2186</v>
      </c>
      <c r="Q14" s="333" t="s">
        <v>817</v>
      </c>
      <c r="R14" s="224"/>
      <c r="S14" s="224" t="s">
        <v>863</v>
      </c>
      <c r="T14" s="457" t="s">
        <v>864</v>
      </c>
      <c r="U14" s="224" t="s">
        <v>2187</v>
      </c>
      <c r="V14" t="s">
        <v>864</v>
      </c>
      <c r="W14" t="s">
        <v>864</v>
      </c>
    </row>
    <row r="15" spans="1:1014" ht="13.5" customHeight="1">
      <c r="A15" s="398">
        <v>7</v>
      </c>
      <c r="B15" s="393"/>
      <c r="C15" s="393" t="s">
        <v>2188</v>
      </c>
      <c r="D15" s="393"/>
      <c r="E15" s="397"/>
      <c r="F15" s="397"/>
      <c r="G15" s="397"/>
      <c r="H15" s="317" t="s">
        <v>2189</v>
      </c>
      <c r="I15" s="317" t="s">
        <v>2190</v>
      </c>
      <c r="K15" s="317" t="s">
        <v>2191</v>
      </c>
      <c r="Q15" s="333" t="s">
        <v>817</v>
      </c>
      <c r="R15" s="224"/>
      <c r="S15" s="224" t="s">
        <v>863</v>
      </c>
      <c r="T15" s="457" t="s">
        <v>864</v>
      </c>
      <c r="U15" s="224" t="s">
        <v>2192</v>
      </c>
      <c r="V15" t="s">
        <v>864</v>
      </c>
      <c r="W15" t="s">
        <v>864</v>
      </c>
    </row>
    <row r="16" spans="1:1014" ht="13.5" customHeight="1">
      <c r="A16" s="396">
        <v>8</v>
      </c>
      <c r="B16" s="393"/>
      <c r="C16" s="393" t="s">
        <v>1973</v>
      </c>
      <c r="D16" s="393"/>
      <c r="E16" s="397"/>
      <c r="F16" s="397"/>
      <c r="G16" s="397"/>
      <c r="H16" s="323" t="s">
        <v>2193</v>
      </c>
      <c r="I16" s="323" t="s">
        <v>2194</v>
      </c>
      <c r="K16" s="323" t="s">
        <v>2195</v>
      </c>
      <c r="Q16" s="333" t="s">
        <v>817</v>
      </c>
      <c r="R16" s="224"/>
      <c r="S16" s="224" t="s">
        <v>863</v>
      </c>
      <c r="T16" s="457" t="s">
        <v>864</v>
      </c>
      <c r="U16" s="224" t="s">
        <v>2196</v>
      </c>
      <c r="V16" t="s">
        <v>864</v>
      </c>
      <c r="W16" t="s">
        <v>864</v>
      </c>
    </row>
    <row r="17" spans="1:23" ht="13.5" customHeight="1">
      <c r="A17" s="398">
        <v>9</v>
      </c>
      <c r="B17" s="393"/>
      <c r="C17" s="393" t="s">
        <v>2033</v>
      </c>
      <c r="D17" s="393"/>
      <c r="E17" s="397"/>
      <c r="F17" s="397"/>
      <c r="G17" s="397"/>
      <c r="H17" s="399" t="s">
        <v>2034</v>
      </c>
      <c r="I17" s="394"/>
      <c r="K17" s="317" t="s">
        <v>2197</v>
      </c>
      <c r="Q17" s="395" t="s">
        <v>823</v>
      </c>
      <c r="R17" s="224" t="s">
        <v>864</v>
      </c>
      <c r="S17" s="224" t="s">
        <v>1245</v>
      </c>
      <c r="T17" s="457"/>
      <c r="U17" s="224"/>
      <c r="V17" t="s">
        <v>864</v>
      </c>
      <c r="W17" t="s">
        <v>864</v>
      </c>
    </row>
    <row r="18" spans="1:23" ht="13.5" customHeight="1">
      <c r="A18" s="471">
        <v>10</v>
      </c>
      <c r="B18" s="469"/>
      <c r="C18" s="469"/>
      <c r="D18" s="469" t="s">
        <v>2037</v>
      </c>
      <c r="E18" s="467"/>
      <c r="F18" s="467"/>
      <c r="G18" s="467"/>
      <c r="H18" s="472" t="s">
        <v>2198</v>
      </c>
      <c r="I18" s="472" t="s">
        <v>1249</v>
      </c>
      <c r="K18" s="472" t="s">
        <v>999</v>
      </c>
      <c r="Q18" s="473" t="s">
        <v>817</v>
      </c>
      <c r="R18" s="224"/>
      <c r="S18" s="523" t="s">
        <v>863</v>
      </c>
      <c r="T18" s="457" t="s">
        <v>864</v>
      </c>
      <c r="U18" s="224" t="s">
        <v>2199</v>
      </c>
      <c r="V18" t="s">
        <v>864</v>
      </c>
      <c r="W18" t="s">
        <v>864</v>
      </c>
    </row>
    <row r="19" spans="1:23" ht="13.5" customHeight="1" thickBot="1">
      <c r="A19" s="474">
        <v>11</v>
      </c>
      <c r="B19" s="475"/>
      <c r="C19" s="475"/>
      <c r="D19" s="475" t="s">
        <v>2040</v>
      </c>
      <c r="E19" s="476"/>
      <c r="F19" s="476"/>
      <c r="G19" s="476"/>
      <c r="H19" s="477" t="s">
        <v>2200</v>
      </c>
      <c r="I19" s="478" t="s">
        <v>2201</v>
      </c>
      <c r="J19" s="479"/>
      <c r="K19" s="477" t="s">
        <v>990</v>
      </c>
      <c r="L19" s="479"/>
      <c r="M19" s="479"/>
      <c r="N19" s="479"/>
      <c r="O19" s="479"/>
      <c r="P19" s="479"/>
      <c r="Q19" s="480" t="s">
        <v>817</v>
      </c>
      <c r="R19" s="482"/>
      <c r="S19" s="524" t="s">
        <v>863</v>
      </c>
      <c r="T19" s="481"/>
      <c r="U19" s="482"/>
      <c r="V19" s="479" t="s">
        <v>864</v>
      </c>
      <c r="W19" s="479" t="s">
        <v>864</v>
      </c>
    </row>
    <row r="20" spans="1:23" ht="15.75" thickTop="1">
      <c r="A20" s="406">
        <f>SUBTOTAL(103,Tableau357[ID])</f>
        <v>11</v>
      </c>
      <c r="B20" s="406">
        <f>SUBTOTAL(103,Tableau357[Donnée (Niveau 1)])</f>
        <v>1</v>
      </c>
      <c r="C20" s="406">
        <f>SUBTOTAL(103,Tableau357[Donnée (Niveau 2)])</f>
        <v>8</v>
      </c>
      <c r="D20" s="406">
        <f>SUBTOTAL(103,Tableau357[Donnée (Niveau 3)])</f>
        <v>2</v>
      </c>
      <c r="E20" s="406">
        <f>SUBTOTAL(103,Tableau357[Donnée (Niveau 4)])</f>
        <v>0</v>
      </c>
      <c r="F20" s="406">
        <f>SUBTOTAL(103,Tableau357[Donnée (Niveau 5)])</f>
        <v>0</v>
      </c>
      <c r="G20" s="406">
        <f>SUBTOTAL(103,Tableau357[Donnée (Niveau 6)])</f>
        <v>0</v>
      </c>
      <c r="H20" s="406">
        <f>SUBTOTAL(103,Tableau357[Description])</f>
        <v>11</v>
      </c>
      <c r="I20" s="406">
        <f>SUBTOTAL(103,Tableau357[Exemples])</f>
        <v>9</v>
      </c>
      <c r="J20" s="406">
        <f>SUBTOTAL(103,Tableau357[Balise NexSIS])</f>
        <v>0</v>
      </c>
      <c r="K20" s="406">
        <f>SUBTOTAL(103,Tableau357[Nouvelle balise])</f>
        <v>11</v>
      </c>
      <c r="L20" s="406">
        <f>SUBTOTAL(103,Tableau357[Nantes - balise])</f>
        <v>0</v>
      </c>
      <c r="M20" s="406">
        <f>SUBTOTAL(103,Tableau357[Nantes - description])</f>
        <v>0</v>
      </c>
      <c r="N20" s="406">
        <f>SUBTOTAL(103,Tableau357[GT399])</f>
        <v>0</v>
      </c>
      <c r="O20" s="406">
        <f>SUBTOTAL(103,Tableau357[GT399 description])</f>
        <v>0</v>
      </c>
      <c r="P20" s="406">
        <f>SUBTOTAL(103,Tableau357[Priorisation])</f>
        <v>0</v>
      </c>
      <c r="Q20" s="406">
        <f>SUBTOTAL(103,Tableau357[Cardinalité])</f>
        <v>11</v>
      </c>
      <c r="R20" s="406">
        <f>SUBTOTAL(103,Tableau357[Objet])</f>
        <v>2</v>
      </c>
      <c r="S20" s="406">
        <f>SUBTOTAL(103,Tableau357[Format (ou type)])</f>
        <v>11</v>
      </c>
      <c r="T20" s="406">
        <f>SUBTOTAL(103,Tableau357[Nomenclature/ énumération])</f>
        <v>5</v>
      </c>
      <c r="U20" s="406">
        <f>SUBTOTAL(103,Tableau357[Détails de format])</f>
        <v>5</v>
      </c>
      <c r="V20" s="406">
        <f>SUBTOTAL(103,Tableau357[15-18])</f>
        <v>11</v>
      </c>
      <c r="W20" s="406">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H24" sqref="H24"/>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2202</v>
      </c>
      <c r="B1" s="272"/>
      <c r="C1" s="129" t="s">
        <v>813</v>
      </c>
      <c r="D1" s="128"/>
      <c r="E1" s="560" t="s">
        <v>814</v>
      </c>
      <c r="F1" s="560"/>
      <c r="G1" s="128"/>
      <c r="H1" s="555" t="s">
        <v>1593</v>
      </c>
      <c r="I1" s="555"/>
      <c r="J1" s="555"/>
      <c r="K1" s="96"/>
      <c r="L1" s="96"/>
      <c r="M1" s="96"/>
      <c r="N1" s="96"/>
      <c r="O1" s="561" t="s">
        <v>816</v>
      </c>
      <c r="P1" s="561"/>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68" t="s">
        <v>819</v>
      </c>
      <c r="F2" s="568"/>
      <c r="G2" s="128"/>
      <c r="H2" s="555"/>
      <c r="I2" s="555"/>
      <c r="J2" s="555"/>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67" t="s">
        <v>822</v>
      </c>
      <c r="F3" s="567"/>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65" t="s">
        <v>825</v>
      </c>
      <c r="F4" s="566"/>
      <c r="G4" s="137" t="s">
        <v>1593</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1593</v>
      </c>
      <c r="E5" s="563" t="s">
        <v>912</v>
      </c>
      <c r="F5" s="564"/>
      <c r="G5" s="148"/>
      <c r="H5" s="148"/>
      <c r="I5" s="409"/>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1593</v>
      </c>
      <c r="E6" s="128"/>
      <c r="F6" s="138" t="s">
        <v>1593</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1593</v>
      </c>
      <c r="D7" s="410" t="s">
        <v>1593</v>
      </c>
      <c r="E7" s="304" t="s">
        <v>1593</v>
      </c>
      <c r="F7" s="304" t="s">
        <v>1593</v>
      </c>
      <c r="G7" s="96"/>
      <c r="H7" s="96"/>
      <c r="I7" s="5"/>
      <c r="J7" s="96"/>
      <c r="K7" s="96"/>
      <c r="L7" s="556" t="s">
        <v>828</v>
      </c>
      <c r="M7" s="556"/>
      <c r="N7" s="556"/>
      <c r="O7" s="556"/>
      <c r="P7" s="96"/>
      <c r="Q7" s="96"/>
      <c r="R7" s="96"/>
      <c r="S7" s="96"/>
      <c r="T7" s="96"/>
      <c r="U7" s="96"/>
      <c r="V7" s="562" t="s">
        <v>829</v>
      </c>
      <c r="W7" s="562"/>
      <c r="Y7" s="96"/>
      <c r="Z7" s="96"/>
      <c r="AA7" s="96"/>
      <c r="AB7" s="96"/>
      <c r="AC7" s="556" t="s">
        <v>830</v>
      </c>
      <c r="AD7" s="55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6" customFormat="1" ht="27.75" customHeight="1">
      <c r="A8" s="438" t="s">
        <v>831</v>
      </c>
      <c r="B8" s="439" t="s">
        <v>832</v>
      </c>
      <c r="C8" s="439" t="s">
        <v>833</v>
      </c>
      <c r="D8" s="439" t="s">
        <v>834</v>
      </c>
      <c r="E8" s="439" t="s">
        <v>835</v>
      </c>
      <c r="F8" s="439" t="s">
        <v>836</v>
      </c>
      <c r="G8" s="439" t="s">
        <v>837</v>
      </c>
      <c r="H8" s="437" t="s">
        <v>9</v>
      </c>
      <c r="I8" s="437" t="s">
        <v>838</v>
      </c>
      <c r="J8" s="437" t="s">
        <v>841</v>
      </c>
      <c r="K8" s="437" t="s">
        <v>842</v>
      </c>
      <c r="L8" s="437" t="s">
        <v>843</v>
      </c>
      <c r="M8" s="437" t="s">
        <v>844</v>
      </c>
      <c r="N8" s="437" t="s">
        <v>845</v>
      </c>
      <c r="O8" s="437" t="s">
        <v>846</v>
      </c>
      <c r="P8" s="437" t="s">
        <v>847</v>
      </c>
      <c r="Q8" s="437" t="s">
        <v>677</v>
      </c>
      <c r="R8" s="437" t="s">
        <v>3</v>
      </c>
      <c r="S8" s="437" t="s">
        <v>2203</v>
      </c>
      <c r="T8" s="437" t="s">
        <v>914</v>
      </c>
      <c r="U8" s="437" t="s">
        <v>849</v>
      </c>
      <c r="V8" s="440" t="s">
        <v>850</v>
      </c>
      <c r="W8" s="440" t="s">
        <v>851</v>
      </c>
      <c r="X8" s="441" t="s">
        <v>852</v>
      </c>
      <c r="Y8" s="442" t="s">
        <v>853</v>
      </c>
      <c r="Z8" s="442" t="s">
        <v>854</v>
      </c>
      <c r="AA8" s="443" t="s">
        <v>855</v>
      </c>
      <c r="AB8" s="442" t="s">
        <v>856</v>
      </c>
      <c r="AC8" s="442" t="s">
        <v>857</v>
      </c>
      <c r="AD8" s="444" t="s">
        <v>915</v>
      </c>
      <c r="AE8" s="445"/>
      <c r="AF8" s="445"/>
      <c r="AG8" s="445"/>
      <c r="AH8" s="445"/>
      <c r="AI8" s="445"/>
      <c r="AJ8" s="445"/>
      <c r="AK8" s="445"/>
      <c r="AL8" s="445"/>
      <c r="AM8" s="445"/>
      <c r="AN8" s="445"/>
      <c r="AO8" s="445"/>
      <c r="AP8" s="445"/>
      <c r="AQ8" s="445"/>
      <c r="AR8" s="445"/>
      <c r="AS8" s="445"/>
      <c r="AT8" s="445"/>
      <c r="AU8" s="445"/>
      <c r="AV8" s="445"/>
      <c r="AW8" s="445"/>
      <c r="AX8" s="445"/>
      <c r="AY8" s="445"/>
      <c r="AZ8" s="445"/>
      <c r="BA8" s="445"/>
      <c r="BB8" s="445"/>
      <c r="BC8" s="445"/>
      <c r="BD8" s="445"/>
      <c r="BE8" s="445"/>
      <c r="BF8" s="445"/>
      <c r="BG8" s="445"/>
      <c r="BH8" s="445"/>
      <c r="BI8" s="445"/>
      <c r="BJ8" s="445"/>
      <c r="BK8" s="445"/>
      <c r="BL8" s="445"/>
      <c r="BM8" s="445"/>
      <c r="BN8" s="445"/>
      <c r="BO8" s="445"/>
      <c r="BP8" s="445"/>
      <c r="BQ8" s="445"/>
      <c r="BR8" s="445"/>
      <c r="BS8" s="445"/>
      <c r="BT8" s="445"/>
      <c r="BU8" s="445"/>
      <c r="BV8" s="445"/>
      <c r="BW8" s="445"/>
      <c r="BX8" s="445"/>
      <c r="BY8" s="445"/>
      <c r="BZ8" s="445"/>
      <c r="CA8" s="445"/>
      <c r="CB8" s="445"/>
      <c r="CC8" s="445"/>
      <c r="CD8" s="445"/>
      <c r="CE8" s="445"/>
      <c r="CF8" s="445"/>
      <c r="CG8" s="445"/>
      <c r="CH8" s="445"/>
      <c r="CI8" s="445"/>
      <c r="CJ8" s="445"/>
      <c r="CK8" s="445"/>
      <c r="CL8" s="445"/>
      <c r="CM8" s="445"/>
      <c r="CN8" s="445"/>
      <c r="CO8" s="445"/>
      <c r="CP8" s="445"/>
      <c r="CQ8" s="445"/>
      <c r="CR8" s="445"/>
      <c r="CS8" s="445"/>
      <c r="CT8" s="445"/>
      <c r="CU8" s="445"/>
      <c r="CV8" s="445"/>
      <c r="CW8" s="445"/>
      <c r="CX8" s="445"/>
      <c r="CY8" s="445"/>
      <c r="CZ8" s="445"/>
      <c r="DA8" s="445"/>
      <c r="DB8" s="445"/>
      <c r="DC8" s="445"/>
      <c r="DD8" s="445"/>
      <c r="DE8" s="445"/>
      <c r="DF8" s="445"/>
      <c r="DG8" s="445"/>
      <c r="DH8" s="445"/>
      <c r="DI8" s="445"/>
      <c r="DJ8" s="445"/>
      <c r="DK8" s="445"/>
      <c r="DL8" s="445"/>
      <c r="DM8" s="445"/>
      <c r="DN8" s="445"/>
      <c r="DO8" s="445"/>
      <c r="DP8" s="445"/>
      <c r="DQ8" s="445"/>
      <c r="DR8" s="445"/>
      <c r="DS8" s="445"/>
      <c r="DT8" s="445"/>
      <c r="DU8" s="445"/>
      <c r="DV8" s="445"/>
      <c r="DW8" s="445"/>
      <c r="DX8" s="445"/>
      <c r="DY8" s="445"/>
      <c r="DZ8" s="445"/>
      <c r="EA8" s="445"/>
      <c r="EB8" s="445"/>
      <c r="EC8" s="445"/>
      <c r="ED8" s="445"/>
      <c r="EE8" s="445"/>
      <c r="EF8" s="445"/>
      <c r="EG8" s="445"/>
      <c r="EH8" s="445"/>
      <c r="EI8" s="445"/>
      <c r="EJ8" s="445"/>
      <c r="EK8" s="445"/>
      <c r="EL8" s="445"/>
      <c r="EM8" s="445"/>
      <c r="EN8" s="445"/>
      <c r="EO8" s="445"/>
      <c r="EP8" s="445"/>
      <c r="EQ8" s="445"/>
      <c r="ER8" s="445"/>
      <c r="ES8" s="445"/>
      <c r="ET8" s="445"/>
      <c r="EU8" s="445"/>
      <c r="EV8" s="445"/>
      <c r="EW8" s="445"/>
      <c r="EX8" s="445"/>
      <c r="EY8" s="445"/>
      <c r="EZ8" s="445"/>
      <c r="FA8" s="445"/>
      <c r="FB8" s="445"/>
      <c r="FC8" s="445"/>
      <c r="FD8" s="445"/>
      <c r="FE8" s="445"/>
      <c r="FF8" s="445"/>
      <c r="FG8" s="445"/>
      <c r="FH8" s="445"/>
      <c r="FI8" s="445"/>
      <c r="FJ8" s="445"/>
      <c r="FK8" s="445"/>
      <c r="FL8" s="445"/>
      <c r="FM8" s="445"/>
      <c r="FN8" s="445"/>
      <c r="FO8" s="445"/>
      <c r="FP8" s="445"/>
      <c r="FQ8" s="445"/>
      <c r="FR8" s="445"/>
      <c r="FS8" s="445"/>
      <c r="FT8" s="445"/>
      <c r="FU8" s="445"/>
      <c r="FV8" s="445"/>
      <c r="FW8" s="445"/>
      <c r="FX8" s="445"/>
      <c r="FY8" s="445"/>
      <c r="FZ8" s="445"/>
      <c r="GA8" s="445"/>
      <c r="GB8" s="445"/>
      <c r="GC8" s="445"/>
      <c r="GD8" s="445"/>
      <c r="GE8" s="445"/>
      <c r="GF8" s="445"/>
      <c r="GG8" s="445"/>
      <c r="GH8" s="445"/>
      <c r="GI8" s="445"/>
      <c r="GJ8" s="445"/>
      <c r="GK8" s="445"/>
      <c r="GL8" s="445"/>
      <c r="GM8" s="445"/>
      <c r="GN8" s="445"/>
      <c r="GO8" s="445"/>
      <c r="GP8" s="445"/>
      <c r="GQ8" s="445"/>
      <c r="GR8" s="445"/>
      <c r="GS8" s="445"/>
      <c r="GT8" s="445"/>
      <c r="GU8" s="445"/>
      <c r="GV8" s="445"/>
      <c r="GW8" s="445"/>
      <c r="GX8" s="445"/>
      <c r="GY8" s="445"/>
      <c r="GZ8" s="445"/>
      <c r="HA8" s="445"/>
      <c r="HB8" s="445"/>
      <c r="HC8" s="445"/>
      <c r="HD8" s="445"/>
      <c r="HE8" s="445"/>
      <c r="HF8" s="445"/>
      <c r="HG8" s="445"/>
      <c r="HH8" s="445"/>
      <c r="HI8" s="445"/>
      <c r="HJ8" s="445"/>
      <c r="HK8" s="445"/>
      <c r="HL8" s="445"/>
      <c r="HM8" s="445"/>
      <c r="HN8" s="445"/>
      <c r="HO8" s="445"/>
      <c r="HP8" s="445"/>
      <c r="HQ8" s="445"/>
      <c r="HR8" s="445"/>
      <c r="HS8" s="445"/>
      <c r="HT8" s="445"/>
      <c r="HU8" s="445"/>
      <c r="HV8" s="445"/>
      <c r="HW8" s="445"/>
      <c r="HX8" s="445"/>
      <c r="HY8" s="445"/>
      <c r="HZ8" s="445"/>
      <c r="IA8" s="445"/>
      <c r="IB8" s="445"/>
      <c r="IC8" s="445"/>
      <c r="ID8" s="445"/>
      <c r="IE8" s="445"/>
      <c r="IF8" s="445"/>
      <c r="IG8" s="445"/>
      <c r="IH8" s="445"/>
      <c r="II8" s="445"/>
      <c r="IJ8" s="445"/>
      <c r="IK8" s="445"/>
      <c r="IL8" s="445"/>
      <c r="IM8" s="445"/>
      <c r="IN8" s="445"/>
      <c r="IO8" s="445"/>
      <c r="IP8" s="445"/>
      <c r="IQ8" s="445"/>
      <c r="IR8" s="445"/>
      <c r="IS8" s="445"/>
      <c r="IT8" s="445"/>
      <c r="IU8" s="445"/>
      <c r="IV8" s="445"/>
      <c r="IW8" s="445"/>
      <c r="IX8" s="445"/>
      <c r="IY8" s="445"/>
      <c r="IZ8" s="445"/>
      <c r="JA8" s="445"/>
      <c r="JB8" s="445"/>
      <c r="JC8" s="445"/>
      <c r="JD8" s="445"/>
      <c r="JE8" s="445"/>
      <c r="JF8" s="445"/>
      <c r="JG8" s="445"/>
      <c r="JH8" s="445"/>
      <c r="JI8" s="445"/>
      <c r="JJ8" s="445"/>
      <c r="JK8" s="445"/>
      <c r="JL8" s="445"/>
      <c r="JM8" s="445"/>
      <c r="JN8" s="445"/>
      <c r="JO8" s="445"/>
      <c r="JP8" s="445"/>
      <c r="JQ8" s="445"/>
      <c r="JR8" s="445"/>
      <c r="JS8" s="445"/>
      <c r="JT8" s="445"/>
      <c r="JU8" s="445"/>
      <c r="JV8" s="445"/>
      <c r="JW8" s="445"/>
      <c r="JX8" s="445"/>
      <c r="JY8" s="445"/>
      <c r="JZ8" s="445"/>
      <c r="KA8" s="445"/>
      <c r="KB8" s="445"/>
      <c r="KC8" s="445"/>
      <c r="KD8" s="445"/>
      <c r="KE8" s="445"/>
      <c r="KF8" s="445"/>
      <c r="KG8" s="445"/>
      <c r="KH8" s="445"/>
      <c r="KI8" s="445"/>
      <c r="KJ8" s="445"/>
      <c r="KK8" s="445"/>
      <c r="KL8" s="445"/>
      <c r="KM8" s="445"/>
      <c r="KN8" s="445"/>
      <c r="KO8" s="445"/>
      <c r="KP8" s="445"/>
      <c r="KQ8" s="445"/>
      <c r="KR8" s="445"/>
      <c r="KS8" s="445"/>
      <c r="KT8" s="445"/>
      <c r="KU8" s="445"/>
      <c r="KV8" s="445"/>
      <c r="KW8" s="445"/>
      <c r="KX8" s="445"/>
      <c r="KY8" s="445"/>
      <c r="KZ8" s="445"/>
      <c r="LA8" s="445"/>
      <c r="LB8" s="445"/>
      <c r="LC8" s="445"/>
      <c r="LD8" s="445"/>
      <c r="LE8" s="445"/>
      <c r="LF8" s="445"/>
      <c r="LG8" s="445"/>
      <c r="LH8" s="445"/>
      <c r="LI8" s="445"/>
      <c r="LJ8" s="445"/>
      <c r="LK8" s="445"/>
      <c r="LL8" s="445"/>
      <c r="LM8" s="445"/>
      <c r="LN8" s="445"/>
      <c r="LO8" s="445"/>
      <c r="LP8" s="445"/>
      <c r="LQ8" s="445"/>
      <c r="LR8" s="445"/>
      <c r="LS8" s="445"/>
      <c r="LT8" s="445"/>
      <c r="LU8" s="445"/>
      <c r="LV8" s="445"/>
      <c r="LW8" s="445"/>
      <c r="LX8" s="445"/>
      <c r="LY8" s="445"/>
      <c r="LZ8" s="445"/>
      <c r="MA8" s="445"/>
      <c r="MB8" s="445"/>
      <c r="MC8" s="445"/>
      <c r="MD8" s="445"/>
      <c r="ME8" s="445"/>
      <c r="MF8" s="445"/>
      <c r="MG8" s="445"/>
      <c r="MH8" s="445"/>
      <c r="MI8" s="445"/>
      <c r="MJ8" s="445"/>
      <c r="MK8" s="445"/>
      <c r="ML8" s="445"/>
      <c r="MM8" s="445"/>
      <c r="MN8" s="445"/>
      <c r="MO8" s="445"/>
      <c r="MP8" s="445"/>
      <c r="MQ8" s="445"/>
      <c r="MR8" s="445"/>
      <c r="MS8" s="445"/>
      <c r="MT8" s="445"/>
      <c r="MU8" s="445"/>
      <c r="MV8" s="445"/>
      <c r="MW8" s="445"/>
      <c r="MX8" s="445"/>
      <c r="MY8" s="445"/>
      <c r="MZ8" s="445"/>
      <c r="NA8" s="445"/>
      <c r="NB8" s="445"/>
      <c r="NC8" s="445"/>
      <c r="ND8" s="445"/>
      <c r="NE8" s="445"/>
      <c r="NF8" s="445"/>
      <c r="NG8" s="445"/>
      <c r="NH8" s="445"/>
      <c r="NI8" s="445"/>
      <c r="NJ8" s="445"/>
      <c r="NK8" s="445"/>
      <c r="NL8" s="445"/>
      <c r="NM8" s="445"/>
      <c r="NN8" s="445"/>
      <c r="NO8" s="445"/>
      <c r="NP8" s="445"/>
      <c r="NQ8" s="445"/>
      <c r="NR8" s="445"/>
      <c r="NS8" s="445"/>
      <c r="NT8" s="445"/>
      <c r="NU8" s="445"/>
      <c r="NV8" s="445"/>
      <c r="NW8" s="445"/>
      <c r="NX8" s="445"/>
      <c r="NY8" s="445"/>
      <c r="NZ8" s="445"/>
      <c r="OA8" s="445"/>
      <c r="OB8" s="445"/>
      <c r="OC8" s="445"/>
      <c r="OD8" s="445"/>
      <c r="OE8" s="445"/>
      <c r="OF8" s="445"/>
      <c r="OG8" s="445"/>
      <c r="OH8" s="445"/>
      <c r="OI8" s="445"/>
      <c r="OJ8" s="445"/>
      <c r="OK8" s="445"/>
      <c r="OL8" s="445"/>
      <c r="OM8" s="445"/>
      <c r="ON8" s="445"/>
      <c r="OO8" s="445"/>
      <c r="OP8" s="445"/>
      <c r="OQ8" s="445"/>
      <c r="OR8" s="445"/>
      <c r="OS8" s="445"/>
      <c r="OT8" s="445"/>
      <c r="OU8" s="445"/>
      <c r="OV8" s="445"/>
      <c r="OW8" s="445"/>
      <c r="OX8" s="445"/>
      <c r="OY8" s="445"/>
      <c r="OZ8" s="445"/>
      <c r="PA8" s="445"/>
      <c r="PB8" s="445"/>
      <c r="PC8" s="445"/>
      <c r="PD8" s="445"/>
      <c r="PE8" s="445"/>
      <c r="PF8" s="445"/>
      <c r="PG8" s="445"/>
      <c r="PH8" s="445"/>
      <c r="PI8" s="445"/>
      <c r="PJ8" s="445"/>
      <c r="PK8" s="445"/>
      <c r="PL8" s="445"/>
      <c r="PM8" s="445"/>
      <c r="PN8" s="445"/>
      <c r="PO8" s="445"/>
      <c r="PP8" s="445"/>
      <c r="PQ8" s="445"/>
      <c r="PR8" s="445"/>
      <c r="PS8" s="445"/>
      <c r="PT8" s="445"/>
      <c r="PU8" s="445"/>
      <c r="PV8" s="445"/>
      <c r="PW8" s="445"/>
      <c r="PX8" s="445"/>
      <c r="PY8" s="445"/>
      <c r="PZ8" s="445"/>
      <c r="QA8" s="445"/>
      <c r="QB8" s="445"/>
      <c r="QC8" s="445"/>
      <c r="QD8" s="445"/>
      <c r="QE8" s="445"/>
      <c r="QF8" s="445"/>
      <c r="QG8" s="445"/>
      <c r="QH8" s="445"/>
      <c r="QI8" s="445"/>
      <c r="QJ8" s="445"/>
      <c r="QK8" s="445"/>
      <c r="QL8" s="445"/>
      <c r="QM8" s="445"/>
      <c r="QN8" s="445"/>
      <c r="QO8" s="445"/>
      <c r="QP8" s="445"/>
      <c r="QQ8" s="445"/>
      <c r="QR8" s="445"/>
      <c r="QS8" s="445"/>
      <c r="QT8" s="445"/>
      <c r="QU8" s="445"/>
      <c r="QV8" s="445"/>
      <c r="QW8" s="445"/>
      <c r="QX8" s="445"/>
      <c r="QY8" s="445"/>
      <c r="QZ8" s="445"/>
      <c r="RA8" s="445"/>
      <c r="RB8" s="445"/>
      <c r="RC8" s="445"/>
      <c r="RD8" s="445"/>
      <c r="RE8" s="445"/>
      <c r="RF8" s="445"/>
      <c r="RG8" s="445"/>
      <c r="RH8" s="445"/>
      <c r="RI8" s="445"/>
      <c r="RJ8" s="445"/>
      <c r="RK8" s="445"/>
      <c r="RL8" s="445"/>
      <c r="RM8" s="445"/>
      <c r="RN8" s="445"/>
      <c r="RO8" s="445"/>
      <c r="RP8" s="445"/>
      <c r="RQ8" s="445"/>
      <c r="RR8" s="445"/>
      <c r="RS8" s="445"/>
      <c r="RT8" s="445"/>
      <c r="RU8" s="445"/>
      <c r="RV8" s="445"/>
      <c r="RW8" s="445"/>
      <c r="RX8" s="445"/>
      <c r="RY8" s="445"/>
      <c r="RZ8" s="445"/>
      <c r="SA8" s="445"/>
      <c r="SB8" s="445"/>
      <c r="SC8" s="445"/>
      <c r="SD8" s="445"/>
      <c r="SE8" s="445"/>
      <c r="SF8" s="445"/>
      <c r="SG8" s="445"/>
      <c r="SH8" s="445"/>
      <c r="SI8" s="445"/>
      <c r="SJ8" s="445"/>
      <c r="SK8" s="445"/>
      <c r="SL8" s="445"/>
      <c r="SM8" s="445"/>
      <c r="SN8" s="445"/>
      <c r="SO8" s="445"/>
      <c r="SP8" s="445"/>
      <c r="SQ8" s="445"/>
      <c r="SR8" s="445"/>
      <c r="SS8" s="445"/>
      <c r="ST8" s="445"/>
      <c r="SU8" s="445"/>
      <c r="SV8" s="445"/>
      <c r="SW8" s="445"/>
      <c r="SX8" s="445"/>
      <c r="SY8" s="445"/>
      <c r="SZ8" s="445"/>
      <c r="TA8" s="445"/>
      <c r="TB8" s="445"/>
      <c r="TC8" s="445"/>
      <c r="TD8" s="445"/>
      <c r="TE8" s="445"/>
      <c r="TF8" s="445"/>
      <c r="TG8" s="445"/>
      <c r="TH8" s="445"/>
      <c r="TI8" s="445"/>
      <c r="TJ8" s="445"/>
      <c r="TK8" s="445"/>
      <c r="TL8" s="445"/>
      <c r="TM8" s="445"/>
      <c r="TN8" s="445"/>
      <c r="TO8" s="445"/>
      <c r="TP8" s="445"/>
      <c r="TQ8" s="445"/>
      <c r="TR8" s="445"/>
      <c r="TS8" s="445"/>
      <c r="TT8" s="445"/>
      <c r="TU8" s="445"/>
      <c r="TV8" s="445"/>
      <c r="TW8" s="445"/>
      <c r="TX8" s="445"/>
      <c r="TY8" s="445"/>
      <c r="TZ8" s="445"/>
      <c r="UA8" s="445"/>
      <c r="UB8" s="445"/>
      <c r="UC8" s="445"/>
      <c r="UD8" s="445"/>
      <c r="UE8" s="445"/>
      <c r="UF8" s="445"/>
      <c r="UG8" s="445"/>
      <c r="UH8" s="445"/>
      <c r="UI8" s="445"/>
      <c r="UJ8" s="445"/>
      <c r="UK8" s="445"/>
      <c r="UL8" s="445"/>
      <c r="UM8" s="445"/>
      <c r="UN8" s="445"/>
      <c r="UO8" s="445"/>
      <c r="UP8" s="445"/>
      <c r="UQ8" s="445"/>
      <c r="UR8" s="445"/>
      <c r="US8" s="445"/>
      <c r="UT8" s="445"/>
      <c r="UU8" s="445"/>
      <c r="UV8" s="445"/>
      <c r="UW8" s="445"/>
      <c r="UX8" s="445"/>
      <c r="UY8" s="445"/>
      <c r="UZ8" s="445"/>
      <c r="VA8" s="445"/>
      <c r="VB8" s="445"/>
      <c r="VC8" s="445"/>
      <c r="VD8" s="445"/>
      <c r="VE8" s="445"/>
      <c r="VF8" s="445"/>
      <c r="VG8" s="445"/>
      <c r="VH8" s="445"/>
      <c r="VI8" s="445"/>
      <c r="VJ8" s="445"/>
      <c r="VK8" s="445"/>
      <c r="VL8" s="445"/>
      <c r="VM8" s="445"/>
      <c r="VN8" s="445"/>
      <c r="VO8" s="445"/>
      <c r="VP8" s="445"/>
      <c r="VQ8" s="445"/>
      <c r="VR8" s="445"/>
      <c r="VS8" s="445"/>
      <c r="VT8" s="445"/>
      <c r="VU8" s="445"/>
      <c r="VV8" s="445"/>
      <c r="VW8" s="445"/>
      <c r="VX8" s="445"/>
      <c r="VY8" s="445"/>
      <c r="VZ8" s="445"/>
      <c r="WA8" s="445"/>
      <c r="WB8" s="445"/>
      <c r="WC8" s="445"/>
      <c r="WD8" s="445"/>
      <c r="WE8" s="445"/>
      <c r="WF8" s="445"/>
      <c r="WG8" s="445"/>
      <c r="WH8" s="445"/>
      <c r="WI8" s="445"/>
      <c r="WJ8" s="445"/>
      <c r="WK8" s="445"/>
      <c r="WL8" s="445"/>
      <c r="WM8" s="445"/>
      <c r="WN8" s="445"/>
      <c r="WO8" s="445"/>
      <c r="WP8" s="445"/>
      <c r="WQ8" s="445"/>
      <c r="WR8" s="445"/>
      <c r="WS8" s="445"/>
      <c r="WT8" s="445"/>
      <c r="WU8" s="445"/>
      <c r="WV8" s="445"/>
      <c r="WW8" s="445"/>
      <c r="WX8" s="445"/>
      <c r="WY8" s="445"/>
      <c r="WZ8" s="445"/>
      <c r="XA8" s="445"/>
      <c r="XB8" s="445"/>
      <c r="XC8" s="445"/>
      <c r="XD8" s="445"/>
      <c r="XE8" s="445"/>
      <c r="XF8" s="445"/>
      <c r="XG8" s="445"/>
      <c r="XH8" s="445"/>
      <c r="XI8" s="445"/>
      <c r="XJ8" s="445"/>
      <c r="XK8" s="445"/>
      <c r="XL8" s="445"/>
      <c r="XM8" s="445"/>
      <c r="XN8" s="445"/>
      <c r="XO8" s="445"/>
      <c r="XP8" s="445"/>
      <c r="XQ8" s="445"/>
      <c r="XR8" s="445"/>
      <c r="XS8" s="445"/>
      <c r="XT8" s="445"/>
      <c r="XU8" s="445"/>
      <c r="XV8" s="445"/>
      <c r="XW8" s="445"/>
      <c r="XX8" s="445"/>
      <c r="XY8" s="445"/>
      <c r="XZ8" s="445"/>
      <c r="YA8" s="445"/>
      <c r="YB8" s="445"/>
      <c r="YC8" s="445"/>
      <c r="YD8" s="445"/>
      <c r="YE8" s="445"/>
      <c r="YF8" s="445"/>
      <c r="YG8" s="445"/>
      <c r="YH8" s="445"/>
      <c r="YI8" s="445"/>
      <c r="YJ8" s="445"/>
      <c r="YK8" s="445"/>
      <c r="YL8" s="445"/>
      <c r="YM8" s="445"/>
      <c r="YN8" s="445"/>
      <c r="YO8" s="445"/>
      <c r="YP8" s="445"/>
      <c r="YQ8" s="445"/>
      <c r="YR8" s="445"/>
      <c r="YS8" s="445"/>
      <c r="YT8" s="445"/>
      <c r="YU8" s="445"/>
      <c r="YV8" s="445"/>
      <c r="YW8" s="445"/>
      <c r="YX8" s="445"/>
      <c r="YY8" s="445"/>
      <c r="YZ8" s="445"/>
      <c r="ZA8" s="445"/>
      <c r="ZB8" s="445"/>
      <c r="ZC8" s="445"/>
      <c r="ZD8" s="445"/>
      <c r="ZE8" s="445"/>
      <c r="ZF8" s="445"/>
      <c r="ZG8" s="445"/>
      <c r="ZH8" s="445"/>
      <c r="ZI8" s="445"/>
      <c r="ZJ8" s="445"/>
      <c r="ZK8" s="445"/>
      <c r="ZL8" s="445"/>
      <c r="ZM8" s="445"/>
      <c r="ZN8" s="445"/>
      <c r="ZO8" s="445"/>
      <c r="ZP8" s="445"/>
      <c r="ZQ8" s="445"/>
      <c r="ZR8" s="445"/>
      <c r="ZS8" s="445"/>
      <c r="ZT8" s="445"/>
      <c r="ZU8" s="445"/>
      <c r="ZV8" s="445"/>
      <c r="ZW8" s="445"/>
      <c r="ZX8" s="445"/>
      <c r="ZY8" s="445"/>
      <c r="ZZ8" s="445"/>
      <c r="AAA8" s="445"/>
      <c r="AAB8" s="445"/>
      <c r="AAC8" s="445"/>
      <c r="AAD8" s="445"/>
      <c r="AAE8" s="445"/>
      <c r="AAF8" s="445"/>
      <c r="AAG8" s="445"/>
      <c r="AAH8" s="445"/>
      <c r="AAI8" s="445"/>
      <c r="AAJ8" s="445"/>
      <c r="AAK8" s="445"/>
      <c r="AAL8" s="445"/>
      <c r="AAM8" s="445"/>
      <c r="AAN8" s="445"/>
      <c r="AAO8" s="445"/>
      <c r="AAP8" s="445"/>
      <c r="AAQ8" s="445"/>
      <c r="AAR8" s="445"/>
      <c r="AAS8" s="445"/>
      <c r="AAT8" s="445"/>
      <c r="AAU8" s="445"/>
      <c r="AAV8" s="445"/>
      <c r="AAW8" s="445"/>
      <c r="AAX8" s="445"/>
      <c r="AAY8" s="445"/>
      <c r="AAZ8" s="445"/>
      <c r="ABA8" s="445"/>
      <c r="ABB8" s="445"/>
      <c r="ABC8" s="445"/>
      <c r="ABD8" s="445"/>
      <c r="ABE8" s="445"/>
      <c r="ABF8" s="445"/>
      <c r="ABG8" s="445"/>
      <c r="ABH8" s="445"/>
      <c r="ABI8" s="445"/>
      <c r="ABJ8" s="445"/>
      <c r="ABK8" s="445"/>
      <c r="ABL8" s="445"/>
      <c r="ABM8" s="445"/>
      <c r="ABN8" s="445"/>
      <c r="ABO8" s="445"/>
      <c r="ABP8" s="445"/>
      <c r="ABQ8" s="445"/>
      <c r="ABR8" s="445"/>
      <c r="ABS8" s="445"/>
      <c r="ABT8" s="445"/>
      <c r="ABU8" s="445"/>
      <c r="ABV8" s="445"/>
      <c r="ABW8" s="445"/>
      <c r="ABX8" s="445"/>
      <c r="ABY8" s="445"/>
      <c r="ABZ8" s="445"/>
      <c r="ACA8" s="445"/>
      <c r="ACB8" s="445"/>
      <c r="ACC8" s="445"/>
      <c r="ACD8" s="445"/>
      <c r="ACE8" s="445"/>
      <c r="ACF8" s="445"/>
      <c r="ACG8" s="445"/>
      <c r="ACH8" s="445"/>
      <c r="ACI8" s="445"/>
      <c r="ACJ8" s="445"/>
      <c r="ACK8" s="445"/>
      <c r="ACL8" s="445"/>
      <c r="ACM8" s="445"/>
      <c r="ACN8" s="445"/>
      <c r="ACO8" s="445"/>
      <c r="ACP8" s="445"/>
      <c r="ACQ8" s="445"/>
      <c r="ACR8" s="445"/>
      <c r="ACS8" s="445"/>
      <c r="ACT8" s="445"/>
      <c r="ACU8" s="445"/>
      <c r="ACV8" s="445"/>
      <c r="ACW8" s="445"/>
      <c r="ACX8" s="445"/>
      <c r="ACY8" s="445"/>
      <c r="ACZ8" s="445"/>
      <c r="ADA8" s="445"/>
      <c r="ADB8" s="445"/>
      <c r="ADC8" s="445"/>
      <c r="ADD8" s="445"/>
      <c r="ADE8" s="445"/>
      <c r="ADF8" s="445"/>
      <c r="ADG8" s="445"/>
      <c r="ADH8" s="445"/>
      <c r="ADI8" s="445"/>
      <c r="ADJ8" s="445"/>
      <c r="ADK8" s="445"/>
      <c r="ADL8" s="445"/>
      <c r="ADM8" s="445"/>
      <c r="ADN8" s="445"/>
      <c r="ADO8" s="445"/>
      <c r="ADP8" s="445"/>
      <c r="ADQ8" s="445"/>
      <c r="ADR8" s="445"/>
      <c r="ADS8" s="445"/>
      <c r="ADT8" s="445"/>
      <c r="ADU8" s="445"/>
      <c r="ADV8" s="445"/>
      <c r="ADW8" s="445"/>
      <c r="ADX8" s="445"/>
      <c r="ADY8" s="445"/>
      <c r="ADZ8" s="445"/>
      <c r="AEA8" s="445"/>
      <c r="AEB8" s="445"/>
      <c r="AEC8" s="445"/>
      <c r="AED8" s="445"/>
      <c r="AEE8" s="445"/>
      <c r="AEF8" s="445"/>
      <c r="AEG8" s="445"/>
      <c r="AEH8" s="445"/>
      <c r="AEI8" s="445"/>
      <c r="AEJ8" s="445"/>
      <c r="AEK8" s="445"/>
      <c r="AEL8" s="445"/>
      <c r="AEM8" s="445"/>
      <c r="AEN8" s="445"/>
      <c r="AEO8" s="445"/>
      <c r="AEP8" s="445"/>
      <c r="AEQ8" s="445"/>
      <c r="AER8" s="445"/>
      <c r="AES8" s="445"/>
      <c r="AET8" s="445"/>
      <c r="AEU8" s="445"/>
      <c r="AEV8" s="445"/>
      <c r="AEW8" s="445"/>
      <c r="AEX8" s="445"/>
      <c r="AEY8" s="445"/>
      <c r="AEZ8" s="445"/>
      <c r="AFA8" s="445"/>
      <c r="AFB8" s="445"/>
      <c r="AFC8" s="445"/>
      <c r="AFD8" s="445"/>
      <c r="AFE8" s="445"/>
      <c r="AFF8" s="445"/>
      <c r="AFG8" s="445"/>
      <c r="AFH8" s="445"/>
      <c r="AFI8" s="445"/>
      <c r="AFJ8" s="445"/>
      <c r="AFK8" s="445"/>
      <c r="AFL8" s="445"/>
      <c r="AFM8" s="445"/>
      <c r="AFN8" s="445"/>
      <c r="AFO8" s="445"/>
      <c r="AFP8" s="445"/>
      <c r="AFQ8" s="445"/>
      <c r="AFR8" s="445"/>
      <c r="AFS8" s="445"/>
      <c r="AFT8" s="445"/>
      <c r="AFU8" s="445"/>
      <c r="AFV8" s="445"/>
      <c r="AFW8" s="445"/>
      <c r="AFX8" s="445"/>
      <c r="AFY8" s="445"/>
      <c r="AFZ8" s="445"/>
      <c r="AGA8" s="445"/>
      <c r="AGB8" s="445"/>
      <c r="AGC8" s="445"/>
      <c r="AGD8" s="445"/>
      <c r="AGE8" s="445"/>
      <c r="AGF8" s="445"/>
      <c r="AGG8" s="445"/>
      <c r="AGH8" s="445"/>
      <c r="AGI8" s="445"/>
      <c r="AGJ8" s="445"/>
      <c r="AGK8" s="445"/>
      <c r="AGL8" s="445"/>
      <c r="AGM8" s="445"/>
      <c r="AGN8" s="445"/>
      <c r="AGO8" s="445"/>
      <c r="AGP8" s="445"/>
      <c r="AGQ8" s="445"/>
      <c r="AGR8" s="445"/>
      <c r="AGS8" s="445"/>
      <c r="AGT8" s="445"/>
      <c r="AGU8" s="445"/>
      <c r="AGV8" s="445"/>
      <c r="AGW8" s="445"/>
      <c r="AGX8" s="445"/>
      <c r="AGY8" s="445"/>
      <c r="AGZ8" s="445"/>
      <c r="AHA8" s="445"/>
      <c r="AHB8" s="445"/>
      <c r="AHC8" s="445"/>
      <c r="AHD8" s="445"/>
      <c r="AHE8" s="445"/>
      <c r="AHF8" s="445"/>
      <c r="AHG8" s="445"/>
      <c r="AHH8" s="445"/>
      <c r="AHI8" s="445"/>
      <c r="AHJ8" s="445"/>
      <c r="AHK8" s="445"/>
      <c r="AHL8" s="445"/>
      <c r="AHM8" s="445"/>
      <c r="AHN8" s="445"/>
      <c r="AHO8" s="445"/>
      <c r="AHP8" s="445"/>
      <c r="AHQ8" s="445"/>
      <c r="AHR8" s="445"/>
      <c r="AHS8" s="445"/>
      <c r="AHT8" s="445"/>
      <c r="AHU8" s="445"/>
      <c r="AHV8" s="445"/>
      <c r="AHW8" s="445"/>
      <c r="AHX8" s="445"/>
      <c r="AHY8" s="445"/>
      <c r="AHZ8" s="445"/>
      <c r="AIA8" s="445"/>
      <c r="AIB8" s="445"/>
      <c r="AIC8" s="445"/>
      <c r="AID8" s="445"/>
      <c r="AIE8" s="445"/>
      <c r="AIF8" s="445"/>
      <c r="AIG8" s="445"/>
      <c r="AIH8" s="445"/>
      <c r="AII8" s="445"/>
      <c r="AIJ8" s="445"/>
      <c r="AIK8" s="445"/>
      <c r="AIL8" s="445"/>
      <c r="AIM8" s="445"/>
      <c r="AIN8" s="445"/>
      <c r="AIO8" s="445"/>
      <c r="AIP8" s="445"/>
      <c r="AIQ8" s="445"/>
      <c r="AIR8" s="445"/>
      <c r="AIS8" s="445"/>
      <c r="AIT8" s="445"/>
      <c r="AIU8" s="445"/>
      <c r="AIV8" s="445"/>
      <c r="AIW8" s="445"/>
      <c r="AIX8" s="445"/>
      <c r="AIY8" s="445"/>
      <c r="AIZ8" s="445"/>
      <c r="AJA8" s="445"/>
      <c r="AJB8" s="445"/>
      <c r="AJC8" s="445"/>
      <c r="AJD8" s="445"/>
      <c r="AJE8" s="445"/>
      <c r="AJF8" s="445"/>
      <c r="AJG8" s="445"/>
      <c r="AJH8" s="445"/>
      <c r="AJI8" s="445"/>
      <c r="AJJ8" s="445"/>
      <c r="AJK8" s="445"/>
      <c r="AJL8" s="445"/>
      <c r="AJM8" s="445"/>
      <c r="AJN8" s="445"/>
      <c r="AJO8" s="445"/>
      <c r="AJP8" s="445"/>
      <c r="AJQ8" s="445"/>
      <c r="AJR8" s="445"/>
      <c r="AJS8" s="445"/>
      <c r="AJT8" s="445"/>
      <c r="AJU8" s="445"/>
      <c r="AJV8" s="445"/>
      <c r="AJW8" s="445"/>
      <c r="AJX8" s="445"/>
      <c r="AJY8" s="445"/>
      <c r="AJZ8" s="445"/>
      <c r="AKA8" s="445"/>
      <c r="AKB8" s="445"/>
      <c r="AKC8" s="445"/>
      <c r="AKD8" s="445"/>
      <c r="AKE8" s="445"/>
      <c r="AKF8" s="445"/>
      <c r="AKG8" s="445"/>
      <c r="AKH8" s="445"/>
      <c r="AKI8" s="445"/>
      <c r="AKJ8" s="445"/>
      <c r="AKK8" s="445"/>
      <c r="AKL8" s="445"/>
      <c r="AKM8" s="445"/>
      <c r="AKN8" s="445"/>
      <c r="AKO8" s="445"/>
      <c r="AKP8" s="445"/>
      <c r="AKQ8" s="445"/>
      <c r="AKR8" s="445"/>
      <c r="AKS8" s="445"/>
      <c r="AKT8" s="445"/>
      <c r="AKU8" s="445"/>
      <c r="AKV8" s="445"/>
      <c r="AKW8" s="445"/>
      <c r="AKX8" s="445"/>
      <c r="AKY8" s="445"/>
      <c r="AKZ8" s="445"/>
      <c r="ALA8" s="445"/>
      <c r="ALB8" s="445"/>
      <c r="ALC8" s="445"/>
      <c r="ALD8" s="445"/>
      <c r="ALE8" s="445"/>
      <c r="ALF8" s="445"/>
      <c r="ALG8" s="445"/>
      <c r="ALH8" s="445"/>
      <c r="ALI8" s="445"/>
      <c r="ALJ8" s="445"/>
      <c r="ALK8" s="445"/>
      <c r="ALL8" s="445"/>
      <c r="ALM8" s="445"/>
      <c r="ALN8" s="445"/>
      <c r="ALO8" s="445"/>
      <c r="ALP8" s="445"/>
      <c r="ALQ8" s="445"/>
      <c r="ALR8" s="445"/>
      <c r="ALS8" s="445"/>
      <c r="ALT8" s="445"/>
      <c r="ALU8" s="445"/>
      <c r="ALV8" s="445"/>
      <c r="ALW8" s="445"/>
      <c r="ALX8" s="445"/>
      <c r="ALY8" s="445"/>
      <c r="ALZ8" s="445"/>
    </row>
    <row r="9" spans="1:1014" ht="15" customHeight="1">
      <c r="A9" s="425">
        <v>1</v>
      </c>
      <c r="B9" s="322" t="s">
        <v>2204</v>
      </c>
      <c r="C9" s="322"/>
      <c r="D9" s="322"/>
      <c r="E9" s="415"/>
      <c r="F9" s="415"/>
      <c r="G9" s="415"/>
      <c r="H9" s="436" t="s">
        <v>2205</v>
      </c>
      <c r="I9" s="416"/>
      <c r="J9" s="418"/>
      <c r="K9" s="317" t="s">
        <v>2206</v>
      </c>
      <c r="L9" s="418"/>
      <c r="M9" s="418"/>
      <c r="N9" s="418"/>
      <c r="O9" s="418"/>
      <c r="P9" s="418"/>
      <c r="Q9" s="417" t="s">
        <v>820</v>
      </c>
      <c r="R9" s="342" t="s">
        <v>864</v>
      </c>
      <c r="S9" s="342" t="s">
        <v>2206</v>
      </c>
      <c r="T9" s="418"/>
      <c r="U9" s="418"/>
      <c r="V9" s="418" t="s">
        <v>864</v>
      </c>
      <c r="W9" s="418" t="s">
        <v>864</v>
      </c>
    </row>
    <row r="10" spans="1:1014" ht="15" customHeight="1">
      <c r="A10" s="425">
        <v>2</v>
      </c>
      <c r="B10" s="322"/>
      <c r="C10" s="322" t="s">
        <v>2207</v>
      </c>
      <c r="D10" s="322"/>
      <c r="E10" s="415"/>
      <c r="F10" s="415"/>
      <c r="G10" s="415"/>
      <c r="H10" s="448" t="s">
        <v>2208</v>
      </c>
      <c r="I10" s="420">
        <v>101</v>
      </c>
      <c r="J10" s="424"/>
      <c r="K10" s="421" t="s">
        <v>2209</v>
      </c>
      <c r="L10" s="422"/>
      <c r="M10" s="422"/>
      <c r="N10" s="422"/>
      <c r="O10" s="422"/>
      <c r="P10" s="422"/>
      <c r="Q10" s="417" t="s">
        <v>820</v>
      </c>
      <c r="R10" s="345"/>
      <c r="S10" s="345" t="s">
        <v>1073</v>
      </c>
      <c r="T10" s="422"/>
      <c r="U10" s="422"/>
      <c r="V10" s="422" t="s">
        <v>864</v>
      </c>
      <c r="W10" s="422" t="s">
        <v>864</v>
      </c>
    </row>
    <row r="11" spans="1:1014" ht="15" customHeight="1">
      <c r="A11" s="425">
        <v>3</v>
      </c>
      <c r="B11" s="322"/>
      <c r="C11" s="322" t="s">
        <v>2210</v>
      </c>
      <c r="D11" s="322"/>
      <c r="E11" s="415"/>
      <c r="F11" s="415"/>
      <c r="G11" s="415"/>
      <c r="H11" s="447" t="s">
        <v>2211</v>
      </c>
      <c r="I11" s="423" t="s">
        <v>2212</v>
      </c>
      <c r="J11" s="418"/>
      <c r="K11" s="317" t="s">
        <v>2213</v>
      </c>
      <c r="L11" s="418"/>
      <c r="M11" s="418"/>
      <c r="N11" s="418"/>
      <c r="O11" s="418"/>
      <c r="P11" s="418"/>
      <c r="Q11" s="417" t="s">
        <v>820</v>
      </c>
      <c r="R11" s="342"/>
      <c r="S11" s="342" t="s">
        <v>863</v>
      </c>
      <c r="T11" s="418"/>
      <c r="U11" s="418"/>
      <c r="V11" s="418" t="s">
        <v>864</v>
      </c>
      <c r="W11" s="418" t="s">
        <v>864</v>
      </c>
    </row>
    <row r="12" spans="1:1014" ht="15" customHeight="1">
      <c r="A12" s="425">
        <v>4</v>
      </c>
      <c r="B12" s="322" t="s">
        <v>2214</v>
      </c>
      <c r="C12" s="322"/>
      <c r="D12" s="322"/>
      <c r="E12" s="415"/>
      <c r="F12" s="415"/>
      <c r="G12" s="415"/>
      <c r="H12" s="449" t="s">
        <v>2215</v>
      </c>
      <c r="I12" s="420" t="s">
        <v>2216</v>
      </c>
      <c r="J12" s="424"/>
      <c r="K12" s="421" t="s">
        <v>2217</v>
      </c>
      <c r="L12" s="422"/>
      <c r="M12" s="422"/>
      <c r="N12" s="422"/>
      <c r="O12" s="422"/>
      <c r="P12" s="422"/>
      <c r="Q12" s="417" t="s">
        <v>820</v>
      </c>
      <c r="R12" s="345"/>
      <c r="S12" s="345" t="s">
        <v>863</v>
      </c>
      <c r="T12" s="422"/>
      <c r="U12" s="422"/>
      <c r="V12" s="422" t="s">
        <v>864</v>
      </c>
      <c r="W12" s="422" t="s">
        <v>864</v>
      </c>
    </row>
    <row r="13" spans="1:1014" ht="15" customHeight="1">
      <c r="A13" s="430">
        <v>5</v>
      </c>
      <c r="B13" s="431" t="s">
        <v>2218</v>
      </c>
      <c r="C13" s="431"/>
      <c r="D13" s="431"/>
      <c r="E13" s="432"/>
      <c r="F13" s="432"/>
      <c r="G13" s="432"/>
      <c r="H13" s="450" t="s">
        <v>2219</v>
      </c>
      <c r="I13" s="433"/>
      <c r="J13" s="434"/>
      <c r="K13" s="433" t="s">
        <v>2220</v>
      </c>
      <c r="L13" s="434"/>
      <c r="M13" s="434"/>
      <c r="N13" s="434"/>
      <c r="O13" s="434"/>
      <c r="P13" s="434"/>
      <c r="Q13" s="435" t="s">
        <v>817</v>
      </c>
      <c r="R13" s="525" t="s">
        <v>864</v>
      </c>
      <c r="S13" s="526" t="s">
        <v>2220</v>
      </c>
      <c r="T13" s="434"/>
      <c r="U13" s="434"/>
      <c r="V13" s="434" t="s">
        <v>864</v>
      </c>
      <c r="W13" s="434" t="s">
        <v>864</v>
      </c>
    </row>
    <row r="14" spans="1:1014" ht="15" customHeight="1" thickBot="1">
      <c r="A14" s="484">
        <v>6</v>
      </c>
      <c r="B14" s="485" t="s">
        <v>2221</v>
      </c>
      <c r="C14" s="485"/>
      <c r="D14" s="485"/>
      <c r="E14" s="486"/>
      <c r="F14" s="486"/>
      <c r="G14" s="486"/>
      <c r="H14" s="487" t="s">
        <v>2222</v>
      </c>
      <c r="I14" s="488"/>
      <c r="J14" s="489"/>
      <c r="K14" s="477" t="s">
        <v>2223</v>
      </c>
      <c r="L14" s="489"/>
      <c r="M14" s="489"/>
      <c r="N14" s="489"/>
      <c r="O14" s="489"/>
      <c r="P14" s="489"/>
      <c r="Q14" s="490" t="s">
        <v>820</v>
      </c>
      <c r="R14" s="527"/>
      <c r="S14" s="527" t="s">
        <v>863</v>
      </c>
      <c r="T14" s="489"/>
      <c r="U14" s="489"/>
      <c r="V14" s="489" t="s">
        <v>864</v>
      </c>
      <c r="W14" s="489" t="s">
        <v>864</v>
      </c>
    </row>
    <row r="15" spans="1:1014" s="456" customFormat="1" ht="15.75" thickTop="1">
      <c r="A15" s="483">
        <f>SUBTOTAL(103,Tableau9[ID])</f>
        <v>6</v>
      </c>
      <c r="B15" s="483">
        <f>SUBTOTAL(103,Tableau9[Donnée (Niveau 1)])</f>
        <v>4</v>
      </c>
      <c r="C15" s="483">
        <f>SUBTOTAL(103,Tableau9[Donnée (Niveau 2)])</f>
        <v>2</v>
      </c>
      <c r="D15" s="483">
        <f>SUBTOTAL(103,Tableau9[Donnée (Niveau 3)])</f>
        <v>0</v>
      </c>
      <c r="E15" s="483">
        <f>SUBTOTAL(103,Tableau9[Donnée (Niveau 4)])</f>
        <v>0</v>
      </c>
      <c r="F15" s="483">
        <f>SUBTOTAL(103,Tableau9[Donnée (Niveau 5)])</f>
        <v>0</v>
      </c>
      <c r="G15" s="483">
        <f>SUBTOTAL(103,Tableau9[Donnée (Niveau 6)])</f>
        <v>0</v>
      </c>
      <c r="H15" s="483">
        <f>SUBTOTAL(103,Tableau9[Description])</f>
        <v>6</v>
      </c>
      <c r="I15" s="483">
        <f>SUBTOTAL(103,Tableau9[Exemples])</f>
        <v>3</v>
      </c>
      <c r="J15" s="483">
        <f>SUBTOTAL(103,Tableau9[Balise NexSIS])</f>
        <v>0</v>
      </c>
      <c r="K15" s="483">
        <f>SUBTOTAL(103,Tableau9[Nouvelle balise])</f>
        <v>6</v>
      </c>
      <c r="L15" s="483">
        <f>SUBTOTAL(103,Tableau9[Nantes - balise])</f>
        <v>0</v>
      </c>
      <c r="M15" s="483">
        <f>SUBTOTAL(103,Tableau9[Nantes - description])</f>
        <v>0</v>
      </c>
      <c r="N15" s="483">
        <f>SUBTOTAL(103,Tableau9[GT399])</f>
        <v>0</v>
      </c>
      <c r="O15" s="483">
        <f>SUBTOTAL(103,Tableau9[GT399 description])</f>
        <v>0</v>
      </c>
      <c r="P15" s="483">
        <f>SUBTOTAL(103,Tableau9[Priorisation])</f>
        <v>0</v>
      </c>
      <c r="Q15" s="483">
        <f>SUBTOTAL(103,Tableau9[Cardinalité])</f>
        <v>6</v>
      </c>
      <c r="R15" s="483">
        <f>SUBTOTAL(103,Tableau9[Objet])</f>
        <v>2</v>
      </c>
      <c r="S15" s="483">
        <f>SUBTOTAL(103,Tableau9[Format (ou type)])</f>
        <v>6</v>
      </c>
      <c r="T15" s="483">
        <f>SUBTOTAL(103,Tableau9[Nomenclature/ énumération])</f>
        <v>0</v>
      </c>
      <c r="U15" s="483">
        <f>SUBTOTAL(103,Tableau9[Détails de format])</f>
        <v>0</v>
      </c>
      <c r="V15" s="483">
        <f>SUBTOTAL(103,Tableau9[15-18])</f>
        <v>6</v>
      </c>
      <c r="W15" s="483">
        <f>SUBTOTAL(103,Tableau9[15-15])</f>
        <v>6</v>
      </c>
    </row>
    <row r="16" spans="1:1014">
      <c r="E16" s="57"/>
      <c r="AF16" s="452"/>
      <c r="AG16" s="453"/>
      <c r="AH16" s="453"/>
      <c r="AI16" s="454"/>
    </row>
    <row r="17" spans="3:8">
      <c r="E17" s="57"/>
    </row>
    <row r="18" spans="3:8">
      <c r="E18" s="57"/>
    </row>
    <row r="19" spans="3:8">
      <c r="C19" s="455"/>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2224</v>
      </c>
      <c r="B1" s="128"/>
      <c r="C1" s="129" t="s">
        <v>813</v>
      </c>
      <c r="D1" s="128"/>
      <c r="E1" s="294" t="s">
        <v>814</v>
      </c>
      <c r="F1" s="128"/>
      <c r="G1" s="128"/>
      <c r="H1" s="555" t="s">
        <v>1593</v>
      </c>
      <c r="I1" s="555"/>
      <c r="J1" s="96"/>
      <c r="K1" s="96"/>
      <c r="L1" s="96"/>
      <c r="M1" s="96"/>
      <c r="N1" s="96"/>
      <c r="O1" s="561" t="s">
        <v>816</v>
      </c>
      <c r="P1" s="561"/>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55"/>
      <c r="I2" s="555"/>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1593</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1593</v>
      </c>
      <c r="E5" s="408" t="s">
        <v>912</v>
      </c>
      <c r="F5" s="146" t="s">
        <v>1593</v>
      </c>
      <c r="G5" s="148"/>
      <c r="H5" s="148"/>
      <c r="I5" s="409"/>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1593</v>
      </c>
      <c r="E6" s="128"/>
      <c r="F6" s="138" t="s">
        <v>1593</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1593</v>
      </c>
      <c r="D7" s="410" t="s">
        <v>1593</v>
      </c>
      <c r="E7" s="304" t="s">
        <v>1593</v>
      </c>
      <c r="F7" s="304" t="s">
        <v>1593</v>
      </c>
      <c r="G7" s="96"/>
      <c r="H7" s="96"/>
      <c r="I7" s="5"/>
      <c r="J7" s="96"/>
      <c r="K7" s="96"/>
      <c r="L7" s="556" t="s">
        <v>828</v>
      </c>
      <c r="M7" s="556"/>
      <c r="N7" s="556"/>
      <c r="O7" s="556"/>
      <c r="P7" s="96"/>
      <c r="Q7" s="96"/>
      <c r="R7" s="96"/>
      <c r="S7" s="96"/>
      <c r="T7" s="96"/>
      <c r="V7" s="411" t="s">
        <v>829</v>
      </c>
      <c r="W7" s="411"/>
      <c r="Y7" s="96"/>
      <c r="Z7" s="96"/>
      <c r="AA7" s="96"/>
      <c r="AB7" s="96"/>
      <c r="AC7" s="556" t="s">
        <v>830</v>
      </c>
      <c r="AD7" s="55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6" customFormat="1" ht="27.75" customHeight="1">
      <c r="A8" s="306" t="s">
        <v>831</v>
      </c>
      <c r="B8" s="412" t="s">
        <v>832</v>
      </c>
      <c r="C8" s="412" t="s">
        <v>833</v>
      </c>
      <c r="D8" s="412" t="s">
        <v>834</v>
      </c>
      <c r="E8" s="412" t="s">
        <v>835</v>
      </c>
      <c r="F8" s="412" t="s">
        <v>836</v>
      </c>
      <c r="G8" s="412" t="s">
        <v>837</v>
      </c>
      <c r="H8" s="310" t="s">
        <v>9</v>
      </c>
      <c r="I8" s="310" t="s">
        <v>838</v>
      </c>
      <c r="J8" s="310" t="s">
        <v>841</v>
      </c>
      <c r="K8" s="310" t="s">
        <v>842</v>
      </c>
      <c r="L8" s="437" t="s">
        <v>843</v>
      </c>
      <c r="M8" s="437" t="s">
        <v>844</v>
      </c>
      <c r="N8" s="437" t="s">
        <v>845</v>
      </c>
      <c r="O8" s="437" t="s">
        <v>846</v>
      </c>
      <c r="P8" s="437" t="s">
        <v>847</v>
      </c>
      <c r="Q8" s="310" t="s">
        <v>677</v>
      </c>
      <c r="R8" s="310" t="s">
        <v>3</v>
      </c>
      <c r="S8" s="310" t="s">
        <v>2203</v>
      </c>
      <c r="T8" s="310" t="s">
        <v>914</v>
      </c>
      <c r="U8" s="310" t="s">
        <v>849</v>
      </c>
      <c r="V8" s="311" t="s">
        <v>850</v>
      </c>
      <c r="W8" s="413"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5"/>
      <c r="ALO8" s="445"/>
      <c r="ALP8" s="445"/>
      <c r="ALQ8" s="445"/>
      <c r="ALR8" s="445"/>
      <c r="ALS8" s="445"/>
      <c r="ALT8" s="445"/>
      <c r="ALU8" s="445"/>
      <c r="ALV8" s="445"/>
      <c r="ALW8" s="445"/>
      <c r="ALX8" s="445"/>
      <c r="ALY8" s="445"/>
      <c r="ALZ8" s="445"/>
    </row>
    <row r="9" spans="1:1014" ht="29.25" customHeight="1">
      <c r="A9" s="414">
        <v>1</v>
      </c>
      <c r="B9" s="322" t="s">
        <v>2225</v>
      </c>
      <c r="C9" s="322"/>
      <c r="D9" s="322"/>
      <c r="E9" s="415"/>
      <c r="F9" s="415"/>
      <c r="G9" s="415"/>
      <c r="H9" s="436" t="s">
        <v>2226</v>
      </c>
      <c r="I9" s="399"/>
      <c r="J9" s="418"/>
      <c r="K9" s="317" t="s">
        <v>2224</v>
      </c>
      <c r="L9" s="317"/>
      <c r="M9" s="317"/>
      <c r="N9" s="317"/>
      <c r="O9" s="317"/>
      <c r="P9" s="317"/>
      <c r="Q9" s="417" t="s">
        <v>820</v>
      </c>
      <c r="R9" s="342"/>
      <c r="S9" s="342" t="s">
        <v>863</v>
      </c>
      <c r="T9" s="418"/>
      <c r="U9" s="418"/>
      <c r="V9" s="418" t="s">
        <v>864</v>
      </c>
      <c r="W9" s="419"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1775</v>
      </c>
      <c r="B1" s="272"/>
      <c r="C1" s="129" t="s">
        <v>813</v>
      </c>
      <c r="D1" s="128"/>
      <c r="E1" s="294" t="s">
        <v>814</v>
      </c>
      <c r="F1" s="128"/>
      <c r="G1" s="128"/>
      <c r="H1" s="555" t="s">
        <v>1593</v>
      </c>
      <c r="I1" s="555"/>
      <c r="J1" s="295"/>
      <c r="K1" s="96"/>
      <c r="L1" s="96"/>
      <c r="M1" s="96"/>
      <c r="N1" s="96"/>
      <c r="O1" s="561" t="s">
        <v>816</v>
      </c>
      <c r="P1" s="561"/>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t="s">
        <v>303</v>
      </c>
      <c r="B2" s="128"/>
      <c r="C2" s="296" t="s">
        <v>818</v>
      </c>
      <c r="D2" s="128"/>
      <c r="E2" s="297" t="s">
        <v>819</v>
      </c>
      <c r="F2" s="128"/>
      <c r="G2" s="128"/>
      <c r="H2" s="555"/>
      <c r="I2" s="555"/>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1593</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1593</v>
      </c>
      <c r="E5" s="408" t="s">
        <v>912</v>
      </c>
      <c r="F5" s="146" t="s">
        <v>1593</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1593</v>
      </c>
      <c r="E6" s="128"/>
      <c r="F6" s="138" t="s">
        <v>1593</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1593</v>
      </c>
      <c r="D7" s="410" t="s">
        <v>1593</v>
      </c>
      <c r="E7" s="304" t="s">
        <v>1593</v>
      </c>
      <c r="F7" s="304" t="s">
        <v>1593</v>
      </c>
      <c r="G7" s="96"/>
      <c r="H7" s="96"/>
      <c r="I7" s="5"/>
      <c r="J7" s="5"/>
      <c r="K7" s="96"/>
      <c r="L7" s="556" t="s">
        <v>828</v>
      </c>
      <c r="M7" s="556"/>
      <c r="N7" s="556"/>
      <c r="O7" s="556"/>
      <c r="P7" s="96"/>
      <c r="Q7" s="96"/>
      <c r="R7" s="96"/>
      <c r="S7" s="96"/>
      <c r="T7" s="96"/>
      <c r="U7" s="96"/>
      <c r="V7" s="562" t="s">
        <v>829</v>
      </c>
      <c r="W7" s="562"/>
      <c r="Y7" s="96"/>
      <c r="Z7" s="96"/>
      <c r="AA7" s="96"/>
      <c r="AB7" s="96"/>
      <c r="AC7" s="556" t="s">
        <v>830</v>
      </c>
      <c r="AD7" s="55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6" customFormat="1" ht="27.75" customHeight="1">
      <c r="A8" s="426" t="s">
        <v>831</v>
      </c>
      <c r="B8" s="427" t="s">
        <v>832</v>
      </c>
      <c r="C8" s="427" t="s">
        <v>833</v>
      </c>
      <c r="D8" s="427" t="s">
        <v>834</v>
      </c>
      <c r="E8" s="427" t="s">
        <v>835</v>
      </c>
      <c r="F8" s="427" t="s">
        <v>836</v>
      </c>
      <c r="G8" s="427" t="s">
        <v>837</v>
      </c>
      <c r="H8" s="428" t="s">
        <v>9</v>
      </c>
      <c r="I8" s="428" t="s">
        <v>838</v>
      </c>
      <c r="J8" s="428" t="s">
        <v>841</v>
      </c>
      <c r="K8" s="428" t="s">
        <v>842</v>
      </c>
      <c r="L8" s="437" t="s">
        <v>843</v>
      </c>
      <c r="M8" s="437" t="s">
        <v>844</v>
      </c>
      <c r="N8" s="437" t="s">
        <v>845</v>
      </c>
      <c r="O8" s="437" t="s">
        <v>846</v>
      </c>
      <c r="P8" s="437" t="s">
        <v>847</v>
      </c>
      <c r="Q8" s="428" t="s">
        <v>677</v>
      </c>
      <c r="R8" s="428" t="s">
        <v>3</v>
      </c>
      <c r="S8" s="428" t="s">
        <v>2203</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5"/>
      <c r="ALU8" s="445"/>
      <c r="ALV8" s="445"/>
      <c r="ALW8" s="445"/>
      <c r="ALX8" s="445"/>
      <c r="ALY8" s="445"/>
      <c r="ALZ8" s="445"/>
      <c r="AMA8" s="445"/>
      <c r="AMB8" s="445"/>
      <c r="AMC8" s="445"/>
      <c r="AMD8" s="445"/>
      <c r="AME8" s="445"/>
      <c r="AMF8" s="445"/>
    </row>
    <row r="9" spans="1:1020" ht="15" customHeight="1">
      <c r="A9" s="425">
        <v>1</v>
      </c>
      <c r="B9" s="322" t="s">
        <v>2227</v>
      </c>
      <c r="C9" s="451"/>
      <c r="D9" s="322"/>
      <c r="E9" s="415"/>
      <c r="F9" s="415"/>
      <c r="G9" s="415"/>
      <c r="H9" s="317" t="s">
        <v>2228</v>
      </c>
      <c r="I9" s="417"/>
      <c r="J9" s="399"/>
      <c r="K9" s="317" t="s">
        <v>2229</v>
      </c>
      <c r="L9" s="317"/>
      <c r="M9" s="317"/>
      <c r="N9" s="317"/>
      <c r="O9" s="317"/>
      <c r="P9" s="317"/>
      <c r="Q9" s="417" t="s">
        <v>820</v>
      </c>
      <c r="R9" s="342"/>
      <c r="S9" s="342" t="s">
        <v>863</v>
      </c>
      <c r="T9" s="418"/>
      <c r="U9" s="418"/>
      <c r="V9" s="418" t="s">
        <v>864</v>
      </c>
      <c r="W9" s="418" t="s">
        <v>864</v>
      </c>
    </row>
    <row r="10" spans="1:1020" ht="15" customHeight="1">
      <c r="A10" s="415">
        <v>2</v>
      </c>
      <c r="B10" s="322" t="s">
        <v>2230</v>
      </c>
      <c r="C10" s="451"/>
      <c r="D10" s="322"/>
      <c r="E10" s="415"/>
      <c r="F10" s="415"/>
      <c r="G10" s="415"/>
      <c r="H10" s="317" t="s">
        <v>2231</v>
      </c>
      <c r="I10" s="417"/>
      <c r="J10" s="399"/>
      <c r="K10" s="317" t="s">
        <v>2232</v>
      </c>
      <c r="L10" s="317"/>
      <c r="M10" s="317"/>
      <c r="N10" s="317"/>
      <c r="O10" s="317"/>
      <c r="P10" s="317"/>
      <c r="Q10" s="333" t="s">
        <v>817</v>
      </c>
      <c r="R10" s="345"/>
      <c r="S10" s="345" t="s">
        <v>2090</v>
      </c>
      <c r="T10" s="422"/>
      <c r="U10" s="422"/>
      <c r="V10" s="422" t="s">
        <v>864</v>
      </c>
      <c r="W10" s="422" t="s">
        <v>864</v>
      </c>
    </row>
    <row r="11" spans="1:1020" ht="30">
      <c r="A11" s="415">
        <v>3</v>
      </c>
      <c r="B11" s="322" t="s">
        <v>2233</v>
      </c>
      <c r="C11" s="339"/>
      <c r="D11" s="322"/>
      <c r="E11" s="415"/>
      <c r="F11" s="415"/>
      <c r="G11" s="415"/>
      <c r="H11" s="317" t="s">
        <v>2234</v>
      </c>
      <c r="I11" s="417"/>
      <c r="J11" s="399"/>
      <c r="K11" s="317" t="s">
        <v>2235</v>
      </c>
      <c r="L11" s="317"/>
      <c r="M11" s="317"/>
      <c r="N11" s="317"/>
      <c r="O11" s="317"/>
      <c r="P11" s="317"/>
      <c r="Q11" s="333" t="s">
        <v>817</v>
      </c>
      <c r="R11" s="342"/>
      <c r="S11" s="342" t="s">
        <v>863</v>
      </c>
      <c r="T11" s="418"/>
      <c r="U11" s="418"/>
      <c r="V11" s="418" t="s">
        <v>864</v>
      </c>
      <c r="W11" s="418"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537"/>
      <c r="L1" s="537"/>
      <c r="M1" s="537"/>
      <c r="N1" s="537"/>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2236</v>
      </c>
      <c r="B1" s="272"/>
      <c r="C1" s="129" t="s">
        <v>813</v>
      </c>
      <c r="D1" s="128"/>
      <c r="E1" s="294" t="s">
        <v>814</v>
      </c>
      <c r="F1" s="128"/>
      <c r="G1" s="128"/>
      <c r="H1" s="555" t="s">
        <v>1593</v>
      </c>
      <c r="I1" s="555"/>
      <c r="J1" s="295"/>
      <c r="K1" s="96"/>
      <c r="L1" s="96"/>
      <c r="M1" s="96"/>
      <c r="N1" s="96"/>
      <c r="O1" s="561" t="s">
        <v>816</v>
      </c>
      <c r="P1" s="561"/>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55"/>
      <c r="I2" s="555"/>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1593</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1593</v>
      </c>
      <c r="E5" s="408" t="s">
        <v>912</v>
      </c>
      <c r="F5" s="146" t="s">
        <v>1593</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1593</v>
      </c>
      <c r="E6" s="128"/>
      <c r="F6" s="138" t="s">
        <v>1593</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1593</v>
      </c>
      <c r="D7" s="410" t="s">
        <v>1593</v>
      </c>
      <c r="E7" s="304" t="s">
        <v>1593</v>
      </c>
      <c r="F7" s="304" t="s">
        <v>1593</v>
      </c>
      <c r="G7" s="96"/>
      <c r="H7" s="96"/>
      <c r="I7" s="5"/>
      <c r="J7" s="5"/>
      <c r="K7" s="96"/>
      <c r="L7" s="556" t="s">
        <v>828</v>
      </c>
      <c r="M7" s="556"/>
      <c r="N7" s="556"/>
      <c r="O7" s="556"/>
      <c r="P7" s="96"/>
      <c r="Q7" s="96"/>
      <c r="R7" s="96"/>
      <c r="S7" s="96"/>
      <c r="T7" s="96"/>
      <c r="U7" s="96"/>
      <c r="V7" s="411" t="s">
        <v>829</v>
      </c>
      <c r="W7" s="411"/>
      <c r="Y7" s="96"/>
      <c r="Z7" s="96"/>
      <c r="AA7" s="96"/>
      <c r="AB7" s="96"/>
      <c r="AC7" s="556" t="s">
        <v>830</v>
      </c>
      <c r="AD7" s="55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6" customFormat="1" ht="27.75" customHeight="1">
      <c r="A8" s="458" t="s">
        <v>831</v>
      </c>
      <c r="B8" s="459" t="s">
        <v>832</v>
      </c>
      <c r="C8" s="459" t="s">
        <v>833</v>
      </c>
      <c r="D8" s="459" t="s">
        <v>834</v>
      </c>
      <c r="E8" s="459" t="s">
        <v>835</v>
      </c>
      <c r="F8" s="459" t="s">
        <v>836</v>
      </c>
      <c r="G8" s="459" t="s">
        <v>837</v>
      </c>
      <c r="H8" s="460" t="s">
        <v>9</v>
      </c>
      <c r="I8" s="460" t="s">
        <v>838</v>
      </c>
      <c r="J8" s="460" t="s">
        <v>841</v>
      </c>
      <c r="K8" s="460" t="s">
        <v>842</v>
      </c>
      <c r="L8" s="461" t="s">
        <v>843</v>
      </c>
      <c r="M8" s="461" t="s">
        <v>844</v>
      </c>
      <c r="N8" s="461" t="s">
        <v>845</v>
      </c>
      <c r="O8" s="461" t="s">
        <v>846</v>
      </c>
      <c r="P8" s="461" t="s">
        <v>847</v>
      </c>
      <c r="Q8" s="460" t="s">
        <v>677</v>
      </c>
      <c r="R8" s="462" t="s">
        <v>3</v>
      </c>
      <c r="S8" s="428" t="s">
        <v>2203</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5"/>
      <c r="ALP8" s="445"/>
      <c r="ALQ8" s="445"/>
      <c r="ALR8" s="445"/>
      <c r="ALS8" s="445"/>
      <c r="ALT8" s="445"/>
      <c r="ALU8" s="445"/>
      <c r="ALV8" s="445"/>
      <c r="ALW8" s="445"/>
      <c r="ALX8" s="445"/>
      <c r="ALY8" s="445"/>
      <c r="ALZ8" s="445"/>
      <c r="AMA8" s="445"/>
    </row>
    <row r="9" spans="1:1015">
      <c r="A9" s="463">
        <v>0</v>
      </c>
      <c r="B9" s="463">
        <v>0</v>
      </c>
      <c r="C9" s="463">
        <v>0</v>
      </c>
      <c r="D9" s="463">
        <v>0</v>
      </c>
      <c r="E9" s="463">
        <v>0</v>
      </c>
      <c r="F9" s="463">
        <v>0</v>
      </c>
      <c r="G9" s="463">
        <v>0</v>
      </c>
      <c r="H9" s="463">
        <v>0</v>
      </c>
      <c r="I9" s="463">
        <v>0</v>
      </c>
      <c r="J9" s="463">
        <v>0</v>
      </c>
      <c r="K9" s="463">
        <v>0</v>
      </c>
      <c r="L9" s="463">
        <v>0</v>
      </c>
      <c r="M9" s="463">
        <v>0</v>
      </c>
      <c r="N9" s="463">
        <v>0</v>
      </c>
      <c r="O9" s="463">
        <v>0</v>
      </c>
      <c r="P9" s="463">
        <v>0</v>
      </c>
      <c r="Q9" s="463">
        <v>0</v>
      </c>
      <c r="R9" s="463">
        <v>0</v>
      </c>
      <c r="S9" s="463">
        <v>0</v>
      </c>
      <c r="T9" s="463">
        <v>0</v>
      </c>
      <c r="U9" s="463">
        <v>0</v>
      </c>
      <c r="V9" s="463">
        <v>0</v>
      </c>
      <c r="W9" s="463">
        <v>0</v>
      </c>
    </row>
  </sheetData>
  <mergeCells count="4">
    <mergeCell ref="O1:P1"/>
    <mergeCell ref="L7:O7"/>
    <mergeCell ref="AC7:AD7"/>
    <mergeCell ref="H1:I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65" t="s">
        <v>303</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2237</v>
      </c>
    </row>
    <row r="2" spans="2:6" s="4" customFormat="1"/>
    <row r="3" spans="2:6" s="134" customFormat="1">
      <c r="B3" s="133" t="s">
        <v>2238</v>
      </c>
      <c r="C3" s="135"/>
      <c r="D3" s="135"/>
      <c r="E3" s="135"/>
      <c r="F3" s="135"/>
    </row>
    <row r="4" spans="2:6" ht="18" customHeight="1">
      <c r="B4" s="131" t="s">
        <v>2239</v>
      </c>
    </row>
    <row r="5" spans="2:6" ht="18" customHeight="1">
      <c r="B5" s="131" t="s">
        <v>2240</v>
      </c>
    </row>
    <row r="6" spans="2:6" ht="18" customHeight="1">
      <c r="B6" s="131" t="s">
        <v>2241</v>
      </c>
    </row>
    <row r="7" spans="2:6" ht="18" customHeight="1">
      <c r="B7" s="131" t="s">
        <v>2242</v>
      </c>
    </row>
    <row r="8" spans="2:6" ht="18" customHeight="1">
      <c r="B8" s="131" t="s">
        <v>2243</v>
      </c>
    </row>
    <row r="9" spans="2:6" ht="24" customHeight="1">
      <c r="B9" s="569" t="s">
        <v>2244</v>
      </c>
      <c r="C9" s="569"/>
      <c r="D9" s="569"/>
      <c r="E9" s="569"/>
      <c r="F9" s="569"/>
    </row>
    <row r="10" spans="2:6" ht="14.25" customHeight="1">
      <c r="B10" s="570" t="s">
        <v>2245</v>
      </c>
      <c r="C10" s="570"/>
      <c r="D10" s="570"/>
      <c r="E10" s="570"/>
      <c r="F10" s="570"/>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537"/>
      <c r="L1" s="537"/>
      <c r="M1" s="537"/>
      <c r="N1" s="537"/>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537"/>
      <c r="L1" s="537"/>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538" t="s">
        <v>726</v>
      </c>
      <c r="C2" s="539"/>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543" t="s">
        <v>742</v>
      </c>
      <c r="B1" s="544"/>
      <c r="C1" s="544"/>
      <c r="D1" s="544"/>
      <c r="E1" s="544"/>
      <c r="F1" s="544"/>
      <c r="G1" s="544"/>
      <c r="H1" s="545"/>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541" t="s">
        <v>753</v>
      </c>
      <c r="G12" s="541"/>
      <c r="H12" s="541"/>
      <c r="I12" s="203"/>
      <c r="J12" s="203"/>
      <c r="R12" s="196"/>
      <c r="S12" s="196"/>
      <c r="T12" s="196"/>
    </row>
    <row r="13" spans="1:20" ht="14.25" customHeight="1">
      <c r="B13" s="204" t="s">
        <v>754</v>
      </c>
      <c r="C13" s="204"/>
      <c r="D13" s="204"/>
      <c r="E13" s="204"/>
      <c r="F13" s="541" t="s">
        <v>755</v>
      </c>
      <c r="G13" s="541"/>
      <c r="H13" s="541"/>
      <c r="I13" s="204"/>
      <c r="J13" s="204"/>
      <c r="K13" s="204"/>
      <c r="L13" s="204"/>
      <c r="M13" s="204"/>
      <c r="N13" s="204"/>
      <c r="R13" s="196"/>
      <c r="S13" s="196"/>
      <c r="T13" s="196"/>
    </row>
    <row r="14" spans="1:20" ht="14.25" customHeight="1">
      <c r="B14" s="204" t="s">
        <v>756</v>
      </c>
      <c r="C14" s="204"/>
      <c r="D14" s="204"/>
      <c r="E14" s="204"/>
      <c r="F14" s="541" t="s">
        <v>755</v>
      </c>
      <c r="G14" s="541"/>
      <c r="H14" s="541"/>
      <c r="I14" s="204"/>
      <c r="J14" s="204"/>
      <c r="R14" s="196"/>
      <c r="S14" s="196"/>
      <c r="T14" s="196"/>
    </row>
    <row r="15" spans="1:20">
      <c r="B15" s="203" t="s">
        <v>757</v>
      </c>
      <c r="C15" s="203"/>
      <c r="D15" s="203"/>
      <c r="E15" s="203"/>
      <c r="F15" s="541" t="s">
        <v>755</v>
      </c>
      <c r="G15" s="541"/>
      <c r="H15" s="541"/>
      <c r="I15" s="203"/>
      <c r="J15" s="203"/>
      <c r="R15" s="196"/>
      <c r="S15" s="196"/>
      <c r="T15" s="196"/>
    </row>
    <row r="16" spans="1:20">
      <c r="B16" s="540"/>
      <c r="C16" s="540"/>
      <c r="D16" s="540"/>
      <c r="E16" s="540"/>
      <c r="F16" s="540"/>
      <c r="G16" s="540"/>
      <c r="H16" s="540"/>
      <c r="I16" s="540"/>
      <c r="J16" s="540"/>
      <c r="K16" s="540"/>
      <c r="L16" s="540"/>
      <c r="M16" s="540"/>
      <c r="N16" s="540"/>
      <c r="O16" s="540"/>
      <c r="P16" s="540"/>
      <c r="Q16" s="540"/>
    </row>
    <row r="17" spans="1:17" ht="15" thickBot="1">
      <c r="B17" s="540"/>
      <c r="C17" s="540"/>
      <c r="D17" s="540"/>
      <c r="E17" s="540"/>
      <c r="F17" s="540"/>
      <c r="G17" s="540"/>
      <c r="H17" s="540"/>
      <c r="I17" s="540"/>
      <c r="J17" s="540"/>
      <c r="K17" s="540"/>
      <c r="L17" s="540"/>
      <c r="M17" s="540"/>
      <c r="N17" s="540"/>
      <c r="O17" s="540"/>
      <c r="P17" s="540"/>
      <c r="Q17" s="540"/>
    </row>
    <row r="18" spans="1:17" ht="102.75" customHeight="1" thickBot="1">
      <c r="A18" s="546" t="s">
        <v>758</v>
      </c>
      <c r="B18" s="547"/>
      <c r="C18" s="547"/>
      <c r="D18" s="547"/>
      <c r="E18" s="547"/>
      <c r="F18" s="547"/>
      <c r="G18" s="547"/>
      <c r="H18" s="548"/>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540"/>
      <c r="C20" s="540"/>
      <c r="D20" s="540"/>
      <c r="E20" s="540"/>
      <c r="F20" s="540"/>
      <c r="G20" s="540"/>
      <c r="H20" s="540"/>
      <c r="I20" s="540"/>
      <c r="J20" s="540"/>
      <c r="K20" s="540"/>
      <c r="L20" s="540"/>
      <c r="M20" s="540"/>
      <c r="N20" s="540"/>
      <c r="O20" s="540"/>
      <c r="P20" s="540"/>
      <c r="Q20" s="540"/>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50" t="s">
        <v>791</v>
      </c>
      <c r="B30" s="549" t="s">
        <v>792</v>
      </c>
      <c r="C30" s="549" t="s">
        <v>774</v>
      </c>
      <c r="D30" s="549" t="s">
        <v>774</v>
      </c>
      <c r="E30" s="549" t="s">
        <v>770</v>
      </c>
      <c r="F30" s="206" t="s">
        <v>793</v>
      </c>
      <c r="G30" s="542" t="s">
        <v>794</v>
      </c>
      <c r="H30" s="206" t="s">
        <v>795</v>
      </c>
    </row>
    <row r="31" spans="1:17" ht="114.75">
      <c r="A31" s="550"/>
      <c r="B31" s="549"/>
      <c r="C31" s="549"/>
      <c r="D31" s="549"/>
      <c r="E31" s="549"/>
      <c r="F31" s="209" t="s">
        <v>796</v>
      </c>
      <c r="G31" s="542"/>
      <c r="H31" s="206"/>
    </row>
    <row r="32" spans="1:17" ht="85.5">
      <c r="A32" s="208" t="s">
        <v>797</v>
      </c>
      <c r="B32" s="207" t="s">
        <v>798</v>
      </c>
      <c r="C32" s="207" t="s">
        <v>774</v>
      </c>
      <c r="D32" s="207" t="s">
        <v>774</v>
      </c>
      <c r="E32" s="207" t="s">
        <v>770</v>
      </c>
      <c r="F32" s="209" t="s">
        <v>799</v>
      </c>
      <c r="G32" s="209" t="s">
        <v>783</v>
      </c>
      <c r="H32" s="206" t="s">
        <v>800</v>
      </c>
    </row>
    <row r="33" spans="1:8" ht="29.25">
      <c r="A33" s="550" t="s">
        <v>801</v>
      </c>
      <c r="B33" s="549" t="s">
        <v>802</v>
      </c>
      <c r="C33" s="549" t="s">
        <v>774</v>
      </c>
      <c r="D33" s="549" t="s">
        <v>774</v>
      </c>
      <c r="E33" s="549" t="s">
        <v>770</v>
      </c>
      <c r="F33" s="209" t="s">
        <v>803</v>
      </c>
      <c r="G33" s="542" t="s">
        <v>783</v>
      </c>
      <c r="H33" s="206" t="s">
        <v>804</v>
      </c>
    </row>
    <row r="34" spans="1:8" ht="228.75">
      <c r="A34" s="550"/>
      <c r="B34" s="549"/>
      <c r="C34" s="549"/>
      <c r="D34" s="549"/>
      <c r="E34" s="549"/>
      <c r="F34" s="209" t="s">
        <v>805</v>
      </c>
      <c r="G34" s="542"/>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I9"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51" t="s">
        <v>815</v>
      </c>
      <c r="J1" s="551"/>
      <c r="K1" s="551"/>
      <c r="L1" s="551"/>
      <c r="Q1" s="552" t="s">
        <v>816</v>
      </c>
      <c r="R1" s="552"/>
      <c r="S1" s="96" t="s">
        <v>817</v>
      </c>
      <c r="AC1" s="96"/>
      <c r="AE1" s="128"/>
      <c r="ALY1"/>
    </row>
    <row r="2" spans="1:1016" ht="15.95" customHeight="1">
      <c r="C2" s="141" t="s">
        <v>818</v>
      </c>
      <c r="D2" s="152" t="s">
        <v>819</v>
      </c>
      <c r="E2" s="157">
        <f>createCase8[[#Totals],[NexSIS]] / createCase8[[#Totals],[ID]]</f>
        <v>0.83333333333333337</v>
      </c>
      <c r="G2" s="128"/>
      <c r="H2" s="227"/>
      <c r="I2" s="551"/>
      <c r="J2" s="551"/>
      <c r="K2" s="551"/>
      <c r="L2" s="551"/>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53" t="s">
        <v>828</v>
      </c>
      <c r="O7" s="553"/>
      <c r="P7" s="553"/>
      <c r="Q7" s="553"/>
      <c r="W7" s="554" t="s">
        <v>829</v>
      </c>
      <c r="X7" s="554"/>
      <c r="AC7" s="553" t="s">
        <v>830</v>
      </c>
      <c r="AD7" s="553"/>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0" type="noConversion"/>
  <conditionalFormatting sqref="A22:F23 A43:F883">
    <cfRule type="expression" dxfId="387" priority="37">
      <formula>OR($AD22="X",$AB22="X")</formula>
    </cfRule>
    <cfRule type="expression" dxfId="386" priority="38">
      <formula>AND($AD22=1,$AB22=1)</formula>
    </cfRule>
    <cfRule type="expression" dxfId="385" priority="39">
      <formula>$AD22=1</formula>
    </cfRule>
    <cfRule type="expression" dxfId="384" priority="40">
      <formula>$AB22=1</formula>
    </cfRule>
  </conditionalFormatting>
  <conditionalFormatting sqref="A9:G20">
    <cfRule type="expression" dxfId="383" priority="641">
      <formula>OR(#REF!="X",$AD9="X")</formula>
    </cfRule>
    <cfRule type="expression" dxfId="382" priority="642">
      <formula>AND(#REF!=1,$AD9=1)</formula>
    </cfRule>
    <cfRule type="expression" dxfId="381" priority="643">
      <formula>#REF!=1</formula>
    </cfRule>
    <cfRule type="expression" dxfId="380" priority="644">
      <formula>$AD9=1</formula>
    </cfRule>
  </conditionalFormatting>
  <conditionalFormatting sqref="C9:C20">
    <cfRule type="expression" dxfId="379" priority="1">
      <formula>AND($T9="X",$B9&lt;&gt;"")</formula>
    </cfRule>
  </conditionalFormatting>
  <conditionalFormatting sqref="C17:C19">
    <cfRule type="expression" dxfId="378" priority="2">
      <formula>AND($T17="X",OR($B17&lt;&gt;"",$C17&lt;&gt;""))</formula>
    </cfRule>
  </conditionalFormatting>
  <conditionalFormatting sqref="D9:D20">
    <cfRule type="expression" dxfId="377" priority="11">
      <formula>AND($T9="X",OR($B9&lt;&gt;"",$C9&lt;&gt;""))</formula>
    </cfRule>
  </conditionalFormatting>
  <conditionalFormatting sqref="D18:D19">
    <cfRule type="expression" dxfId="376"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375" priority="12">
      <formula>AND($T9="X",OR($B9&lt;&gt;"",$C9&lt;&gt;"",$D9&lt;&gt;""))</formula>
    </cfRule>
  </conditionalFormatting>
  <conditionalFormatting sqref="F9:F20">
    <cfRule type="expression" dxfId="374" priority="13">
      <formula>AND($T9="X",OR($B9&lt;&gt;"",$C9&lt;&gt;"",$D9&lt;&gt;"",$E9&lt;&gt;""))</formula>
    </cfRule>
  </conditionalFormatting>
  <conditionalFormatting sqref="G9:G20">
    <cfRule type="expression" dxfId="373" priority="14">
      <formula>AND($T9="X",OR($B9&lt;&gt;"",$C9&lt;&gt;"",$D9&lt;&gt;"",$E9&lt;&gt;"",$F9&lt;&gt;""))</formula>
    </cfRule>
  </conditionalFormatting>
  <conditionalFormatting sqref="H22:H23 H43:H883">
    <cfRule type="expression" dxfId="372" priority="36">
      <formula>$S22="X"</formula>
    </cfRule>
  </conditionalFormatting>
  <conditionalFormatting sqref="I9:I20">
    <cfRule type="expression" dxfId="371" priority="16">
      <formula>$T9="X"</formula>
    </cfRule>
  </conditionalFormatting>
  <conditionalFormatting sqref="S9:S20">
    <cfRule type="cellIs" dxfId="370" priority="7" operator="equal">
      <formula>"1..1"</formula>
    </cfRule>
    <cfRule type="cellIs" dxfId="369" priority="8" operator="equal">
      <formula>"0..n"</formula>
    </cfRule>
    <cfRule type="cellIs" dxfId="368"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51" t="s">
        <v>911</v>
      </c>
      <c r="I1" s="551"/>
      <c r="J1" s="551"/>
      <c r="O1" s="552" t="s">
        <v>816</v>
      </c>
      <c r="P1" s="552"/>
      <c r="AC1" s="96"/>
      <c r="AE1"/>
      <c r="AF1" s="128"/>
      <c r="ALZ1"/>
    </row>
    <row r="2" spans="1:1017" ht="13.5" customHeight="1">
      <c r="C2" s="141" t="s">
        <v>818</v>
      </c>
      <c r="D2" s="285"/>
      <c r="E2" s="152" t="s">
        <v>819</v>
      </c>
      <c r="F2" s="157">
        <f>createCase3[[#Totals],[NexSIS]] / createCase3[[#Totals],[ID]]</f>
        <v>0.83333333333333337</v>
      </c>
      <c r="G2" s="128"/>
      <c r="H2" s="551"/>
      <c r="I2" s="551"/>
      <c r="J2" s="551"/>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53" t="s">
        <v>828</v>
      </c>
      <c r="M7" s="553"/>
      <c r="N7" s="553"/>
      <c r="O7" s="553"/>
      <c r="V7" s="554" t="s">
        <v>829</v>
      </c>
      <c r="W7" s="554"/>
      <c r="AC7" s="553" t="s">
        <v>830</v>
      </c>
      <c r="AD7" s="553"/>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512"/>
      <c r="E9" s="512"/>
      <c r="F9" s="512"/>
      <c r="G9" s="512"/>
      <c r="H9" s="504" t="s">
        <v>917</v>
      </c>
      <c r="I9" s="503" t="s">
        <v>918</v>
      </c>
      <c r="J9" s="504"/>
      <c r="K9" s="503" t="s">
        <v>919</v>
      </c>
      <c r="L9" s="504"/>
      <c r="M9" s="504"/>
      <c r="N9" s="504"/>
      <c r="O9" s="504"/>
      <c r="P9" s="505"/>
      <c r="Q9" s="504" t="s">
        <v>820</v>
      </c>
      <c r="R9" s="504"/>
      <c r="S9" s="504" t="s">
        <v>863</v>
      </c>
      <c r="T9" s="506"/>
      <c r="U9" s="504"/>
      <c r="V9" s="507" t="s">
        <v>864</v>
      </c>
      <c r="W9" s="507" t="s">
        <v>864</v>
      </c>
      <c r="X9" s="232"/>
      <c r="Y9" s="513"/>
      <c r="Z9" s="504" t="s">
        <v>920</v>
      </c>
      <c r="AA9" s="508" t="s">
        <v>921</v>
      </c>
      <c r="AB9" s="504"/>
      <c r="AC9" s="506">
        <v>1</v>
      </c>
      <c r="AD9" s="506"/>
    </row>
    <row r="10" spans="1:1017" s="224" customFormat="1" ht="13.5" customHeight="1">
      <c r="A10" s="225">
        <v>2</v>
      </c>
      <c r="B10" s="239" t="s">
        <v>922</v>
      </c>
      <c r="C10" s="221"/>
      <c r="D10" s="221"/>
      <c r="E10" s="221"/>
      <c r="F10" s="221"/>
      <c r="G10" s="221"/>
      <c r="H10" s="504" t="s">
        <v>923</v>
      </c>
      <c r="I10" s="503" t="s">
        <v>924</v>
      </c>
      <c r="J10" s="504"/>
      <c r="K10" s="503" t="s">
        <v>925</v>
      </c>
      <c r="L10" s="504" t="s">
        <v>926</v>
      </c>
      <c r="M10" s="504" t="s">
        <v>927</v>
      </c>
      <c r="N10" s="504"/>
      <c r="O10" s="504"/>
      <c r="P10" s="505"/>
      <c r="Q10" s="504" t="s">
        <v>817</v>
      </c>
      <c r="R10" s="504"/>
      <c r="S10" s="504" t="s">
        <v>863</v>
      </c>
      <c r="T10" s="506"/>
      <c r="U10" s="504"/>
      <c r="V10" s="507" t="s">
        <v>864</v>
      </c>
      <c r="W10" s="507" t="s">
        <v>864</v>
      </c>
      <c r="X10" s="232"/>
      <c r="Y10" s="513"/>
      <c r="Z10" s="504"/>
      <c r="AA10" s="508"/>
      <c r="AB10" s="504"/>
      <c r="AC10" s="506"/>
      <c r="AD10" s="506"/>
    </row>
    <row r="11" spans="1:1017" s="224" customFormat="1" ht="13.5" customHeight="1">
      <c r="A11" s="225">
        <v>3</v>
      </c>
      <c r="B11" s="239" t="s">
        <v>928</v>
      </c>
      <c r="C11" s="240"/>
      <c r="D11" s="241"/>
      <c r="E11" s="241"/>
      <c r="F11" s="241"/>
      <c r="G11" s="241"/>
      <c r="H11" s="504" t="s">
        <v>929</v>
      </c>
      <c r="I11" s="503" t="s">
        <v>930</v>
      </c>
      <c r="J11" s="504"/>
      <c r="K11" s="503" t="s">
        <v>931</v>
      </c>
      <c r="L11" s="504"/>
      <c r="M11" s="504"/>
      <c r="N11" s="504"/>
      <c r="O11" s="504"/>
      <c r="P11" s="505"/>
      <c r="Q11" s="504" t="s">
        <v>820</v>
      </c>
      <c r="R11" s="504"/>
      <c r="S11" s="504" t="s">
        <v>879</v>
      </c>
      <c r="T11" s="506"/>
      <c r="U11" s="504" t="s">
        <v>932</v>
      </c>
      <c r="V11" s="507" t="s">
        <v>864</v>
      </c>
      <c r="W11" s="507" t="s">
        <v>864</v>
      </c>
      <c r="X11" s="232"/>
      <c r="Y11" s="513"/>
      <c r="Z11" s="504"/>
      <c r="AA11" s="508"/>
      <c r="AB11" s="504"/>
      <c r="AC11" s="506">
        <v>1</v>
      </c>
      <c r="AD11" s="506"/>
    </row>
    <row r="12" spans="1:1017" s="224" customFormat="1" ht="13.5" customHeight="1">
      <c r="A12" s="225">
        <v>4</v>
      </c>
      <c r="B12" s="239" t="s">
        <v>933</v>
      </c>
      <c r="C12" s="240"/>
      <c r="D12" s="241"/>
      <c r="E12" s="241"/>
      <c r="F12" s="241"/>
      <c r="G12" s="241"/>
      <c r="H12" s="504" t="s">
        <v>934</v>
      </c>
      <c r="I12" s="503" t="s">
        <v>935</v>
      </c>
      <c r="J12" s="504"/>
      <c r="K12" s="503" t="s">
        <v>936</v>
      </c>
      <c r="L12" s="504"/>
      <c r="M12" s="504"/>
      <c r="N12" s="504"/>
      <c r="O12" s="504"/>
      <c r="P12" s="505"/>
      <c r="Q12" s="504" t="s">
        <v>820</v>
      </c>
      <c r="R12" s="504"/>
      <c r="S12" s="504" t="s">
        <v>863</v>
      </c>
      <c r="T12" s="506"/>
      <c r="U12" s="504"/>
      <c r="V12" s="507" t="s">
        <v>864</v>
      </c>
      <c r="W12" s="507" t="s">
        <v>864</v>
      </c>
      <c r="X12" s="232"/>
      <c r="Y12" s="513"/>
      <c r="Z12" s="504"/>
      <c r="AA12" s="508"/>
      <c r="AB12" s="504"/>
      <c r="AC12" s="506">
        <v>1</v>
      </c>
      <c r="AD12" s="506"/>
    </row>
    <row r="13" spans="1:1017" s="224" customFormat="1" ht="13.5" customHeight="1">
      <c r="A13" s="225">
        <v>5</v>
      </c>
      <c r="B13" s="239" t="s">
        <v>937</v>
      </c>
      <c r="C13" s="240"/>
      <c r="D13" s="241"/>
      <c r="E13" s="241"/>
      <c r="F13" s="241"/>
      <c r="G13" s="241"/>
      <c r="H13" s="504" t="s">
        <v>938</v>
      </c>
      <c r="I13" s="503"/>
      <c r="J13" s="504"/>
      <c r="K13" s="503" t="s">
        <v>939</v>
      </c>
      <c r="L13" s="504"/>
      <c r="M13" s="504"/>
      <c r="N13" s="504"/>
      <c r="O13" s="504"/>
      <c r="P13" s="505"/>
      <c r="Q13" s="504" t="s">
        <v>820</v>
      </c>
      <c r="R13" s="504"/>
      <c r="S13" s="504" t="s">
        <v>863</v>
      </c>
      <c r="T13" s="506"/>
      <c r="U13" s="504"/>
      <c r="V13" s="507" t="s">
        <v>864</v>
      </c>
      <c r="W13" s="507" t="s">
        <v>864</v>
      </c>
      <c r="X13" s="232"/>
      <c r="Y13" s="513"/>
      <c r="Z13" s="504"/>
      <c r="AA13" s="508"/>
      <c r="AB13" s="504"/>
      <c r="AC13" s="506">
        <v>1</v>
      </c>
      <c r="AD13" s="506"/>
    </row>
    <row r="14" spans="1:1017" s="224" customFormat="1" ht="13.5" customHeight="1">
      <c r="A14" s="225">
        <v>6</v>
      </c>
      <c r="B14" s="239" t="s">
        <v>940</v>
      </c>
      <c r="C14" s="512"/>
      <c r="D14" s="241"/>
      <c r="E14" s="241"/>
      <c r="F14" s="241"/>
      <c r="G14" s="241"/>
      <c r="H14" s="504" t="s">
        <v>941</v>
      </c>
      <c r="I14" s="503"/>
      <c r="J14" s="504"/>
      <c r="K14" s="503" t="s">
        <v>942</v>
      </c>
      <c r="L14" s="504"/>
      <c r="M14" s="504"/>
      <c r="N14" s="504"/>
      <c r="O14" s="504"/>
      <c r="P14" s="505"/>
      <c r="Q14" s="504" t="s">
        <v>817</v>
      </c>
      <c r="R14" s="504"/>
      <c r="S14" s="504" t="s">
        <v>875</v>
      </c>
      <c r="T14" s="506"/>
      <c r="U14" s="504"/>
      <c r="V14" s="507" t="s">
        <v>864</v>
      </c>
      <c r="W14" s="507" t="s">
        <v>864</v>
      </c>
      <c r="X14" s="232"/>
      <c r="Y14" s="513"/>
      <c r="Z14" s="504"/>
      <c r="AA14" s="508"/>
      <c r="AB14" s="504"/>
      <c r="AC14" s="506">
        <v>1</v>
      </c>
      <c r="AD14" s="50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67" priority="78">
      <formula>OR($AD16="X",$AB16="X")</formula>
    </cfRule>
    <cfRule type="expression" dxfId="366" priority="79">
      <formula>AND($AD16=1,$AB16=1)</formula>
    </cfRule>
    <cfRule type="expression" dxfId="365" priority="80">
      <formula>$AD16=1</formula>
    </cfRule>
    <cfRule type="expression" dxfId="364" priority="81">
      <formula>$AB16=1</formula>
    </cfRule>
  </conditionalFormatting>
  <conditionalFormatting sqref="A9:G14">
    <cfRule type="expression" dxfId="363" priority="23">
      <formula>OR($AD9="X",$AC9="X")</formula>
    </cfRule>
    <cfRule type="expression" dxfId="362" priority="25">
      <formula>AND($AD9=1,$AC9=1)</formula>
    </cfRule>
    <cfRule type="expression" dxfId="361" priority="26">
      <formula>$AD9=1</formula>
    </cfRule>
    <cfRule type="expression" dxfId="360" priority="27">
      <formula>$AC9=1</formula>
    </cfRule>
    <cfRule type="expression" dxfId="359" priority="28">
      <formula>AND(NOT(ISBLANK($W9)),ISBLANK($AC9),ISBLANK($AD9))</formula>
    </cfRule>
  </conditionalFormatting>
  <conditionalFormatting sqref="C9:C14">
    <cfRule type="expression" dxfId="358" priority="22">
      <formula>AND($R9="X",$B9&lt;&gt;"")</formula>
    </cfRule>
  </conditionalFormatting>
  <conditionalFormatting sqref="D9:D14">
    <cfRule type="expression" dxfId="357" priority="24">
      <formula>AND($R9="X",OR($B9&lt;&gt;"",$C9&lt;&gt;""))</formula>
    </cfRule>
  </conditionalFormatting>
  <conditionalFormatting sqref="E9:E14">
    <cfRule type="expression" dxfId="356"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55" priority="20">
      <formula>AND($R9="X",OR($B9&lt;&gt;"",$C9&lt;&gt;"",$D9&lt;&gt;"",$E9&lt;&gt;""))</formula>
    </cfRule>
  </conditionalFormatting>
  <conditionalFormatting sqref="G9:G14">
    <cfRule type="expression" dxfId="354" priority="21">
      <formula>AND($R9="X",OR($B9&lt;&gt;"",$C9&lt;&gt;"",$D9&lt;&gt;"",$E9&lt;&gt;"",$F9&lt;&gt;""))</formula>
    </cfRule>
  </conditionalFormatting>
  <conditionalFormatting sqref="H16:H17 H37:H877">
    <cfRule type="expression" dxfId="353" priority="77">
      <formula>$Q16="X"</formula>
    </cfRule>
  </conditionalFormatting>
  <conditionalFormatting sqref="I9:I14">
    <cfRule type="expression" dxfId="352" priority="18">
      <formula>$R9="X"</formula>
    </cfRule>
  </conditionalFormatting>
  <conditionalFormatting sqref="Q9:Q14">
    <cfRule type="cellIs" dxfId="351" priority="2" operator="equal">
      <formula>"1..1"</formula>
    </cfRule>
    <cfRule type="cellIs" dxfId="350" priority="3" operator="equal">
      <formula>"0..n"</formula>
    </cfRule>
    <cfRule type="cellIs" dxfId="349"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5"/>
  <sheetViews>
    <sheetView tabSelected="1" zoomScaleNormal="100" workbookViewId="0">
      <pane xSplit="7" ySplit="8" topLeftCell="I164" activePane="bottomRight" state="frozen"/>
      <selection pane="topRight" activeCell="H1" sqref="H1"/>
      <selection pane="bottomLeft" activeCell="A9" sqref="A9"/>
      <selection pane="bottomRight" activeCell="A171" sqref="A171:XFD171"/>
    </sheetView>
  </sheetViews>
  <sheetFormatPr baseColWidth="10" defaultColWidth="9.5" defaultRowHeight="12" customHeight="1"/>
  <cols>
    <col min="1" max="1" width="4.7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551" t="s">
        <v>911</v>
      </c>
      <c r="I1" s="551"/>
      <c r="J1" s="551"/>
      <c r="O1" s="552" t="s">
        <v>816</v>
      </c>
      <c r="P1" s="552"/>
      <c r="AC1" s="96"/>
      <c r="AE1"/>
      <c r="AF1" s="128"/>
      <c r="ALZ1"/>
    </row>
    <row r="2" spans="1:1014" ht="13.5" customHeight="1">
      <c r="C2" s="141" t="s">
        <v>818</v>
      </c>
      <c r="D2" s="285"/>
      <c r="E2" s="152" t="s">
        <v>819</v>
      </c>
      <c r="F2" s="157">
        <f>createCase[[#Totals],[NexSIS]] / createCase[[#Totals],[ID]]</f>
        <v>0.48</v>
      </c>
      <c r="G2" s="128"/>
      <c r="H2" s="551"/>
      <c r="I2" s="551"/>
      <c r="J2" s="551"/>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53" t="s">
        <v>828</v>
      </c>
      <c r="M7" s="553"/>
      <c r="N7" s="553"/>
      <c r="O7" s="553"/>
      <c r="V7" s="554" t="s">
        <v>829</v>
      </c>
      <c r="W7" s="554"/>
      <c r="AC7" s="553" t="s">
        <v>830</v>
      </c>
      <c r="AD7" s="553"/>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512"/>
      <c r="E9" s="512"/>
      <c r="F9" s="512"/>
      <c r="G9" s="512"/>
      <c r="H9" s="504" t="s">
        <v>943</v>
      </c>
      <c r="I9" s="317" t="s">
        <v>944</v>
      </c>
      <c r="J9" s="504" t="s">
        <v>945</v>
      </c>
      <c r="K9" s="503" t="s">
        <v>919</v>
      </c>
      <c r="L9" s="504" t="s">
        <v>946</v>
      </c>
      <c r="M9" s="504" t="s">
        <v>947</v>
      </c>
      <c r="N9" s="504"/>
      <c r="O9" s="504"/>
      <c r="P9" s="505">
        <v>1</v>
      </c>
      <c r="Q9" s="504" t="s">
        <v>820</v>
      </c>
      <c r="R9" s="504"/>
      <c r="S9" s="504" t="s">
        <v>863</v>
      </c>
      <c r="T9" s="506"/>
      <c r="U9" s="504"/>
      <c r="V9" s="507" t="s">
        <v>864</v>
      </c>
      <c r="W9" s="507" t="s">
        <v>864</v>
      </c>
      <c r="X9" s="232"/>
      <c r="Y9" s="513"/>
      <c r="Z9" s="504" t="s">
        <v>920</v>
      </c>
      <c r="AA9" s="508" t="s">
        <v>921</v>
      </c>
      <c r="AB9" s="504"/>
      <c r="AC9" s="506">
        <v>1</v>
      </c>
      <c r="AD9" s="506">
        <v>1</v>
      </c>
    </row>
    <row r="10" spans="1:1014" s="224" customFormat="1" ht="13.5" customHeight="1">
      <c r="A10" s="225">
        <v>2</v>
      </c>
      <c r="B10" s="253" t="s">
        <v>948</v>
      </c>
      <c r="C10" s="221"/>
      <c r="D10" s="221"/>
      <c r="E10" s="221"/>
      <c r="F10" s="221"/>
      <c r="G10" s="221"/>
      <c r="H10" s="504" t="s">
        <v>949</v>
      </c>
      <c r="I10" s="131" t="s">
        <v>950</v>
      </c>
      <c r="J10" s="504"/>
      <c r="K10" s="503" t="s">
        <v>925</v>
      </c>
      <c r="L10" s="504" t="s">
        <v>926</v>
      </c>
      <c r="M10" s="504" t="s">
        <v>927</v>
      </c>
      <c r="N10" s="504"/>
      <c r="O10" s="504"/>
      <c r="P10" s="505"/>
      <c r="Q10" s="504" t="s">
        <v>817</v>
      </c>
      <c r="R10" s="504"/>
      <c r="S10" s="504" t="s">
        <v>863</v>
      </c>
      <c r="T10" s="506"/>
      <c r="U10" s="504"/>
      <c r="V10" s="507" t="s">
        <v>864</v>
      </c>
      <c r="W10" s="507" t="s">
        <v>864</v>
      </c>
      <c r="X10" s="232"/>
      <c r="Y10" s="513"/>
      <c r="Z10" s="504"/>
      <c r="AA10" s="508"/>
      <c r="AB10" s="504"/>
      <c r="AC10" s="506">
        <v>1</v>
      </c>
      <c r="AD10" s="506">
        <v>1</v>
      </c>
    </row>
    <row r="11" spans="1:1014" s="224" customFormat="1" ht="13.5" customHeight="1">
      <c r="A11" s="225">
        <v>3</v>
      </c>
      <c r="B11" s="217" t="s">
        <v>951</v>
      </c>
      <c r="C11" s="240"/>
      <c r="D11" s="241"/>
      <c r="E11" s="241"/>
      <c r="F11" s="241"/>
      <c r="G11" s="241"/>
      <c r="H11" s="504" t="s">
        <v>952</v>
      </c>
      <c r="I11" s="503" t="s">
        <v>930</v>
      </c>
      <c r="J11" s="504" t="s">
        <v>953</v>
      </c>
      <c r="K11" s="503" t="s">
        <v>931</v>
      </c>
      <c r="L11" s="504"/>
      <c r="M11" s="504"/>
      <c r="N11" s="504"/>
      <c r="O11" s="504"/>
      <c r="P11" s="505">
        <v>1</v>
      </c>
      <c r="Q11" s="504" t="s">
        <v>820</v>
      </c>
      <c r="R11" s="504"/>
      <c r="S11" s="504" t="s">
        <v>879</v>
      </c>
      <c r="T11" s="506"/>
      <c r="U11" s="504" t="s">
        <v>932</v>
      </c>
      <c r="V11" s="507" t="s">
        <v>864</v>
      </c>
      <c r="W11" s="507" t="s">
        <v>864</v>
      </c>
      <c r="X11" s="232"/>
      <c r="Y11" s="513"/>
      <c r="Z11" s="504"/>
      <c r="AA11" s="508"/>
      <c r="AB11" s="504"/>
      <c r="AC11" s="506">
        <v>1</v>
      </c>
      <c r="AD11" s="506">
        <v>1</v>
      </c>
    </row>
    <row r="12" spans="1:1014" s="224" customFormat="1" ht="13.5" customHeight="1">
      <c r="A12" s="225">
        <v>4</v>
      </c>
      <c r="B12" s="217" t="s">
        <v>954</v>
      </c>
      <c r="C12" s="240"/>
      <c r="D12" s="241"/>
      <c r="E12" s="241"/>
      <c r="F12" s="241"/>
      <c r="G12" s="241"/>
      <c r="H12" s="504" t="s">
        <v>955</v>
      </c>
      <c r="I12" s="503" t="s">
        <v>935</v>
      </c>
      <c r="J12" s="504" t="s">
        <v>956</v>
      </c>
      <c r="K12" s="503" t="s">
        <v>957</v>
      </c>
      <c r="L12" s="504"/>
      <c r="M12" s="504"/>
      <c r="N12" s="504"/>
      <c r="O12" s="504"/>
      <c r="P12" s="505"/>
      <c r="Q12" s="504" t="s">
        <v>820</v>
      </c>
      <c r="R12" s="504"/>
      <c r="S12" s="504" t="s">
        <v>863</v>
      </c>
      <c r="T12" s="506"/>
      <c r="U12" s="504"/>
      <c r="V12" s="507" t="s">
        <v>864</v>
      </c>
      <c r="W12" s="507" t="s">
        <v>864</v>
      </c>
      <c r="X12" s="232"/>
      <c r="Y12" s="513"/>
      <c r="Z12" s="504"/>
      <c r="AA12" s="508"/>
      <c r="AB12" s="504"/>
      <c r="AC12" s="506">
        <v>1</v>
      </c>
      <c r="AD12" s="506">
        <v>1</v>
      </c>
    </row>
    <row r="13" spans="1:1014" s="224" customFormat="1" ht="13.5" customHeight="1">
      <c r="A13" s="225">
        <v>5</v>
      </c>
      <c r="B13" s="217" t="s">
        <v>958</v>
      </c>
      <c r="C13" s="512"/>
      <c r="D13" s="241"/>
      <c r="E13" s="241"/>
      <c r="F13" s="241"/>
      <c r="G13" s="241"/>
      <c r="H13" s="504" t="s">
        <v>959</v>
      </c>
      <c r="I13" s="503"/>
      <c r="J13" s="504" t="s">
        <v>960</v>
      </c>
      <c r="K13" s="503" t="s">
        <v>961</v>
      </c>
      <c r="L13" s="504"/>
      <c r="M13" s="504"/>
      <c r="N13" s="504"/>
      <c r="O13" s="504"/>
      <c r="P13" s="505"/>
      <c r="Q13" s="504" t="s">
        <v>820</v>
      </c>
      <c r="R13" s="504" t="s">
        <v>864</v>
      </c>
      <c r="S13" s="243" t="s">
        <v>961</v>
      </c>
      <c r="T13" s="506"/>
      <c r="U13" s="504"/>
      <c r="V13" s="507" t="s">
        <v>864</v>
      </c>
      <c r="W13" s="507" t="s">
        <v>864</v>
      </c>
      <c r="X13" s="232"/>
      <c r="Y13" s="513"/>
      <c r="Z13" s="504"/>
      <c r="AA13" s="508"/>
      <c r="AB13" s="504"/>
      <c r="AC13" s="506">
        <v>1</v>
      </c>
      <c r="AD13" s="506">
        <v>1</v>
      </c>
    </row>
    <row r="14" spans="1:1014" s="224" customFormat="1" ht="13.5" customHeight="1">
      <c r="A14" s="225">
        <v>6</v>
      </c>
      <c r="B14" s="217"/>
      <c r="C14" s="512" t="s">
        <v>962</v>
      </c>
      <c r="D14" s="241"/>
      <c r="E14" s="241"/>
      <c r="F14" s="241"/>
      <c r="G14" s="241"/>
      <c r="H14" s="504" t="s">
        <v>963</v>
      </c>
      <c r="I14" s="503"/>
      <c r="J14" s="504" t="s">
        <v>964</v>
      </c>
      <c r="K14" s="503"/>
      <c r="L14" s="504" t="s">
        <v>965</v>
      </c>
      <c r="M14" s="504" t="s">
        <v>966</v>
      </c>
      <c r="N14" s="504"/>
      <c r="O14" s="504"/>
      <c r="P14" s="505">
        <v>1</v>
      </c>
      <c r="Q14" s="504" t="s">
        <v>820</v>
      </c>
      <c r="R14" s="504" t="s">
        <v>864</v>
      </c>
      <c r="S14" s="504" t="s">
        <v>967</v>
      </c>
      <c r="T14" s="506"/>
      <c r="U14" s="504"/>
      <c r="V14" s="507" t="s">
        <v>864</v>
      </c>
      <c r="W14" s="507" t="s">
        <v>864</v>
      </c>
      <c r="X14" s="232"/>
      <c r="Y14" s="513"/>
      <c r="Z14" s="504" t="s">
        <v>968</v>
      </c>
      <c r="AA14" s="508"/>
      <c r="AB14" s="504"/>
      <c r="AC14" s="506">
        <v>1</v>
      </c>
      <c r="AD14" s="506">
        <v>1</v>
      </c>
    </row>
    <row r="15" spans="1:1014" s="224" customFormat="1" ht="13.5" customHeight="1">
      <c r="A15" s="225">
        <v>7</v>
      </c>
      <c r="B15" s="217"/>
      <c r="C15" s="512"/>
      <c r="D15" s="241" t="s">
        <v>667</v>
      </c>
      <c r="E15" s="241"/>
      <c r="F15" s="241"/>
      <c r="G15" s="241"/>
      <c r="H15" s="504" t="s">
        <v>969</v>
      </c>
      <c r="I15" s="503" t="s">
        <v>970</v>
      </c>
      <c r="J15" s="504" t="s">
        <v>971</v>
      </c>
      <c r="K15" s="503"/>
      <c r="L15" s="504"/>
      <c r="M15" s="504"/>
      <c r="N15" s="504"/>
      <c r="O15" s="504"/>
      <c r="P15" s="505">
        <v>1</v>
      </c>
      <c r="Q15" s="504" t="s">
        <v>820</v>
      </c>
      <c r="R15" s="504"/>
      <c r="S15" s="504" t="s">
        <v>863</v>
      </c>
      <c r="T15" s="506"/>
      <c r="U15" s="504"/>
      <c r="V15" s="507" t="s">
        <v>864</v>
      </c>
      <c r="W15" s="507" t="s">
        <v>864</v>
      </c>
      <c r="X15" s="232"/>
      <c r="Y15" s="513"/>
      <c r="Z15" s="504" t="s">
        <v>968</v>
      </c>
      <c r="AA15" s="508"/>
      <c r="AB15" s="504"/>
      <c r="AC15" s="506">
        <v>1</v>
      </c>
      <c r="AD15" s="506">
        <v>1</v>
      </c>
    </row>
    <row r="16" spans="1:1014" s="224" customFormat="1" ht="13.5" customHeight="1">
      <c r="A16" s="225">
        <v>8</v>
      </c>
      <c r="B16" s="217"/>
      <c r="C16" s="512"/>
      <c r="D16" s="241" t="s">
        <v>972</v>
      </c>
      <c r="E16" s="241"/>
      <c r="F16" s="241"/>
      <c r="G16" s="241"/>
      <c r="H16" s="504" t="s">
        <v>973</v>
      </c>
      <c r="I16" s="503" t="s">
        <v>974</v>
      </c>
      <c r="J16" s="504" t="s">
        <v>975</v>
      </c>
      <c r="K16" s="503"/>
      <c r="L16" s="504"/>
      <c r="M16" s="504"/>
      <c r="N16" s="504"/>
      <c r="O16" s="504"/>
      <c r="P16" s="505">
        <v>1</v>
      </c>
      <c r="Q16" s="504" t="s">
        <v>820</v>
      </c>
      <c r="R16" s="504"/>
      <c r="S16" s="504" t="s">
        <v>863</v>
      </c>
      <c r="T16" s="506"/>
      <c r="U16" s="504"/>
      <c r="V16" s="507" t="s">
        <v>864</v>
      </c>
      <c r="W16" s="507" t="s">
        <v>864</v>
      </c>
      <c r="X16" s="232"/>
      <c r="Y16" s="513"/>
      <c r="Z16" s="504" t="s">
        <v>968</v>
      </c>
      <c r="AA16" s="508"/>
      <c r="AB16" s="504"/>
      <c r="AC16" s="506">
        <v>1</v>
      </c>
      <c r="AD16" s="506">
        <v>1</v>
      </c>
    </row>
    <row r="17" spans="1:30" s="224" customFormat="1" ht="13.5" customHeight="1">
      <c r="A17" s="225">
        <v>9</v>
      </c>
      <c r="B17" s="217"/>
      <c r="C17" s="512"/>
      <c r="D17" s="241" t="s">
        <v>767</v>
      </c>
      <c r="E17" s="241"/>
      <c r="F17" s="241"/>
      <c r="G17" s="241"/>
      <c r="H17" s="504" t="s">
        <v>976</v>
      </c>
      <c r="I17" s="503"/>
      <c r="J17" s="504" t="s">
        <v>939</v>
      </c>
      <c r="K17" s="503"/>
      <c r="L17" s="504"/>
      <c r="M17" s="504"/>
      <c r="N17" s="504"/>
      <c r="O17" s="504"/>
      <c r="P17" s="505"/>
      <c r="Q17" s="504" t="s">
        <v>817</v>
      </c>
      <c r="R17" s="504"/>
      <c r="S17" s="504" t="s">
        <v>863</v>
      </c>
      <c r="T17" s="506"/>
      <c r="U17" s="504"/>
      <c r="V17" s="507" t="s">
        <v>864</v>
      </c>
      <c r="W17" s="507" t="s">
        <v>864</v>
      </c>
      <c r="X17" s="232"/>
      <c r="Y17" s="513"/>
      <c r="Z17" s="504" t="s">
        <v>968</v>
      </c>
      <c r="AA17" s="508"/>
      <c r="AB17" s="504"/>
      <c r="AC17" s="506">
        <v>1</v>
      </c>
      <c r="AD17" s="506">
        <v>1</v>
      </c>
    </row>
    <row r="18" spans="1:30" s="224" customFormat="1" ht="13.5" customHeight="1">
      <c r="A18" s="225">
        <v>10</v>
      </c>
      <c r="B18" s="217"/>
      <c r="C18" s="512" t="s">
        <v>977</v>
      </c>
      <c r="D18" s="241" t="s">
        <v>978</v>
      </c>
      <c r="E18" s="241"/>
      <c r="F18" s="241"/>
      <c r="G18" s="241"/>
      <c r="H18" s="504" t="s">
        <v>979</v>
      </c>
      <c r="I18" s="503"/>
      <c r="J18" s="504" t="s">
        <v>980</v>
      </c>
      <c r="K18" s="503"/>
      <c r="L18" s="504" t="s">
        <v>981</v>
      </c>
      <c r="M18" s="504" t="s">
        <v>982</v>
      </c>
      <c r="N18" s="504"/>
      <c r="O18" s="504"/>
      <c r="P18" s="505">
        <v>1</v>
      </c>
      <c r="Q18" s="504" t="s">
        <v>817</v>
      </c>
      <c r="R18" s="504" t="s">
        <v>864</v>
      </c>
      <c r="S18" s="504" t="s">
        <v>967</v>
      </c>
      <c r="T18" s="506"/>
      <c r="U18" s="504"/>
      <c r="V18" s="507" t="s">
        <v>864</v>
      </c>
      <c r="W18" s="507" t="s">
        <v>864</v>
      </c>
      <c r="X18" s="232"/>
      <c r="Y18" s="513"/>
      <c r="Z18" s="504" t="s">
        <v>968</v>
      </c>
      <c r="AA18" s="508"/>
      <c r="AB18" s="504"/>
      <c r="AC18" s="506">
        <v>1</v>
      </c>
      <c r="AD18" s="506">
        <v>1</v>
      </c>
    </row>
    <row r="19" spans="1:30" s="224" customFormat="1" ht="13.5" customHeight="1">
      <c r="A19" s="225">
        <v>11</v>
      </c>
      <c r="B19" s="217"/>
      <c r="C19" s="512" t="s">
        <v>983</v>
      </c>
      <c r="D19" s="241" t="s">
        <v>978</v>
      </c>
      <c r="E19" s="241"/>
      <c r="F19" s="241"/>
      <c r="G19" s="241"/>
      <c r="H19" s="504" t="s">
        <v>984</v>
      </c>
      <c r="I19" s="503"/>
      <c r="J19" s="504" t="s">
        <v>985</v>
      </c>
      <c r="K19" s="503"/>
      <c r="L19" s="504"/>
      <c r="M19" s="504"/>
      <c r="N19" s="504"/>
      <c r="O19" s="504"/>
      <c r="P19" s="505">
        <v>1</v>
      </c>
      <c r="Q19" s="504" t="s">
        <v>823</v>
      </c>
      <c r="R19" s="504" t="s">
        <v>864</v>
      </c>
      <c r="S19" s="504" t="s">
        <v>967</v>
      </c>
      <c r="T19" s="506"/>
      <c r="U19" s="504"/>
      <c r="V19" s="507" t="s">
        <v>864</v>
      </c>
      <c r="W19" s="507" t="s">
        <v>864</v>
      </c>
      <c r="X19" s="232"/>
      <c r="Y19" s="513"/>
      <c r="Z19" s="504" t="s">
        <v>968</v>
      </c>
      <c r="AA19" s="508"/>
      <c r="AB19" s="504"/>
      <c r="AC19" s="506">
        <v>1</v>
      </c>
      <c r="AD19" s="506">
        <v>1</v>
      </c>
    </row>
    <row r="20" spans="1:30" s="224" customFormat="1" ht="13.5" customHeight="1">
      <c r="A20" s="225">
        <v>12</v>
      </c>
      <c r="B20" s="217"/>
      <c r="C20" s="512" t="s">
        <v>986</v>
      </c>
      <c r="D20" s="241" t="s">
        <v>978</v>
      </c>
      <c r="E20" s="241"/>
      <c r="F20" s="241"/>
      <c r="G20" s="241"/>
      <c r="H20" s="504" t="s">
        <v>987</v>
      </c>
      <c r="I20" s="503"/>
      <c r="J20" s="504" t="s">
        <v>988</v>
      </c>
      <c r="K20" s="503"/>
      <c r="L20" s="504"/>
      <c r="M20" s="504"/>
      <c r="N20" s="504"/>
      <c r="O20" s="504"/>
      <c r="P20" s="505">
        <v>1</v>
      </c>
      <c r="Q20" s="504" t="s">
        <v>817</v>
      </c>
      <c r="R20" s="504" t="s">
        <v>864</v>
      </c>
      <c r="S20" s="504" t="s">
        <v>967</v>
      </c>
      <c r="T20" s="506"/>
      <c r="U20" s="263"/>
      <c r="V20" s="507" t="s">
        <v>864</v>
      </c>
      <c r="W20" s="507" t="s">
        <v>864</v>
      </c>
      <c r="X20" s="232"/>
      <c r="Y20" s="513"/>
      <c r="Z20" s="504" t="s">
        <v>968</v>
      </c>
      <c r="AA20" s="508"/>
      <c r="AB20" s="504"/>
      <c r="AC20" s="506">
        <v>1</v>
      </c>
      <c r="AD20" s="506"/>
    </row>
    <row r="21" spans="1:30" s="224" customFormat="1" ht="13.5" customHeight="1">
      <c r="A21" s="225">
        <v>13</v>
      </c>
      <c r="B21" s="217"/>
      <c r="C21" s="512" t="s">
        <v>989</v>
      </c>
      <c r="D21" s="241"/>
      <c r="E21" s="241"/>
      <c r="F21" s="241"/>
      <c r="G21" s="241"/>
      <c r="H21" s="263"/>
      <c r="I21" s="503"/>
      <c r="J21" s="504"/>
      <c r="K21" s="504" t="s">
        <v>990</v>
      </c>
      <c r="L21" s="504"/>
      <c r="M21" s="504"/>
      <c r="N21" s="504"/>
      <c r="O21" s="504"/>
      <c r="P21" s="505"/>
      <c r="Q21" s="504" t="s">
        <v>817</v>
      </c>
      <c r="R21" s="504" t="s">
        <v>864</v>
      </c>
      <c r="S21" s="243" t="s">
        <v>991</v>
      </c>
      <c r="T21" s="506"/>
      <c r="U21" s="504"/>
      <c r="V21" s="507"/>
      <c r="W21" s="507" t="s">
        <v>864</v>
      </c>
      <c r="X21" s="232"/>
      <c r="Y21" s="513"/>
      <c r="Z21" s="504" t="s">
        <v>992</v>
      </c>
      <c r="AA21" s="508"/>
      <c r="AB21" s="504"/>
      <c r="AC21" s="506"/>
      <c r="AD21" s="506">
        <v>1</v>
      </c>
    </row>
    <row r="22" spans="1:30" s="224" customFormat="1" ht="13.5" customHeight="1">
      <c r="A22" s="225">
        <v>14</v>
      </c>
      <c r="B22" s="217"/>
      <c r="C22" s="512"/>
      <c r="D22" s="241" t="s">
        <v>495</v>
      </c>
      <c r="E22" s="241"/>
      <c r="F22" s="241"/>
      <c r="G22" s="241"/>
      <c r="H22" s="263" t="s">
        <v>993</v>
      </c>
      <c r="I22" s="503"/>
      <c r="J22" s="504"/>
      <c r="K22" s="504" t="s">
        <v>888</v>
      </c>
      <c r="L22" s="504"/>
      <c r="M22" s="504"/>
      <c r="N22" s="504"/>
      <c r="O22" s="504"/>
      <c r="P22" s="505"/>
      <c r="Q22" s="504" t="s">
        <v>817</v>
      </c>
      <c r="R22" s="504"/>
      <c r="S22" s="504" t="s">
        <v>863</v>
      </c>
      <c r="T22" s="506" t="s">
        <v>864</v>
      </c>
      <c r="U22" s="504" t="s">
        <v>994</v>
      </c>
      <c r="V22" s="507"/>
      <c r="W22" s="507" t="s">
        <v>864</v>
      </c>
      <c r="X22" s="232"/>
      <c r="Y22" s="513"/>
      <c r="Z22" s="266" t="s">
        <v>995</v>
      </c>
      <c r="AA22" s="508"/>
      <c r="AB22" s="504"/>
      <c r="AC22" s="506"/>
      <c r="AD22" s="506">
        <v>1</v>
      </c>
    </row>
    <row r="23" spans="1:30" s="224" customFormat="1" ht="13.5" customHeight="1">
      <c r="A23" s="225">
        <v>15</v>
      </c>
      <c r="B23" s="217"/>
      <c r="C23" s="512"/>
      <c r="D23" s="241" t="s">
        <v>996</v>
      </c>
      <c r="E23" s="241"/>
      <c r="F23" s="241"/>
      <c r="G23" s="241"/>
      <c r="H23" s="504" t="s">
        <v>997</v>
      </c>
      <c r="I23" s="503" t="s">
        <v>998</v>
      </c>
      <c r="J23" s="504"/>
      <c r="K23" s="504" t="s">
        <v>999</v>
      </c>
      <c r="L23" s="504"/>
      <c r="M23" s="504"/>
      <c r="N23" s="504"/>
      <c r="O23" s="504"/>
      <c r="P23" s="505"/>
      <c r="Q23" s="504" t="s">
        <v>817</v>
      </c>
      <c r="R23" s="504"/>
      <c r="S23" s="504" t="s">
        <v>863</v>
      </c>
      <c r="T23" s="506" t="s">
        <v>864</v>
      </c>
      <c r="U23" s="504" t="s">
        <v>1000</v>
      </c>
      <c r="V23" s="507"/>
      <c r="W23" s="507" t="s">
        <v>864</v>
      </c>
      <c r="X23" s="232"/>
      <c r="Y23" s="513"/>
      <c r="Z23" s="266" t="s">
        <v>1001</v>
      </c>
      <c r="AA23" s="508"/>
      <c r="AB23" s="504"/>
      <c r="AC23" s="506"/>
      <c r="AD23" s="506">
        <v>1</v>
      </c>
    </row>
    <row r="24" spans="1:30" s="224" customFormat="1" ht="13.5" customHeight="1">
      <c r="A24" s="225">
        <v>16</v>
      </c>
      <c r="B24" s="217"/>
      <c r="C24" s="512"/>
      <c r="D24" s="512" t="s">
        <v>1002</v>
      </c>
      <c r="E24" s="241"/>
      <c r="F24" s="241"/>
      <c r="G24" s="241"/>
      <c r="H24" s="263" t="s">
        <v>1003</v>
      </c>
      <c r="I24" s="131" t="s">
        <v>1004</v>
      </c>
      <c r="J24" s="504"/>
      <c r="K24" s="503" t="s">
        <v>1005</v>
      </c>
      <c r="L24" s="504"/>
      <c r="M24" s="504"/>
      <c r="N24" s="504"/>
      <c r="O24" s="504"/>
      <c r="P24" s="505"/>
      <c r="Q24" s="504" t="s">
        <v>817</v>
      </c>
      <c r="R24" s="504"/>
      <c r="S24" s="504" t="s">
        <v>863</v>
      </c>
      <c r="T24" s="374"/>
      <c r="U24" s="374"/>
      <c r="V24" s="507"/>
      <c r="W24" s="507" t="s">
        <v>864</v>
      </c>
      <c r="X24" s="232"/>
      <c r="Y24" s="387" t="s">
        <v>1006</v>
      </c>
      <c r="Z24" s="504" t="s">
        <v>1007</v>
      </c>
      <c r="AA24" s="508"/>
      <c r="AB24" s="504"/>
      <c r="AC24" s="506"/>
      <c r="AD24" s="506">
        <v>1</v>
      </c>
    </row>
    <row r="25" spans="1:30" s="224" customFormat="1" ht="13.5" customHeight="1">
      <c r="A25" s="225">
        <v>17</v>
      </c>
      <c r="B25" s="217"/>
      <c r="C25" s="512"/>
      <c r="D25" s="512" t="s">
        <v>1008</v>
      </c>
      <c r="E25" s="241"/>
      <c r="F25" s="241"/>
      <c r="G25" s="241"/>
      <c r="H25" s="504" t="s">
        <v>1009</v>
      </c>
      <c r="I25" s="503" t="s">
        <v>1010</v>
      </c>
      <c r="J25" s="504"/>
      <c r="K25" s="503" t="s">
        <v>1011</v>
      </c>
      <c r="L25" s="504"/>
      <c r="M25" s="504"/>
      <c r="N25" s="504"/>
      <c r="O25" s="504"/>
      <c r="P25" s="505"/>
      <c r="Q25" s="504" t="s">
        <v>817</v>
      </c>
      <c r="R25" s="504"/>
      <c r="S25" s="504" t="s">
        <v>863</v>
      </c>
      <c r="T25" s="506"/>
      <c r="U25" s="263"/>
      <c r="V25" s="507"/>
      <c r="W25" s="507" t="s">
        <v>864</v>
      </c>
      <c r="X25" s="232"/>
      <c r="Y25" s="392" t="s">
        <v>1012</v>
      </c>
      <c r="Z25" s="263" t="s">
        <v>1013</v>
      </c>
      <c r="AA25" s="508"/>
      <c r="AB25" s="504"/>
      <c r="AC25" s="506"/>
      <c r="AD25" s="506">
        <v>1</v>
      </c>
    </row>
    <row r="26" spans="1:30" s="224" customFormat="1" ht="13.5" customHeight="1">
      <c r="A26" s="225">
        <v>18</v>
      </c>
      <c r="B26" s="217"/>
      <c r="C26" s="512" t="s">
        <v>1014</v>
      </c>
      <c r="D26" s="241"/>
      <c r="E26" s="241"/>
      <c r="F26" s="241"/>
      <c r="G26" s="241"/>
      <c r="H26" s="504"/>
      <c r="I26" s="503"/>
      <c r="J26" s="504" t="s">
        <v>1015</v>
      </c>
      <c r="K26" s="503"/>
      <c r="L26" s="504"/>
      <c r="M26" s="504"/>
      <c r="N26" s="504"/>
      <c r="O26" s="504"/>
      <c r="P26" s="505"/>
      <c r="Q26" s="504" t="s">
        <v>817</v>
      </c>
      <c r="R26" s="504" t="s">
        <v>864</v>
      </c>
      <c r="S26" s="243" t="s">
        <v>1015</v>
      </c>
      <c r="T26" s="506"/>
      <c r="U26" s="504"/>
      <c r="V26" s="507" t="s">
        <v>864</v>
      </c>
      <c r="W26" s="507" t="s">
        <v>864</v>
      </c>
      <c r="X26" s="232"/>
      <c r="Y26" s="513"/>
      <c r="Z26" s="504"/>
      <c r="AA26" s="508"/>
      <c r="AB26" s="504"/>
      <c r="AC26" s="506">
        <v>1</v>
      </c>
      <c r="AD26" s="506">
        <v>1</v>
      </c>
    </row>
    <row r="27" spans="1:30" s="224" customFormat="1" ht="13.5" customHeight="1">
      <c r="A27" s="225">
        <v>19</v>
      </c>
      <c r="B27" s="217"/>
      <c r="C27" s="512"/>
      <c r="D27" s="241" t="s">
        <v>1016</v>
      </c>
      <c r="E27" s="241"/>
      <c r="F27" s="241"/>
      <c r="G27" s="241"/>
      <c r="H27" s="504" t="s">
        <v>1017</v>
      </c>
      <c r="I27" s="503" t="s">
        <v>1018</v>
      </c>
      <c r="J27" s="504" t="s">
        <v>1019</v>
      </c>
      <c r="K27" s="503"/>
      <c r="L27" s="504" t="s">
        <v>1020</v>
      </c>
      <c r="M27" s="504" t="s">
        <v>1021</v>
      </c>
      <c r="N27" s="504"/>
      <c r="O27" s="504"/>
      <c r="P27" s="505"/>
      <c r="Q27" s="504" t="s">
        <v>817</v>
      </c>
      <c r="R27" s="504"/>
      <c r="S27" s="504" t="s">
        <v>863</v>
      </c>
      <c r="T27" s="506" t="s">
        <v>864</v>
      </c>
      <c r="U27" s="255" t="s">
        <v>1022</v>
      </c>
      <c r="V27" s="507" t="s">
        <v>864</v>
      </c>
      <c r="W27" s="507" t="s">
        <v>864</v>
      </c>
      <c r="X27" s="232"/>
      <c r="Y27" s="513"/>
      <c r="Z27" s="504"/>
      <c r="AA27" s="508"/>
      <c r="AB27" s="504"/>
      <c r="AC27" s="506">
        <v>1</v>
      </c>
      <c r="AD27" s="506">
        <v>1</v>
      </c>
    </row>
    <row r="28" spans="1:30" s="224" customFormat="1" ht="13.5" customHeight="1">
      <c r="A28" s="225">
        <v>20</v>
      </c>
      <c r="B28" s="217"/>
      <c r="C28" s="512"/>
      <c r="D28" s="241" t="s">
        <v>1023</v>
      </c>
      <c r="E28" s="241"/>
      <c r="F28" s="241"/>
      <c r="G28" s="241"/>
      <c r="H28" s="504" t="s">
        <v>1024</v>
      </c>
      <c r="I28" s="503" t="s">
        <v>1025</v>
      </c>
      <c r="J28" s="504" t="s">
        <v>1026</v>
      </c>
      <c r="K28" s="503"/>
      <c r="L28" s="504"/>
      <c r="M28" s="504"/>
      <c r="N28" s="504"/>
      <c r="O28" s="504"/>
      <c r="P28" s="505"/>
      <c r="Q28" s="504" t="s">
        <v>817</v>
      </c>
      <c r="R28" s="504"/>
      <c r="S28" s="504" t="s">
        <v>863</v>
      </c>
      <c r="T28" s="506" t="s">
        <v>864</v>
      </c>
      <c r="U28" s="504" t="s">
        <v>1027</v>
      </c>
      <c r="V28" s="507" t="s">
        <v>864</v>
      </c>
      <c r="W28" s="507" t="s">
        <v>864</v>
      </c>
      <c r="X28" s="232"/>
      <c r="Y28" s="513"/>
      <c r="Z28" s="504"/>
      <c r="AA28" s="508" t="s">
        <v>1028</v>
      </c>
      <c r="AB28" s="504"/>
      <c r="AC28" s="506">
        <v>1</v>
      </c>
      <c r="AD28" s="506">
        <v>1</v>
      </c>
    </row>
    <row r="29" spans="1:30" s="224" customFormat="1" ht="13.5" customHeight="1">
      <c r="A29" s="225">
        <v>21</v>
      </c>
      <c r="B29" s="217"/>
      <c r="C29" s="512"/>
      <c r="D29" s="241" t="s">
        <v>1029</v>
      </c>
      <c r="E29" s="241"/>
      <c r="F29" s="241"/>
      <c r="G29" s="241"/>
      <c r="H29" s="504" t="s">
        <v>1030</v>
      </c>
      <c r="I29" s="503" t="s">
        <v>1031</v>
      </c>
      <c r="J29" s="504" t="s">
        <v>939</v>
      </c>
      <c r="K29" s="503"/>
      <c r="L29" s="504"/>
      <c r="M29" s="504"/>
      <c r="N29" s="504"/>
      <c r="O29" s="504"/>
      <c r="P29" s="505"/>
      <c r="Q29" s="504" t="s">
        <v>817</v>
      </c>
      <c r="R29" s="504"/>
      <c r="S29" s="504" t="s">
        <v>863</v>
      </c>
      <c r="T29" s="506"/>
      <c r="U29" s="504"/>
      <c r="V29" s="507" t="s">
        <v>864</v>
      </c>
      <c r="W29" s="507" t="s">
        <v>864</v>
      </c>
      <c r="X29" s="232"/>
      <c r="Y29" s="513"/>
      <c r="Z29" s="504"/>
      <c r="AA29" s="508"/>
      <c r="AB29" s="504"/>
      <c r="AC29" s="506">
        <v>1</v>
      </c>
      <c r="AD29" s="506">
        <v>1</v>
      </c>
    </row>
    <row r="30" spans="1:30" s="224" customFormat="1" ht="13.5" customHeight="1">
      <c r="A30" s="225">
        <v>22</v>
      </c>
      <c r="B30" s="217" t="s">
        <v>1032</v>
      </c>
      <c r="C30" s="216"/>
      <c r="D30" s="217"/>
      <c r="E30" s="217"/>
      <c r="F30" s="217"/>
      <c r="G30" s="217"/>
      <c r="H30" s="504" t="s">
        <v>1033</v>
      </c>
      <c r="I30" s="503"/>
      <c r="J30" s="504" t="s">
        <v>1034</v>
      </c>
      <c r="K30" s="503" t="s">
        <v>1035</v>
      </c>
      <c r="L30" s="504"/>
      <c r="M30" s="504"/>
      <c r="N30" s="504"/>
      <c r="O30" s="504"/>
      <c r="P30" s="505"/>
      <c r="Q30" s="504" t="s">
        <v>820</v>
      </c>
      <c r="R30" s="504" t="s">
        <v>864</v>
      </c>
      <c r="S30" s="243" t="s">
        <v>1035</v>
      </c>
      <c r="T30" s="281"/>
      <c r="U30" s="504"/>
      <c r="V30" s="507" t="s">
        <v>864</v>
      </c>
      <c r="W30" s="507" t="s">
        <v>864</v>
      </c>
      <c r="X30" s="232"/>
      <c r="Y30" s="513"/>
      <c r="Z30" s="504"/>
      <c r="AA30" s="508"/>
      <c r="AB30" s="504"/>
      <c r="AC30" s="506">
        <v>1</v>
      </c>
      <c r="AD30" s="506">
        <v>1</v>
      </c>
    </row>
    <row r="31" spans="1:30" s="224" customFormat="1" ht="13.5" customHeight="1">
      <c r="A31" s="225">
        <v>23</v>
      </c>
      <c r="B31" s="217"/>
      <c r="C31" s="217" t="s">
        <v>1036</v>
      </c>
      <c r="D31" s="217"/>
      <c r="E31" s="217"/>
      <c r="F31" s="217"/>
      <c r="G31" s="217"/>
      <c r="H31" s="504" t="s">
        <v>1037</v>
      </c>
      <c r="I31" s="503" t="s">
        <v>1038</v>
      </c>
      <c r="J31" s="504" t="s">
        <v>1039</v>
      </c>
      <c r="K31" s="503"/>
      <c r="L31" s="504"/>
      <c r="M31" s="504"/>
      <c r="N31" s="504"/>
      <c r="O31" s="504"/>
      <c r="P31" s="505"/>
      <c r="Q31" s="504" t="s">
        <v>820</v>
      </c>
      <c r="R31" s="504"/>
      <c r="S31" s="504" t="s">
        <v>863</v>
      </c>
      <c r="T31" s="506"/>
      <c r="U31" s="504"/>
      <c r="V31" s="507" t="s">
        <v>864</v>
      </c>
      <c r="W31" s="507" t="s">
        <v>864</v>
      </c>
      <c r="X31" s="232"/>
      <c r="Y31" s="513"/>
      <c r="Z31" s="504"/>
      <c r="AA31" s="508"/>
      <c r="AB31" s="504"/>
      <c r="AC31" s="506">
        <v>1</v>
      </c>
      <c r="AD31" s="506">
        <v>1</v>
      </c>
    </row>
    <row r="32" spans="1:30" s="249" customFormat="1" ht="13.5" customHeight="1">
      <c r="A32" s="225">
        <v>24</v>
      </c>
      <c r="B32" s="217"/>
      <c r="C32" s="219" t="s">
        <v>1040</v>
      </c>
      <c r="D32" s="219"/>
      <c r="E32" s="220"/>
      <c r="F32" s="220"/>
      <c r="G32" s="220"/>
      <c r="H32" s="504" t="s">
        <v>1041</v>
      </c>
      <c r="I32" s="503" t="s">
        <v>1042</v>
      </c>
      <c r="J32" s="504" t="s">
        <v>1043</v>
      </c>
      <c r="K32" s="503"/>
      <c r="L32" s="504"/>
      <c r="M32" s="504"/>
      <c r="N32" s="504"/>
      <c r="O32" s="504"/>
      <c r="P32" s="252"/>
      <c r="Q32" s="504" t="s">
        <v>817</v>
      </c>
      <c r="R32" s="504"/>
      <c r="S32" s="504" t="s">
        <v>863</v>
      </c>
      <c r="T32" s="506"/>
      <c r="U32" s="504"/>
      <c r="V32" s="507" t="s">
        <v>864</v>
      </c>
      <c r="W32" s="507" t="s">
        <v>864</v>
      </c>
      <c r="X32" s="232"/>
      <c r="Y32" s="513"/>
      <c r="Z32" s="504"/>
      <c r="AA32" s="508"/>
      <c r="AB32" s="504"/>
      <c r="AC32" s="506">
        <v>1</v>
      </c>
      <c r="AD32" s="506"/>
    </row>
    <row r="33" spans="1:30" s="224" customFormat="1" ht="13.5" customHeight="1">
      <c r="A33" s="225">
        <v>25</v>
      </c>
      <c r="B33" s="217"/>
      <c r="C33" s="217" t="s">
        <v>1044</v>
      </c>
      <c r="D33" s="217"/>
      <c r="E33" s="217"/>
      <c r="F33" s="217"/>
      <c r="G33" s="217"/>
      <c r="H33" s="263" t="s">
        <v>1045</v>
      </c>
      <c r="I33" s="503" t="s">
        <v>1046</v>
      </c>
      <c r="J33" s="504" t="s">
        <v>871</v>
      </c>
      <c r="K33" s="503"/>
      <c r="L33" s="504" t="s">
        <v>1047</v>
      </c>
      <c r="M33" s="504" t="s">
        <v>1048</v>
      </c>
      <c r="N33" s="504"/>
      <c r="O33" s="504"/>
      <c r="P33" s="252"/>
      <c r="Q33" s="504" t="s">
        <v>817</v>
      </c>
      <c r="R33" s="504"/>
      <c r="S33" s="504" t="s">
        <v>863</v>
      </c>
      <c r="T33" s="506"/>
      <c r="U33" s="504"/>
      <c r="V33" s="507" t="s">
        <v>864</v>
      </c>
      <c r="W33" s="507" t="s">
        <v>864</v>
      </c>
      <c r="X33" s="232"/>
      <c r="Y33" s="513"/>
      <c r="Z33" s="504"/>
      <c r="AA33" s="508"/>
      <c r="AB33" s="504"/>
      <c r="AC33" s="506">
        <v>1</v>
      </c>
      <c r="AD33" s="506">
        <v>1</v>
      </c>
    </row>
    <row r="34" spans="1:30" s="224" customFormat="1" ht="13.5" customHeight="1">
      <c r="A34" s="225">
        <v>110</v>
      </c>
      <c r="B34" s="217"/>
      <c r="C34" s="241" t="s">
        <v>1049</v>
      </c>
      <c r="D34" s="221"/>
      <c r="E34" s="221"/>
      <c r="F34" s="221"/>
      <c r="G34" s="221"/>
      <c r="H34" s="504" t="s">
        <v>1050</v>
      </c>
      <c r="I34" s="514"/>
      <c r="J34" s="504"/>
      <c r="K34" s="501" t="s">
        <v>1051</v>
      </c>
      <c r="L34" s="504"/>
      <c r="M34" s="504"/>
      <c r="N34" s="504"/>
      <c r="O34" s="504"/>
      <c r="P34" s="505"/>
      <c r="Q34" s="504" t="s">
        <v>823</v>
      </c>
      <c r="R34" s="504" t="s">
        <v>864</v>
      </c>
      <c r="S34" s="502" t="s">
        <v>1051</v>
      </c>
      <c r="T34" s="506"/>
      <c r="U34" s="506"/>
      <c r="V34" s="375" t="s">
        <v>864</v>
      </c>
      <c r="W34" s="260" t="s">
        <v>864</v>
      </c>
      <c r="X34" s="232"/>
      <c r="Y34" s="513"/>
      <c r="Z34" s="504"/>
      <c r="AA34" s="508"/>
      <c r="AB34" s="504"/>
      <c r="AC34" s="506"/>
      <c r="AD34" s="506">
        <v>1</v>
      </c>
    </row>
    <row r="35" spans="1:30" s="224" customFormat="1" ht="13.5" customHeight="1">
      <c r="A35" s="225">
        <v>111</v>
      </c>
      <c r="B35" s="217"/>
      <c r="C35" s="241"/>
      <c r="D35" s="241" t="s">
        <v>1052</v>
      </c>
      <c r="E35" s="241"/>
      <c r="F35" s="241"/>
      <c r="G35" s="241"/>
      <c r="H35" s="504" t="s">
        <v>1053</v>
      </c>
      <c r="I35" s="514" t="s">
        <v>1054</v>
      </c>
      <c r="J35" s="504"/>
      <c r="K35" s="503" t="s">
        <v>908</v>
      </c>
      <c r="L35" s="504"/>
      <c r="M35" s="504"/>
      <c r="N35" s="504"/>
      <c r="O35" s="504"/>
      <c r="P35" s="505"/>
      <c r="Q35" s="504" t="s">
        <v>820</v>
      </c>
      <c r="R35" s="504"/>
      <c r="S35" s="504" t="s">
        <v>863</v>
      </c>
      <c r="T35" s="506" t="s">
        <v>864</v>
      </c>
      <c r="U35" s="503" t="s">
        <v>1055</v>
      </c>
      <c r="V35" s="375" t="s">
        <v>864</v>
      </c>
      <c r="W35" s="260" t="s">
        <v>864</v>
      </c>
      <c r="X35" s="232"/>
      <c r="Y35" s="266" t="s">
        <v>1056</v>
      </c>
      <c r="Z35" s="504" t="s">
        <v>1057</v>
      </c>
      <c r="AA35" s="245"/>
      <c r="AB35" s="504"/>
      <c r="AC35" s="506"/>
      <c r="AD35" s="506">
        <v>1</v>
      </c>
    </row>
    <row r="36" spans="1:30" s="224" customFormat="1" ht="13.5" customHeight="1">
      <c r="A36" s="225">
        <v>112</v>
      </c>
      <c r="B36" s="217"/>
      <c r="C36" s="241"/>
      <c r="D36" s="241" t="s">
        <v>1058</v>
      </c>
      <c r="E36" s="241"/>
      <c r="F36" s="241"/>
      <c r="G36" s="241"/>
      <c r="H36" s="504" t="s">
        <v>1059</v>
      </c>
      <c r="I36" s="514" t="s">
        <v>1060</v>
      </c>
      <c r="J36" s="504"/>
      <c r="K36" s="503" t="s">
        <v>1061</v>
      </c>
      <c r="L36" s="504"/>
      <c r="M36" s="504"/>
      <c r="N36" s="504"/>
      <c r="O36" s="504"/>
      <c r="P36" s="505"/>
      <c r="Q36" s="504" t="s">
        <v>820</v>
      </c>
      <c r="R36" s="504"/>
      <c r="S36" s="504" t="s">
        <v>863</v>
      </c>
      <c r="T36" s="506"/>
      <c r="U36" s="506"/>
      <c r="V36" s="375" t="s">
        <v>864</v>
      </c>
      <c r="W36" s="260" t="s">
        <v>864</v>
      </c>
      <c r="X36" s="232"/>
      <c r="Y36" s="513"/>
      <c r="Z36" s="504"/>
      <c r="AA36" s="245"/>
      <c r="AB36" s="504"/>
      <c r="AC36" s="506"/>
      <c r="AD36" s="506">
        <v>1</v>
      </c>
    </row>
    <row r="37" spans="1:30" s="224" customFormat="1" ht="13.5" customHeight="1">
      <c r="A37" s="225">
        <v>26</v>
      </c>
      <c r="B37" s="217"/>
      <c r="C37" s="217" t="s">
        <v>1062</v>
      </c>
      <c r="D37" s="221"/>
      <c r="E37" s="221"/>
      <c r="F37" s="221"/>
      <c r="G37" s="221"/>
      <c r="H37" s="504"/>
      <c r="I37" s="503"/>
      <c r="J37" s="504"/>
      <c r="K37" s="503" t="s">
        <v>1063</v>
      </c>
      <c r="L37" s="504"/>
      <c r="M37" s="504"/>
      <c r="N37" s="504"/>
      <c r="O37" s="504"/>
      <c r="P37" s="505"/>
      <c r="Q37" s="504" t="s">
        <v>817</v>
      </c>
      <c r="R37" s="504" t="s">
        <v>864</v>
      </c>
      <c r="S37" s="243" t="s">
        <v>1063</v>
      </c>
      <c r="T37" s="506"/>
      <c r="U37" s="504"/>
      <c r="V37" s="507" t="s">
        <v>864</v>
      </c>
      <c r="W37" s="507" t="s">
        <v>864</v>
      </c>
      <c r="X37" s="232"/>
      <c r="Y37" s="513"/>
      <c r="Z37" s="504"/>
      <c r="AA37" s="508"/>
      <c r="AB37" s="504"/>
      <c r="AC37" s="506">
        <v>1</v>
      </c>
      <c r="AD37" s="506">
        <v>1</v>
      </c>
    </row>
    <row r="38" spans="1:30" s="224" customFormat="1" ht="13.5" customHeight="1">
      <c r="A38" s="225">
        <v>27</v>
      </c>
      <c r="B38" s="217"/>
      <c r="C38" s="217"/>
      <c r="D38" s="512" t="s">
        <v>1064</v>
      </c>
      <c r="E38" s="253"/>
      <c r="F38" s="239"/>
      <c r="G38" s="239"/>
      <c r="H38" s="504" t="s">
        <v>1065</v>
      </c>
      <c r="I38" s="503" t="s">
        <v>1066</v>
      </c>
      <c r="J38" s="504" t="s">
        <v>1067</v>
      </c>
      <c r="K38" s="503" t="s">
        <v>1068</v>
      </c>
      <c r="L38" s="504"/>
      <c r="M38" s="504"/>
      <c r="N38" s="504"/>
      <c r="O38" s="504"/>
      <c r="P38" s="505"/>
      <c r="Q38" s="504" t="s">
        <v>820</v>
      </c>
      <c r="R38" s="504"/>
      <c r="S38" s="504" t="s">
        <v>863</v>
      </c>
      <c r="T38" s="506"/>
      <c r="U38" s="504" t="s">
        <v>1069</v>
      </c>
      <c r="V38" s="507" t="s">
        <v>864</v>
      </c>
      <c r="W38" s="507" t="s">
        <v>864</v>
      </c>
      <c r="X38" s="232"/>
      <c r="Y38" s="513"/>
      <c r="Z38" s="504"/>
      <c r="AA38" s="508"/>
      <c r="AB38" s="504"/>
      <c r="AC38" s="506">
        <v>1</v>
      </c>
      <c r="AD38" s="506">
        <v>1</v>
      </c>
    </row>
    <row r="39" spans="1:30" s="254" customFormat="1" ht="13.5" customHeight="1">
      <c r="A39" s="225">
        <v>28</v>
      </c>
      <c r="B39" s="217"/>
      <c r="C39" s="222"/>
      <c r="D39" s="512" t="s">
        <v>1070</v>
      </c>
      <c r="E39" s="221"/>
      <c r="F39" s="221"/>
      <c r="G39" s="221"/>
      <c r="H39" s="504" t="s">
        <v>1071</v>
      </c>
      <c r="I39" s="503" t="s">
        <v>1072</v>
      </c>
      <c r="J39" s="504"/>
      <c r="K39" s="503" t="s">
        <v>1073</v>
      </c>
      <c r="L39" s="504" t="s">
        <v>1074</v>
      </c>
      <c r="M39" s="504" t="s">
        <v>254</v>
      </c>
      <c r="N39" s="504"/>
      <c r="O39" s="504"/>
      <c r="P39" s="505"/>
      <c r="Q39" s="504" t="s">
        <v>817</v>
      </c>
      <c r="R39" s="504"/>
      <c r="S39" s="504" t="s">
        <v>863</v>
      </c>
      <c r="T39" s="506"/>
      <c r="U39" s="504"/>
      <c r="V39" s="507" t="s">
        <v>864</v>
      </c>
      <c r="W39" s="507" t="s">
        <v>864</v>
      </c>
      <c r="X39" s="232"/>
      <c r="Y39" s="513"/>
      <c r="Z39" s="504"/>
      <c r="AA39" s="508"/>
      <c r="AB39" s="504"/>
      <c r="AC39" s="506">
        <v>1</v>
      </c>
      <c r="AD39" s="506">
        <v>1</v>
      </c>
    </row>
    <row r="40" spans="1:30" s="254" customFormat="1" ht="13.5" customHeight="1">
      <c r="A40" s="225">
        <v>29</v>
      </c>
      <c r="B40" s="217"/>
      <c r="C40" s="222"/>
      <c r="D40" s="512" t="s">
        <v>1075</v>
      </c>
      <c r="E40" s="221"/>
      <c r="F40" s="221"/>
      <c r="G40" s="221"/>
      <c r="H40" s="504"/>
      <c r="I40" s="503"/>
      <c r="J40" s="504"/>
      <c r="K40" s="503" t="s">
        <v>1076</v>
      </c>
      <c r="L40" s="504" t="s">
        <v>1077</v>
      </c>
      <c r="M40" s="504" t="s">
        <v>1078</v>
      </c>
      <c r="N40" s="504"/>
      <c r="O40" s="504"/>
      <c r="P40" s="505"/>
      <c r="Q40" s="504" t="s">
        <v>817</v>
      </c>
      <c r="R40" s="504" t="s">
        <v>864</v>
      </c>
      <c r="S40" s="243" t="s">
        <v>1076</v>
      </c>
      <c r="T40" s="506"/>
      <c r="U40" s="504"/>
      <c r="V40" s="507" t="s">
        <v>864</v>
      </c>
      <c r="W40" s="507" t="s">
        <v>864</v>
      </c>
      <c r="X40" s="232"/>
      <c r="Y40" s="513"/>
      <c r="Z40" s="504"/>
      <c r="AA40" s="508"/>
      <c r="AB40" s="504"/>
      <c r="AC40" s="506">
        <v>1</v>
      </c>
      <c r="AD40" s="506">
        <v>1</v>
      </c>
    </row>
    <row r="41" spans="1:30" s="254" customFormat="1" ht="13.5" customHeight="1">
      <c r="A41" s="225">
        <v>30</v>
      </c>
      <c r="B41" s="217"/>
      <c r="C41" s="222"/>
      <c r="D41" s="241"/>
      <c r="E41" s="241" t="s">
        <v>1079</v>
      </c>
      <c r="F41" s="241"/>
      <c r="G41" s="241"/>
      <c r="H41" s="504" t="s">
        <v>1080</v>
      </c>
      <c r="I41" s="503" t="s">
        <v>1081</v>
      </c>
      <c r="J41" s="504"/>
      <c r="K41" s="503" t="s">
        <v>1068</v>
      </c>
      <c r="L41" s="504"/>
      <c r="M41" s="504"/>
      <c r="N41" s="504"/>
      <c r="O41" s="504"/>
      <c r="P41" s="505"/>
      <c r="Q41" s="504" t="s">
        <v>820</v>
      </c>
      <c r="R41" s="504"/>
      <c r="S41" s="504" t="s">
        <v>863</v>
      </c>
      <c r="T41" s="506"/>
      <c r="U41" s="504" t="s">
        <v>1082</v>
      </c>
      <c r="V41" s="507" t="s">
        <v>864</v>
      </c>
      <c r="W41" s="507" t="s">
        <v>864</v>
      </c>
      <c r="X41" s="232"/>
      <c r="Y41" s="513"/>
      <c r="Z41" s="504"/>
      <c r="AA41" s="508"/>
      <c r="AB41" s="504"/>
      <c r="AC41" s="506">
        <v>1</v>
      </c>
      <c r="AD41" s="506">
        <v>1</v>
      </c>
    </row>
    <row r="42" spans="1:30" s="224" customFormat="1" ht="13.5" customHeight="1">
      <c r="A42" s="225">
        <v>31</v>
      </c>
      <c r="B42" s="217"/>
      <c r="C42" s="217"/>
      <c r="D42" s="241"/>
      <c r="E42" s="241" t="s">
        <v>1083</v>
      </c>
      <c r="F42" s="241"/>
      <c r="G42" s="241"/>
      <c r="H42" s="504"/>
      <c r="I42" s="503" t="s">
        <v>1084</v>
      </c>
      <c r="J42" s="504"/>
      <c r="K42" s="503" t="s">
        <v>999</v>
      </c>
      <c r="L42" s="504"/>
      <c r="M42" s="504"/>
      <c r="N42" s="504"/>
      <c r="O42" s="504"/>
      <c r="P42" s="505"/>
      <c r="Q42" s="504" t="s">
        <v>817</v>
      </c>
      <c r="R42" s="504"/>
      <c r="S42" s="504" t="s">
        <v>863</v>
      </c>
      <c r="T42" s="506"/>
      <c r="U42" s="504"/>
      <c r="V42" s="507" t="s">
        <v>864</v>
      </c>
      <c r="W42" s="507" t="s">
        <v>864</v>
      </c>
      <c r="X42" s="232"/>
      <c r="Y42" s="513"/>
      <c r="Z42" s="504"/>
      <c r="AA42" s="508"/>
      <c r="AB42" s="504"/>
      <c r="AC42" s="506">
        <v>1</v>
      </c>
      <c r="AD42" s="506">
        <v>1</v>
      </c>
    </row>
    <row r="43" spans="1:30" s="224" customFormat="1" ht="13.5" customHeight="1">
      <c r="A43" s="225">
        <v>32</v>
      </c>
      <c r="B43" s="217"/>
      <c r="C43" s="217"/>
      <c r="D43" s="241"/>
      <c r="E43" s="241" t="s">
        <v>1085</v>
      </c>
      <c r="F43" s="241"/>
      <c r="G43" s="241"/>
      <c r="H43" s="504"/>
      <c r="I43" s="503" t="s">
        <v>1086</v>
      </c>
      <c r="J43" s="504"/>
      <c r="K43" s="503" t="s">
        <v>871</v>
      </c>
      <c r="L43" s="504"/>
      <c r="M43" s="504"/>
      <c r="N43" s="504"/>
      <c r="O43" s="504"/>
      <c r="P43" s="505"/>
      <c r="Q43" s="504" t="s">
        <v>817</v>
      </c>
      <c r="R43" s="504"/>
      <c r="S43" s="504" t="s">
        <v>863</v>
      </c>
      <c r="T43" s="506"/>
      <c r="U43" s="504"/>
      <c r="V43" s="507" t="s">
        <v>864</v>
      </c>
      <c r="W43" s="507" t="s">
        <v>864</v>
      </c>
      <c r="X43" s="232"/>
      <c r="Y43" s="513"/>
      <c r="Z43" s="504"/>
      <c r="AA43" s="508"/>
      <c r="AB43" s="504"/>
      <c r="AC43" s="506">
        <v>1</v>
      </c>
      <c r="AD43" s="506">
        <v>1</v>
      </c>
    </row>
    <row r="44" spans="1:30" s="224" customFormat="1" ht="13.5" customHeight="1">
      <c r="A44" s="225">
        <v>33</v>
      </c>
      <c r="B44" s="217"/>
      <c r="C44" s="217" t="s">
        <v>1087</v>
      </c>
      <c r="D44" s="221"/>
      <c r="E44" s="221"/>
      <c r="F44" s="221"/>
      <c r="G44" s="221"/>
      <c r="H44" s="504"/>
      <c r="I44" s="503"/>
      <c r="J44" s="504"/>
      <c r="K44" s="503" t="s">
        <v>1088</v>
      </c>
      <c r="L44" s="504"/>
      <c r="M44" s="504"/>
      <c r="N44" s="504"/>
      <c r="O44" s="504"/>
      <c r="P44" s="505"/>
      <c r="Q44" s="504" t="s">
        <v>817</v>
      </c>
      <c r="R44" s="504" t="s">
        <v>864</v>
      </c>
      <c r="S44" s="243" t="s">
        <v>1088</v>
      </c>
      <c r="T44" s="506"/>
      <c r="U44" s="504"/>
      <c r="V44" s="507" t="s">
        <v>864</v>
      </c>
      <c r="W44" s="507" t="s">
        <v>864</v>
      </c>
      <c r="X44" s="232"/>
      <c r="Y44" s="513"/>
      <c r="Z44" s="504"/>
      <c r="AA44" s="508"/>
      <c r="AB44" s="504"/>
      <c r="AC44" s="506"/>
      <c r="AD44" s="506">
        <v>1</v>
      </c>
    </row>
    <row r="45" spans="1:30" s="231" customFormat="1" ht="13.5" customHeight="1">
      <c r="A45" s="225">
        <v>34</v>
      </c>
      <c r="B45" s="217"/>
      <c r="C45" s="217"/>
      <c r="D45" s="241" t="s">
        <v>388</v>
      </c>
      <c r="E45" s="217"/>
      <c r="F45" s="217"/>
      <c r="G45" s="217"/>
      <c r="H45" s="504" t="s">
        <v>1089</v>
      </c>
      <c r="I45" s="503" t="s">
        <v>1090</v>
      </c>
      <c r="J45" s="504" t="s">
        <v>1088</v>
      </c>
      <c r="K45" s="503" t="s">
        <v>871</v>
      </c>
      <c r="L45" s="504" t="s">
        <v>1091</v>
      </c>
      <c r="M45" s="504" t="s">
        <v>388</v>
      </c>
      <c r="N45" s="504"/>
      <c r="O45" s="504"/>
      <c r="P45" s="252"/>
      <c r="Q45" s="504" t="s">
        <v>817</v>
      </c>
      <c r="R45" s="504"/>
      <c r="S45" s="504" t="s">
        <v>863</v>
      </c>
      <c r="T45" s="506"/>
      <c r="U45" s="504"/>
      <c r="V45" s="507" t="s">
        <v>864</v>
      </c>
      <c r="W45" s="507" t="s">
        <v>864</v>
      </c>
      <c r="X45" s="232"/>
      <c r="Y45" s="513"/>
      <c r="Z45" s="255"/>
      <c r="AA45" s="245" t="s">
        <v>1092</v>
      </c>
      <c r="AB45" s="504"/>
      <c r="AC45" s="506">
        <v>1</v>
      </c>
      <c r="AD45" s="506">
        <v>1</v>
      </c>
    </row>
    <row r="46" spans="1:30" s="224" customFormat="1" ht="13.5" customHeight="1">
      <c r="A46" s="225">
        <v>35</v>
      </c>
      <c r="B46" s="217"/>
      <c r="C46" s="217"/>
      <c r="D46" s="241" t="s">
        <v>392</v>
      </c>
      <c r="E46" s="217"/>
      <c r="F46" s="217"/>
      <c r="G46" s="217"/>
      <c r="H46" s="504" t="s">
        <v>1093</v>
      </c>
      <c r="I46" s="503">
        <v>59350</v>
      </c>
      <c r="J46" s="504" t="s">
        <v>1094</v>
      </c>
      <c r="K46" s="503" t="s">
        <v>1095</v>
      </c>
      <c r="L46" s="504" t="s">
        <v>1096</v>
      </c>
      <c r="M46" s="504" t="s">
        <v>392</v>
      </c>
      <c r="N46" s="504"/>
      <c r="O46" s="504"/>
      <c r="P46" s="252"/>
      <c r="Q46" s="504" t="s">
        <v>817</v>
      </c>
      <c r="R46" s="504"/>
      <c r="S46" s="504" t="s">
        <v>863</v>
      </c>
      <c r="T46" s="506"/>
      <c r="U46" s="504" t="s">
        <v>1097</v>
      </c>
      <c r="V46" s="507" t="s">
        <v>864</v>
      </c>
      <c r="W46" s="507" t="s">
        <v>864</v>
      </c>
      <c r="X46" s="232"/>
      <c r="Y46" s="513"/>
      <c r="Z46" s="504"/>
      <c r="AA46" s="508"/>
      <c r="AB46" s="504"/>
      <c r="AC46" s="506">
        <v>1</v>
      </c>
      <c r="AD46" s="506">
        <v>1</v>
      </c>
    </row>
    <row r="47" spans="1:30" s="224" customFormat="1" ht="13.5" customHeight="1">
      <c r="A47" s="225">
        <v>36</v>
      </c>
      <c r="B47" s="217"/>
      <c r="C47" s="217"/>
      <c r="D47" s="241" t="s">
        <v>1098</v>
      </c>
      <c r="E47" s="241"/>
      <c r="F47" s="241"/>
      <c r="G47" s="241"/>
      <c r="H47" s="263" t="s">
        <v>1099</v>
      </c>
      <c r="I47" s="503" t="s">
        <v>1100</v>
      </c>
      <c r="J47" s="504"/>
      <c r="K47" s="503" t="s">
        <v>1101</v>
      </c>
      <c r="L47" s="504"/>
      <c r="M47" s="504"/>
      <c r="N47" s="504"/>
      <c r="O47" s="504"/>
      <c r="P47" s="505"/>
      <c r="Q47" s="504" t="s">
        <v>817</v>
      </c>
      <c r="R47" s="504"/>
      <c r="S47" s="515" t="s">
        <v>863</v>
      </c>
      <c r="T47" s="282"/>
      <c r="U47" s="504"/>
      <c r="V47" s="507" t="s">
        <v>864</v>
      </c>
      <c r="W47" s="507" t="s">
        <v>864</v>
      </c>
      <c r="X47" s="232"/>
      <c r="Y47" s="513"/>
      <c r="Z47" s="504"/>
      <c r="AA47" s="508"/>
      <c r="AB47" s="504"/>
      <c r="AC47" s="506"/>
      <c r="AD47" s="506">
        <v>1</v>
      </c>
    </row>
    <row r="48" spans="1:30" s="256" customFormat="1" ht="12.75" customHeight="1">
      <c r="A48" s="225">
        <v>37</v>
      </c>
      <c r="B48" s="217"/>
      <c r="C48" s="217" t="s">
        <v>1102</v>
      </c>
      <c r="D48" s="221"/>
      <c r="E48" s="221"/>
      <c r="F48" s="221"/>
      <c r="G48" s="221"/>
      <c r="H48" s="504" t="s">
        <v>1103</v>
      </c>
      <c r="I48" s="503"/>
      <c r="J48" s="504"/>
      <c r="K48" s="503" t="s">
        <v>1104</v>
      </c>
      <c r="L48" s="504"/>
      <c r="M48" s="504"/>
      <c r="N48" s="504"/>
      <c r="O48" s="504"/>
      <c r="P48" s="505"/>
      <c r="Q48" s="504" t="s">
        <v>817</v>
      </c>
      <c r="R48" s="504" t="s">
        <v>864</v>
      </c>
      <c r="S48" s="243" t="s">
        <v>1104</v>
      </c>
      <c r="T48" s="506"/>
      <c r="U48" s="504"/>
      <c r="V48" s="507" t="s">
        <v>864</v>
      </c>
      <c r="W48" s="507" t="s">
        <v>864</v>
      </c>
      <c r="X48" s="232"/>
      <c r="Y48" s="513"/>
      <c r="Z48" s="504"/>
      <c r="AA48" s="508"/>
      <c r="AB48" s="504"/>
      <c r="AC48" s="506">
        <v>1</v>
      </c>
      <c r="AD48" s="506">
        <v>1</v>
      </c>
    </row>
    <row r="49" spans="1:30" s="256" customFormat="1" ht="12.75" customHeight="1">
      <c r="A49" s="225">
        <v>38</v>
      </c>
      <c r="B49" s="217"/>
      <c r="C49" s="217"/>
      <c r="D49" s="512" t="s">
        <v>415</v>
      </c>
      <c r="E49" s="221"/>
      <c r="F49" s="221"/>
      <c r="G49" s="221"/>
      <c r="H49" s="504" t="s">
        <v>1105</v>
      </c>
      <c r="I49" s="503" t="s">
        <v>1106</v>
      </c>
      <c r="J49" s="504"/>
      <c r="K49" s="503" t="s">
        <v>1107</v>
      </c>
      <c r="L49" s="504" t="s">
        <v>1108</v>
      </c>
      <c r="M49" s="504" t="s">
        <v>415</v>
      </c>
      <c r="N49" s="504"/>
      <c r="O49" s="504"/>
      <c r="P49" s="505"/>
      <c r="Q49" s="504" t="s">
        <v>817</v>
      </c>
      <c r="R49" s="504"/>
      <c r="S49" s="515" t="s">
        <v>863</v>
      </c>
      <c r="T49" s="282"/>
      <c r="U49" s="504"/>
      <c r="V49" s="507" t="s">
        <v>864</v>
      </c>
      <c r="W49" s="507" t="s">
        <v>864</v>
      </c>
      <c r="X49" s="232"/>
      <c r="Y49" s="513"/>
      <c r="Z49" s="504"/>
      <c r="AA49" s="508"/>
      <c r="AB49" s="504"/>
      <c r="AC49" s="506">
        <v>1</v>
      </c>
      <c r="AD49" s="506">
        <v>1</v>
      </c>
    </row>
    <row r="50" spans="1:30" s="256" customFormat="1" ht="12.75" customHeight="1">
      <c r="A50" s="225">
        <v>39</v>
      </c>
      <c r="B50" s="217"/>
      <c r="C50" s="217"/>
      <c r="D50" s="512" t="s">
        <v>1109</v>
      </c>
      <c r="E50" s="221"/>
      <c r="F50" s="221"/>
      <c r="G50" s="221"/>
      <c r="H50" s="504" t="s">
        <v>1110</v>
      </c>
      <c r="I50" s="503" t="s">
        <v>1111</v>
      </c>
      <c r="J50" s="504"/>
      <c r="K50" s="503" t="s">
        <v>1112</v>
      </c>
      <c r="L50" s="504" t="s">
        <v>1113</v>
      </c>
      <c r="M50" s="504" t="s">
        <v>424</v>
      </c>
      <c r="N50" s="504"/>
      <c r="O50" s="504"/>
      <c r="P50" s="505"/>
      <c r="Q50" s="504" t="s">
        <v>817</v>
      </c>
      <c r="R50" s="504"/>
      <c r="S50" s="515" t="s">
        <v>863</v>
      </c>
      <c r="T50" s="282"/>
      <c r="U50" s="504"/>
      <c r="V50" s="507" t="s">
        <v>864</v>
      </c>
      <c r="W50" s="507" t="s">
        <v>864</v>
      </c>
      <c r="X50" s="232"/>
      <c r="Y50" s="513"/>
      <c r="Z50" s="504"/>
      <c r="AA50" s="508"/>
      <c r="AB50" s="504"/>
      <c r="AC50" s="506">
        <v>1</v>
      </c>
      <c r="AD50" s="506">
        <v>1</v>
      </c>
    </row>
    <row r="51" spans="1:30" s="244" customFormat="1" ht="12.75" customHeight="1">
      <c r="A51" s="225">
        <v>40</v>
      </c>
      <c r="B51" s="217"/>
      <c r="C51" s="222"/>
      <c r="D51" s="512" t="s">
        <v>429</v>
      </c>
      <c r="E51" s="221"/>
      <c r="F51" s="221"/>
      <c r="G51" s="221"/>
      <c r="H51" s="504" t="s">
        <v>1114</v>
      </c>
      <c r="I51" s="503" t="s">
        <v>1115</v>
      </c>
      <c r="J51" s="504"/>
      <c r="K51" s="503" t="s">
        <v>1116</v>
      </c>
      <c r="L51" s="504"/>
      <c r="M51" s="504"/>
      <c r="N51" s="504"/>
      <c r="O51" s="504"/>
      <c r="P51" s="505"/>
      <c r="Q51" s="504" t="s">
        <v>817</v>
      </c>
      <c r="R51" s="504"/>
      <c r="S51" s="515" t="s">
        <v>863</v>
      </c>
      <c r="T51" s="282"/>
      <c r="U51" s="504"/>
      <c r="V51" s="507" t="s">
        <v>864</v>
      </c>
      <c r="W51" s="507" t="s">
        <v>864</v>
      </c>
      <c r="X51" s="232"/>
      <c r="Y51" s="513"/>
      <c r="Z51" s="504"/>
      <c r="AA51" s="508"/>
      <c r="AB51" s="504"/>
      <c r="AC51" s="506">
        <v>1</v>
      </c>
      <c r="AD51" s="506">
        <v>1</v>
      </c>
    </row>
    <row r="52" spans="1:30" s="244" customFormat="1" ht="12.75" customHeight="1">
      <c r="A52" s="225">
        <v>41</v>
      </c>
      <c r="B52" s="217"/>
      <c r="C52" s="222"/>
      <c r="D52" s="512" t="s">
        <v>426</v>
      </c>
      <c r="E52" s="221"/>
      <c r="F52" s="221"/>
      <c r="G52" s="221"/>
      <c r="H52" s="504" t="s">
        <v>1117</v>
      </c>
      <c r="I52" s="503" t="s">
        <v>1118</v>
      </c>
      <c r="J52" s="504"/>
      <c r="K52" s="503" t="s">
        <v>1119</v>
      </c>
      <c r="L52" s="504" t="s">
        <v>1120</v>
      </c>
      <c r="M52" s="504" t="s">
        <v>426</v>
      </c>
      <c r="N52" s="504"/>
      <c r="O52" s="504"/>
      <c r="P52" s="505"/>
      <c r="Q52" s="504" t="s">
        <v>823</v>
      </c>
      <c r="R52" s="504"/>
      <c r="S52" s="515" t="s">
        <v>863</v>
      </c>
      <c r="T52" s="282"/>
      <c r="U52" s="504"/>
      <c r="V52" s="507" t="s">
        <v>864</v>
      </c>
      <c r="W52" s="507" t="s">
        <v>864</v>
      </c>
      <c r="X52" s="232"/>
      <c r="Y52" s="513"/>
      <c r="Z52" s="504"/>
      <c r="AA52" s="508"/>
      <c r="AB52" s="504"/>
      <c r="AC52" s="506">
        <v>1</v>
      </c>
      <c r="AD52" s="506">
        <v>1</v>
      </c>
    </row>
    <row r="53" spans="1:30" s="244" customFormat="1" ht="12.75" customHeight="1">
      <c r="A53" s="225">
        <v>42</v>
      </c>
      <c r="B53" s="217"/>
      <c r="C53" s="222"/>
      <c r="D53" s="512" t="s">
        <v>1121</v>
      </c>
      <c r="E53" s="221"/>
      <c r="F53" s="221"/>
      <c r="G53" s="221"/>
      <c r="H53" s="504" t="s">
        <v>1122</v>
      </c>
      <c r="I53" s="503" t="s">
        <v>1123</v>
      </c>
      <c r="J53" s="504"/>
      <c r="K53" s="503" t="s">
        <v>1124</v>
      </c>
      <c r="L53" s="504"/>
      <c r="M53" s="504"/>
      <c r="N53" s="504"/>
      <c r="O53" s="504"/>
      <c r="P53" s="505"/>
      <c r="Q53" s="504" t="s">
        <v>817</v>
      </c>
      <c r="R53" s="504"/>
      <c r="S53" s="515" t="s">
        <v>863</v>
      </c>
      <c r="T53" s="282"/>
      <c r="U53" s="504"/>
      <c r="V53" s="507" t="s">
        <v>864</v>
      </c>
      <c r="W53" s="507" t="s">
        <v>864</v>
      </c>
      <c r="X53" s="232"/>
      <c r="Y53" s="513"/>
      <c r="Z53" s="504"/>
      <c r="AA53" s="508"/>
      <c r="AB53" s="504"/>
      <c r="AC53" s="506">
        <v>1</v>
      </c>
      <c r="AD53" s="506">
        <v>1</v>
      </c>
    </row>
    <row r="54" spans="1:30" s="257" customFormat="1" ht="12.75" customHeight="1">
      <c r="A54" s="225">
        <v>43</v>
      </c>
      <c r="B54" s="217"/>
      <c r="C54" s="222"/>
      <c r="D54" s="512" t="s">
        <v>1125</v>
      </c>
      <c r="E54" s="221"/>
      <c r="F54" s="221"/>
      <c r="G54" s="221"/>
      <c r="H54" s="504" t="s">
        <v>410</v>
      </c>
      <c r="I54" s="503" t="s">
        <v>1126</v>
      </c>
      <c r="J54" s="504"/>
      <c r="K54" s="503" t="s">
        <v>1127</v>
      </c>
      <c r="L54" s="504"/>
      <c r="M54" s="504"/>
      <c r="N54" s="504"/>
      <c r="O54" s="504"/>
      <c r="P54" s="505"/>
      <c r="Q54" s="504" t="s">
        <v>817</v>
      </c>
      <c r="R54" s="504"/>
      <c r="S54" s="515" t="s">
        <v>863</v>
      </c>
      <c r="T54" s="282"/>
      <c r="U54" s="504"/>
      <c r="V54" s="507" t="s">
        <v>864</v>
      </c>
      <c r="W54" s="507" t="s">
        <v>864</v>
      </c>
      <c r="X54" s="232"/>
      <c r="Y54" s="513"/>
      <c r="Z54" s="504"/>
      <c r="AA54" s="508"/>
      <c r="AB54" s="504"/>
      <c r="AC54" s="506">
        <v>1</v>
      </c>
      <c r="AD54" s="506">
        <v>1</v>
      </c>
    </row>
    <row r="55" spans="1:30" s="258" customFormat="1" ht="12.75" customHeight="1">
      <c r="A55" s="225">
        <v>44</v>
      </c>
      <c r="B55" s="217"/>
      <c r="C55" s="218"/>
      <c r="D55" s="512" t="s">
        <v>1128</v>
      </c>
      <c r="E55" s="221"/>
      <c r="F55" s="221"/>
      <c r="G55" s="221"/>
      <c r="H55" s="504"/>
      <c r="I55" s="503" t="s">
        <v>1129</v>
      </c>
      <c r="J55" s="504"/>
      <c r="K55" s="503" t="s">
        <v>1130</v>
      </c>
      <c r="L55" s="504"/>
      <c r="M55" s="504"/>
      <c r="N55" s="504"/>
      <c r="O55" s="504"/>
      <c r="P55" s="505"/>
      <c r="Q55" s="504" t="s">
        <v>817</v>
      </c>
      <c r="R55" s="504"/>
      <c r="S55" s="515" t="s">
        <v>863</v>
      </c>
      <c r="T55" s="282"/>
      <c r="U55" s="504"/>
      <c r="V55" s="507" t="s">
        <v>864</v>
      </c>
      <c r="W55" s="507" t="s">
        <v>864</v>
      </c>
      <c r="X55" s="232"/>
      <c r="Y55" s="513"/>
      <c r="Z55" s="504"/>
      <c r="AA55" s="508"/>
      <c r="AB55" s="504"/>
      <c r="AC55" s="506">
        <v>1</v>
      </c>
      <c r="AD55" s="506">
        <v>1</v>
      </c>
    </row>
    <row r="56" spans="1:30" s="256" customFormat="1" ht="12.95" customHeight="1">
      <c r="A56" s="225">
        <v>45</v>
      </c>
      <c r="B56" s="217"/>
      <c r="C56" s="218"/>
      <c r="D56" s="512" t="s">
        <v>178</v>
      </c>
      <c r="E56" s="221"/>
      <c r="F56" s="221"/>
      <c r="G56" s="221"/>
      <c r="H56" s="504" t="s">
        <v>1131</v>
      </c>
      <c r="I56" s="503" t="s">
        <v>1132</v>
      </c>
      <c r="J56" s="504"/>
      <c r="K56" s="503" t="s">
        <v>1133</v>
      </c>
      <c r="L56" s="504"/>
      <c r="M56" s="504"/>
      <c r="N56" s="504"/>
      <c r="O56" s="504"/>
      <c r="P56" s="505"/>
      <c r="Q56" s="504" t="s">
        <v>817</v>
      </c>
      <c r="R56" s="504"/>
      <c r="S56" s="515" t="s">
        <v>863</v>
      </c>
      <c r="T56" s="282"/>
      <c r="U56" s="504"/>
      <c r="V56" s="507" t="s">
        <v>864</v>
      </c>
      <c r="W56" s="507" t="s">
        <v>864</v>
      </c>
      <c r="X56" s="232"/>
      <c r="Y56" s="513"/>
      <c r="Z56" s="504"/>
      <c r="AA56" s="508"/>
      <c r="AB56" s="504"/>
      <c r="AC56" s="506">
        <v>1</v>
      </c>
      <c r="AD56" s="506">
        <v>1</v>
      </c>
    </row>
    <row r="57" spans="1:30" s="256" customFormat="1" ht="12.95" customHeight="1">
      <c r="A57" s="225">
        <v>46</v>
      </c>
      <c r="B57" s="217"/>
      <c r="C57" s="218"/>
      <c r="D57" s="241" t="s">
        <v>1134</v>
      </c>
      <c r="E57" s="241"/>
      <c r="F57" s="241"/>
      <c r="G57" s="241"/>
      <c r="H57" s="504" t="s">
        <v>1135</v>
      </c>
      <c r="I57" s="503">
        <v>33123452323</v>
      </c>
      <c r="J57" s="504"/>
      <c r="K57" s="503" t="s">
        <v>1136</v>
      </c>
      <c r="L57" s="504"/>
      <c r="M57" s="504"/>
      <c r="N57" s="504"/>
      <c r="O57" s="504"/>
      <c r="P57" s="505"/>
      <c r="Q57" s="504" t="s">
        <v>817</v>
      </c>
      <c r="R57" s="504"/>
      <c r="S57" s="504" t="s">
        <v>1073</v>
      </c>
      <c r="T57" s="506"/>
      <c r="U57" s="504"/>
      <c r="V57" s="507" t="s">
        <v>864</v>
      </c>
      <c r="W57" s="507" t="s">
        <v>864</v>
      </c>
      <c r="X57" s="232"/>
      <c r="Y57" s="513"/>
      <c r="Z57" s="504" t="s">
        <v>1137</v>
      </c>
      <c r="AA57" s="508"/>
      <c r="AB57" s="504"/>
      <c r="AC57" s="506"/>
      <c r="AD57" s="506">
        <v>1</v>
      </c>
    </row>
    <row r="58" spans="1:30" s="224" customFormat="1" ht="13.5" customHeight="1">
      <c r="A58" s="225">
        <v>47</v>
      </c>
      <c r="B58" s="217"/>
      <c r="C58" s="217" t="s">
        <v>1138</v>
      </c>
      <c r="D58" s="217"/>
      <c r="E58" s="217"/>
      <c r="F58" s="217"/>
      <c r="G58" s="217"/>
      <c r="H58" s="504"/>
      <c r="I58" s="503"/>
      <c r="J58" s="504" t="s">
        <v>1139</v>
      </c>
      <c r="K58" s="503" t="s">
        <v>1140</v>
      </c>
      <c r="L58" s="504"/>
      <c r="M58" s="504"/>
      <c r="N58" s="504"/>
      <c r="O58" s="504"/>
      <c r="P58" s="252"/>
      <c r="Q58" s="504" t="s">
        <v>817</v>
      </c>
      <c r="R58" s="504" t="s">
        <v>864</v>
      </c>
      <c r="S58" s="243" t="s">
        <v>1140</v>
      </c>
      <c r="T58" s="506"/>
      <c r="U58" s="504"/>
      <c r="V58" s="507" t="s">
        <v>864</v>
      </c>
      <c r="W58" s="507" t="s">
        <v>864</v>
      </c>
      <c r="X58" s="232"/>
      <c r="Y58" s="513"/>
      <c r="Z58" s="504"/>
      <c r="AA58" s="508"/>
      <c r="AB58" s="504"/>
      <c r="AC58" s="506">
        <v>1</v>
      </c>
      <c r="AD58" s="506"/>
    </row>
    <row r="59" spans="1:30" s="224" customFormat="1" ht="13.5" customHeight="1">
      <c r="A59" s="225">
        <v>48</v>
      </c>
      <c r="B59" s="217"/>
      <c r="C59" s="217"/>
      <c r="D59" s="241" t="s">
        <v>1141</v>
      </c>
      <c r="E59" s="241"/>
      <c r="F59" s="241"/>
      <c r="G59" s="241"/>
      <c r="H59" s="504" t="s">
        <v>1142</v>
      </c>
      <c r="I59" s="503" t="s">
        <v>930</v>
      </c>
      <c r="J59" s="504"/>
      <c r="K59" s="503" t="s">
        <v>1143</v>
      </c>
      <c r="L59" s="504"/>
      <c r="M59" s="504"/>
      <c r="N59" s="504"/>
      <c r="O59" s="504"/>
      <c r="P59" s="505"/>
      <c r="Q59" s="504" t="s">
        <v>820</v>
      </c>
      <c r="R59" s="504"/>
      <c r="S59" s="504" t="s">
        <v>879</v>
      </c>
      <c r="T59" s="506"/>
      <c r="U59" s="504"/>
      <c r="V59" s="507" t="s">
        <v>864</v>
      </c>
      <c r="W59" s="507" t="s">
        <v>864</v>
      </c>
      <c r="X59" s="232"/>
      <c r="Y59" s="513"/>
      <c r="Z59" s="504" t="s">
        <v>1144</v>
      </c>
      <c r="AA59" s="508"/>
      <c r="AB59" s="504"/>
      <c r="AC59" s="506"/>
      <c r="AD59" s="506">
        <v>1</v>
      </c>
    </row>
    <row r="60" spans="1:30" s="224" customFormat="1" ht="13.5" customHeight="1">
      <c r="A60" s="225">
        <v>49</v>
      </c>
      <c r="B60" s="217"/>
      <c r="C60" s="217"/>
      <c r="D60" s="217" t="s">
        <v>1145</v>
      </c>
      <c r="E60" s="217"/>
      <c r="F60" s="217"/>
      <c r="G60" s="217"/>
      <c r="H60" s="504" t="s">
        <v>1146</v>
      </c>
      <c r="I60" s="503"/>
      <c r="J60" s="504" t="s">
        <v>1147</v>
      </c>
      <c r="K60" s="503" t="s">
        <v>1147</v>
      </c>
      <c r="L60" s="504"/>
      <c r="M60" s="504"/>
      <c r="N60" s="504"/>
      <c r="O60" s="504"/>
      <c r="P60" s="252"/>
      <c r="Q60" s="504" t="s">
        <v>817</v>
      </c>
      <c r="R60" s="504" t="s">
        <v>864</v>
      </c>
      <c r="S60" s="243" t="s">
        <v>1147</v>
      </c>
      <c r="T60" s="506"/>
      <c r="U60" s="504"/>
      <c r="V60" s="507" t="s">
        <v>864</v>
      </c>
      <c r="W60" s="507" t="s">
        <v>864</v>
      </c>
      <c r="X60" s="232"/>
      <c r="Y60" s="513"/>
      <c r="Z60" s="504"/>
      <c r="AA60" s="508"/>
      <c r="AB60" s="504"/>
      <c r="AC60" s="506">
        <v>1</v>
      </c>
      <c r="AD60" s="506">
        <v>1</v>
      </c>
    </row>
    <row r="61" spans="1:30" s="224" customFormat="1" ht="13.5" customHeight="1">
      <c r="A61" s="225">
        <v>50</v>
      </c>
      <c r="B61" s="217"/>
      <c r="C61" s="217"/>
      <c r="D61" s="217"/>
      <c r="E61" s="217" t="s">
        <v>1148</v>
      </c>
      <c r="F61" s="217"/>
      <c r="G61" s="217"/>
      <c r="H61" s="504" t="s">
        <v>1149</v>
      </c>
      <c r="I61" s="503"/>
      <c r="J61" s="504" t="s">
        <v>1150</v>
      </c>
      <c r="K61" s="503" t="s">
        <v>1150</v>
      </c>
      <c r="L61" s="504"/>
      <c r="M61" s="504"/>
      <c r="N61" s="504"/>
      <c r="O61" s="504"/>
      <c r="P61" s="252"/>
      <c r="Q61" s="504" t="s">
        <v>820</v>
      </c>
      <c r="R61" s="504" t="s">
        <v>864</v>
      </c>
      <c r="S61" s="243" t="s">
        <v>1150</v>
      </c>
      <c r="T61" s="506"/>
      <c r="U61" s="504"/>
      <c r="V61" s="507" t="s">
        <v>864</v>
      </c>
      <c r="W61" s="507" t="s">
        <v>864</v>
      </c>
      <c r="X61" s="232"/>
      <c r="Y61" s="513"/>
      <c r="Z61" s="504"/>
      <c r="AA61" s="508"/>
      <c r="AB61" s="504"/>
      <c r="AC61" s="506">
        <v>1</v>
      </c>
      <c r="AD61" s="506">
        <v>1</v>
      </c>
    </row>
    <row r="62" spans="1:30" s="224" customFormat="1" ht="13.5" customHeight="1">
      <c r="A62" s="225">
        <v>51</v>
      </c>
      <c r="B62" s="217"/>
      <c r="C62" s="217"/>
      <c r="D62" s="217"/>
      <c r="E62" s="217"/>
      <c r="F62" s="217" t="s">
        <v>1151</v>
      </c>
      <c r="G62" s="217"/>
      <c r="H62" s="504" t="s">
        <v>1152</v>
      </c>
      <c r="I62" s="503" t="s">
        <v>1153</v>
      </c>
      <c r="J62" s="504" t="s">
        <v>1154</v>
      </c>
      <c r="K62" s="503" t="s">
        <v>1154</v>
      </c>
      <c r="L62" s="504"/>
      <c r="M62" s="504"/>
      <c r="N62" s="504"/>
      <c r="O62" s="504"/>
      <c r="P62" s="252"/>
      <c r="Q62" s="504" t="s">
        <v>820</v>
      </c>
      <c r="R62" s="504"/>
      <c r="S62" s="504" t="s">
        <v>1073</v>
      </c>
      <c r="T62" s="506"/>
      <c r="U62" s="504"/>
      <c r="V62" s="507" t="s">
        <v>864</v>
      </c>
      <c r="W62" s="507" t="s">
        <v>864</v>
      </c>
      <c r="X62" s="232"/>
      <c r="Y62" s="504" t="s">
        <v>1155</v>
      </c>
      <c r="Z62" s="504"/>
      <c r="AA62" s="245" t="s">
        <v>1156</v>
      </c>
      <c r="AB62" s="504"/>
      <c r="AC62" s="506">
        <v>1</v>
      </c>
      <c r="AD62" s="506">
        <v>1</v>
      </c>
    </row>
    <row r="63" spans="1:30" s="256" customFormat="1" ht="13.5" customHeight="1">
      <c r="A63" s="225">
        <v>52</v>
      </c>
      <c r="B63" s="217"/>
      <c r="C63" s="217"/>
      <c r="D63" s="217"/>
      <c r="E63" s="217"/>
      <c r="F63" s="217" t="s">
        <v>1157</v>
      </c>
      <c r="G63" s="217"/>
      <c r="H63" s="504" t="s">
        <v>1158</v>
      </c>
      <c r="I63" s="503" t="s">
        <v>1159</v>
      </c>
      <c r="J63" s="504" t="s">
        <v>1160</v>
      </c>
      <c r="K63" s="503" t="s">
        <v>1160</v>
      </c>
      <c r="L63" s="504"/>
      <c r="M63" s="504"/>
      <c r="N63" s="504"/>
      <c r="O63" s="504"/>
      <c r="P63" s="252"/>
      <c r="Q63" s="504" t="s">
        <v>820</v>
      </c>
      <c r="R63" s="504"/>
      <c r="S63" s="504" t="s">
        <v>1073</v>
      </c>
      <c r="T63" s="506"/>
      <c r="U63" s="504"/>
      <c r="V63" s="507" t="s">
        <v>864</v>
      </c>
      <c r="W63" s="507" t="s">
        <v>864</v>
      </c>
      <c r="X63" s="232"/>
      <c r="Y63" s="504" t="s">
        <v>1155</v>
      </c>
      <c r="Z63" s="504"/>
      <c r="AA63" s="245" t="s">
        <v>1156</v>
      </c>
      <c r="AB63" s="504"/>
      <c r="AC63" s="506">
        <v>1</v>
      </c>
      <c r="AD63" s="506">
        <v>1</v>
      </c>
    </row>
    <row r="64" spans="1:30" s="244" customFormat="1" ht="13.5" customHeight="1">
      <c r="A64" s="225">
        <v>53</v>
      </c>
      <c r="B64" s="217"/>
      <c r="C64" s="222"/>
      <c r="D64" s="222"/>
      <c r="E64" s="222"/>
      <c r="F64" s="222" t="s">
        <v>1161</v>
      </c>
      <c r="G64" s="221"/>
      <c r="H64" s="504" t="s">
        <v>1162</v>
      </c>
      <c r="I64" s="503">
        <v>120</v>
      </c>
      <c r="J64" s="504"/>
      <c r="K64" s="504" t="s">
        <v>1163</v>
      </c>
      <c r="L64" s="504"/>
      <c r="M64" s="504"/>
      <c r="N64" s="504"/>
      <c r="O64" s="504"/>
      <c r="P64" s="505"/>
      <c r="Q64" s="504" t="s">
        <v>817</v>
      </c>
      <c r="R64" s="504"/>
      <c r="S64" s="504" t="s">
        <v>1073</v>
      </c>
      <c r="T64" s="506"/>
      <c r="U64" s="504"/>
      <c r="V64" s="507" t="s">
        <v>864</v>
      </c>
      <c r="W64" s="507" t="s">
        <v>864</v>
      </c>
      <c r="X64" s="232"/>
      <c r="Y64" s="504" t="s">
        <v>1164</v>
      </c>
      <c r="Z64" s="504"/>
      <c r="AA64" s="508"/>
      <c r="AB64" s="504"/>
      <c r="AC64" s="506">
        <v>1</v>
      </c>
      <c r="AD64" s="506">
        <v>1</v>
      </c>
    </row>
    <row r="65" spans="1:1014" s="256" customFormat="1" ht="13.5" customHeight="1">
      <c r="A65" s="225">
        <v>54</v>
      </c>
      <c r="B65" s="217"/>
      <c r="C65" s="217"/>
      <c r="D65" s="241"/>
      <c r="E65" s="241"/>
      <c r="F65" s="241" t="s">
        <v>1165</v>
      </c>
      <c r="G65" s="221"/>
      <c r="H65" s="504" t="s">
        <v>1166</v>
      </c>
      <c r="I65" s="503">
        <v>96</v>
      </c>
      <c r="J65" s="504"/>
      <c r="K65" s="504" t="s">
        <v>1167</v>
      </c>
      <c r="L65" s="504"/>
      <c r="M65" s="504"/>
      <c r="N65" s="504"/>
      <c r="O65" s="504"/>
      <c r="P65" s="505"/>
      <c r="Q65" s="504" t="s">
        <v>817</v>
      </c>
      <c r="R65" s="504"/>
      <c r="S65" s="504" t="s">
        <v>1073</v>
      </c>
      <c r="T65" s="506"/>
      <c r="U65" s="504"/>
      <c r="V65" s="507" t="s">
        <v>864</v>
      </c>
      <c r="W65" s="507" t="s">
        <v>864</v>
      </c>
      <c r="X65" s="232"/>
      <c r="Y65" s="504" t="s">
        <v>1168</v>
      </c>
      <c r="Z65" s="504"/>
      <c r="AA65" s="508"/>
      <c r="AB65" s="504"/>
      <c r="AC65" s="506">
        <v>1</v>
      </c>
      <c r="AD65" s="506">
        <v>1</v>
      </c>
    </row>
    <row r="66" spans="1:1014" s="256" customFormat="1" ht="13.5" customHeight="1">
      <c r="A66" s="225">
        <v>55</v>
      </c>
      <c r="B66" s="217"/>
      <c r="C66" s="217"/>
      <c r="D66" s="241"/>
      <c r="E66" s="241"/>
      <c r="F66" s="241" t="s">
        <v>1169</v>
      </c>
      <c r="G66" s="221"/>
      <c r="H66" s="504" t="s">
        <v>1170</v>
      </c>
      <c r="I66" s="503">
        <v>34</v>
      </c>
      <c r="J66" s="504"/>
      <c r="K66" s="504" t="s">
        <v>1171</v>
      </c>
      <c r="L66" s="504"/>
      <c r="M66" s="504"/>
      <c r="N66" s="504"/>
      <c r="O66" s="504"/>
      <c r="P66" s="505"/>
      <c r="Q66" s="504" t="s">
        <v>817</v>
      </c>
      <c r="R66" s="504"/>
      <c r="S66" s="504" t="s">
        <v>1073</v>
      </c>
      <c r="T66" s="506"/>
      <c r="U66" s="504"/>
      <c r="V66" s="507" t="s">
        <v>864</v>
      </c>
      <c r="W66" s="507" t="s">
        <v>864</v>
      </c>
      <c r="X66" s="232"/>
      <c r="Y66" s="504" t="s">
        <v>1172</v>
      </c>
      <c r="Z66" s="504"/>
      <c r="AA66" s="508"/>
      <c r="AB66" s="504"/>
      <c r="AC66" s="506">
        <v>1</v>
      </c>
      <c r="AD66" s="506">
        <v>1</v>
      </c>
    </row>
    <row r="67" spans="1:1014" s="244" customFormat="1" ht="13.5" customHeight="1">
      <c r="A67" s="225">
        <v>56</v>
      </c>
      <c r="B67" s="217"/>
      <c r="C67" s="222"/>
      <c r="D67" s="241"/>
      <c r="E67" s="241"/>
      <c r="F67" s="241" t="s">
        <v>1173</v>
      </c>
      <c r="G67" s="241"/>
      <c r="H67" s="504" t="s">
        <v>1174</v>
      </c>
      <c r="I67" s="503" t="s">
        <v>1175</v>
      </c>
      <c r="J67" s="504"/>
      <c r="K67" s="503" t="s">
        <v>1176</v>
      </c>
      <c r="L67" s="504"/>
      <c r="M67" s="504"/>
      <c r="N67" s="504"/>
      <c r="O67" s="504"/>
      <c r="P67" s="505"/>
      <c r="Q67" s="504" t="s">
        <v>820</v>
      </c>
      <c r="R67" s="504"/>
      <c r="S67" s="504" t="s">
        <v>863</v>
      </c>
      <c r="T67" s="506" t="s">
        <v>864</v>
      </c>
      <c r="U67" s="504" t="s">
        <v>1177</v>
      </c>
      <c r="V67" s="507" t="s">
        <v>864</v>
      </c>
      <c r="W67" s="507" t="s">
        <v>864</v>
      </c>
      <c r="X67" s="232"/>
      <c r="Y67" s="513"/>
      <c r="Z67" s="504"/>
      <c r="AA67" s="508"/>
      <c r="AB67" s="504"/>
      <c r="AC67" s="506"/>
      <c r="AD67" s="506">
        <v>1</v>
      </c>
    </row>
    <row r="68" spans="1:1014" s="256" customFormat="1" ht="13.5" customHeight="1">
      <c r="A68" s="225">
        <v>57</v>
      </c>
      <c r="B68" s="217"/>
      <c r="C68" s="217"/>
      <c r="D68" s="217"/>
      <c r="E68" s="217" t="s">
        <v>1178</v>
      </c>
      <c r="F68" s="217"/>
      <c r="G68" s="217"/>
      <c r="H68" s="504" t="s">
        <v>1179</v>
      </c>
      <c r="I68" s="503" t="s">
        <v>1180</v>
      </c>
      <c r="J68" s="504" t="s">
        <v>1181</v>
      </c>
      <c r="K68" s="503" t="s">
        <v>1182</v>
      </c>
      <c r="L68" s="504"/>
      <c r="M68" s="504"/>
      <c r="N68" s="504"/>
      <c r="O68" s="504"/>
      <c r="P68" s="505">
        <v>1</v>
      </c>
      <c r="Q68" s="504" t="s">
        <v>817</v>
      </c>
      <c r="R68" s="504"/>
      <c r="S68" s="504" t="s">
        <v>863</v>
      </c>
      <c r="T68" s="506"/>
      <c r="U68" s="504"/>
      <c r="V68" s="507" t="s">
        <v>864</v>
      </c>
      <c r="W68" s="507" t="s">
        <v>864</v>
      </c>
      <c r="X68" s="232"/>
      <c r="Y68" s="513"/>
      <c r="Z68" s="504"/>
      <c r="AA68" s="508"/>
      <c r="AB68" s="504"/>
      <c r="AC68" s="506">
        <v>1</v>
      </c>
      <c r="AD68" s="506">
        <v>1</v>
      </c>
    </row>
    <row r="69" spans="1:1014" s="256" customFormat="1" ht="12.95" customHeight="1">
      <c r="A69" s="225">
        <v>58</v>
      </c>
      <c r="B69" s="217"/>
      <c r="C69" s="217"/>
      <c r="D69" s="217" t="s">
        <v>1183</v>
      </c>
      <c r="E69" s="217"/>
      <c r="F69" s="217"/>
      <c r="G69" s="217"/>
      <c r="H69" s="504" t="s">
        <v>1184</v>
      </c>
      <c r="I69" s="503"/>
      <c r="J69" s="504" t="s">
        <v>1185</v>
      </c>
      <c r="K69" s="503" t="s">
        <v>1185</v>
      </c>
      <c r="L69" s="504"/>
      <c r="M69" s="504"/>
      <c r="N69" s="504"/>
      <c r="O69" s="504"/>
      <c r="P69" s="252"/>
      <c r="Q69" s="504" t="s">
        <v>817</v>
      </c>
      <c r="R69" s="504"/>
      <c r="S69" s="504" t="s">
        <v>863</v>
      </c>
      <c r="T69" s="506"/>
      <c r="U69" s="504"/>
      <c r="V69" s="507" t="s">
        <v>864</v>
      </c>
      <c r="W69" s="507" t="s">
        <v>864</v>
      </c>
      <c r="X69" s="232"/>
      <c r="Y69" s="513"/>
      <c r="Z69" s="504"/>
      <c r="AA69" s="508"/>
      <c r="AB69" s="504"/>
      <c r="AC69" s="506">
        <v>1</v>
      </c>
      <c r="AD69" s="506"/>
    </row>
    <row r="70" spans="1:1014" s="224" customFormat="1" ht="13.5" customHeight="1">
      <c r="A70" s="225">
        <v>59</v>
      </c>
      <c r="B70" s="217"/>
      <c r="C70" s="217" t="s">
        <v>1186</v>
      </c>
      <c r="D70" s="217"/>
      <c r="E70" s="217"/>
      <c r="F70" s="217"/>
      <c r="G70" s="217"/>
      <c r="H70" s="504" t="s">
        <v>1187</v>
      </c>
      <c r="I70" s="503"/>
      <c r="J70" s="504" t="s">
        <v>942</v>
      </c>
      <c r="K70" s="503" t="s">
        <v>1188</v>
      </c>
      <c r="L70" s="504"/>
      <c r="M70" s="504"/>
      <c r="N70" s="504"/>
      <c r="O70" s="504"/>
      <c r="P70" s="252"/>
      <c r="Q70" s="504" t="s">
        <v>823</v>
      </c>
      <c r="R70" s="504" t="s">
        <v>864</v>
      </c>
      <c r="S70" s="243" t="s">
        <v>1188</v>
      </c>
      <c r="T70" s="506"/>
      <c r="U70" s="504"/>
      <c r="V70" s="507" t="s">
        <v>864</v>
      </c>
      <c r="W70" s="507" t="s">
        <v>864</v>
      </c>
      <c r="X70" s="232"/>
      <c r="Y70" s="513"/>
      <c r="Z70" s="504"/>
      <c r="AA70" s="508"/>
      <c r="AB70" s="504"/>
      <c r="AC70" s="506">
        <v>1</v>
      </c>
      <c r="AD70" s="506">
        <v>1</v>
      </c>
    </row>
    <row r="71" spans="1:1014" s="224" customFormat="1" ht="13.5" customHeight="1">
      <c r="A71" s="225">
        <v>60</v>
      </c>
      <c r="B71" s="217"/>
      <c r="C71" s="217"/>
      <c r="D71" s="217" t="s">
        <v>1189</v>
      </c>
      <c r="E71" s="217"/>
      <c r="F71" s="217"/>
      <c r="G71" s="217"/>
      <c r="H71" s="504" t="s">
        <v>1190</v>
      </c>
      <c r="I71" s="503" t="s">
        <v>1191</v>
      </c>
      <c r="J71" s="504" t="s">
        <v>908</v>
      </c>
      <c r="K71" s="503" t="s">
        <v>939</v>
      </c>
      <c r="L71" s="504"/>
      <c r="M71" s="504"/>
      <c r="N71" s="504"/>
      <c r="O71" s="504"/>
      <c r="P71" s="252"/>
      <c r="Q71" s="504" t="s">
        <v>820</v>
      </c>
      <c r="R71" s="504"/>
      <c r="S71" s="504" t="s">
        <v>863</v>
      </c>
      <c r="T71" s="506" t="s">
        <v>864</v>
      </c>
      <c r="U71" s="504" t="s">
        <v>1192</v>
      </c>
      <c r="V71" s="507" t="s">
        <v>864</v>
      </c>
      <c r="W71" s="507" t="s">
        <v>864</v>
      </c>
      <c r="X71" s="232"/>
      <c r="Y71" s="513"/>
      <c r="Z71" s="504"/>
      <c r="AA71" s="508"/>
      <c r="AB71" s="504"/>
      <c r="AC71" s="506">
        <v>1</v>
      </c>
      <c r="AD71" s="506">
        <v>1</v>
      </c>
    </row>
    <row r="72" spans="1:1014" s="224" customFormat="1" ht="13.5" customHeight="1">
      <c r="A72" s="225">
        <v>61</v>
      </c>
      <c r="B72" s="217"/>
      <c r="C72" s="217"/>
      <c r="D72" s="217" t="s">
        <v>1193</v>
      </c>
      <c r="E72" s="217"/>
      <c r="F72" s="217"/>
      <c r="G72" s="217"/>
      <c r="H72" s="504" t="s">
        <v>1194</v>
      </c>
      <c r="I72" s="503" t="s">
        <v>1195</v>
      </c>
      <c r="J72" s="504" t="s">
        <v>999</v>
      </c>
      <c r="K72" s="503" t="s">
        <v>999</v>
      </c>
      <c r="L72" s="504"/>
      <c r="M72" s="504"/>
      <c r="N72" s="504"/>
      <c r="O72" s="504"/>
      <c r="P72" s="252"/>
      <c r="Q72" s="504" t="s">
        <v>820</v>
      </c>
      <c r="R72" s="504"/>
      <c r="S72" s="504" t="s">
        <v>863</v>
      </c>
      <c r="T72" s="506" t="s">
        <v>864</v>
      </c>
      <c r="U72" s="504" t="s">
        <v>1196</v>
      </c>
      <c r="V72" s="507" t="s">
        <v>864</v>
      </c>
      <c r="W72" s="507" t="s">
        <v>864</v>
      </c>
      <c r="X72" s="232"/>
      <c r="Y72" s="513"/>
      <c r="Z72" s="504"/>
      <c r="AA72" s="508"/>
      <c r="AB72" s="504"/>
      <c r="AC72" s="506">
        <v>1</v>
      </c>
      <c r="AD72" s="506">
        <v>1</v>
      </c>
    </row>
    <row r="73" spans="1:1014" s="231" customFormat="1" ht="12.95" customHeight="1">
      <c r="A73" s="225">
        <v>62</v>
      </c>
      <c r="B73" s="217"/>
      <c r="C73" s="217"/>
      <c r="D73" s="217" t="s">
        <v>1058</v>
      </c>
      <c r="E73" s="217"/>
      <c r="F73" s="217"/>
      <c r="G73" s="217"/>
      <c r="H73" s="504" t="s">
        <v>1197</v>
      </c>
      <c r="I73" s="503" t="s">
        <v>1198</v>
      </c>
      <c r="J73" s="504" t="s">
        <v>1199</v>
      </c>
      <c r="K73" s="503" t="s">
        <v>1200</v>
      </c>
      <c r="L73" s="504"/>
      <c r="M73" s="504"/>
      <c r="N73" s="504"/>
      <c r="O73" s="504"/>
      <c r="P73" s="252"/>
      <c r="Q73" s="504" t="s">
        <v>820</v>
      </c>
      <c r="R73" s="504"/>
      <c r="S73" s="515" t="s">
        <v>863</v>
      </c>
      <c r="T73" s="282"/>
      <c r="U73" s="504"/>
      <c r="V73" s="507" t="s">
        <v>864</v>
      </c>
      <c r="W73" s="507" t="s">
        <v>864</v>
      </c>
      <c r="X73" s="232"/>
      <c r="Y73" s="513"/>
      <c r="Z73" s="504"/>
      <c r="AA73" s="508"/>
      <c r="AB73" s="504"/>
      <c r="AC73" s="506">
        <v>1</v>
      </c>
      <c r="AD73" s="506">
        <v>1</v>
      </c>
      <c r="AE73" s="516"/>
      <c r="AF73" s="516"/>
      <c r="AG73" s="516"/>
      <c r="AH73" s="516"/>
      <c r="AI73" s="516"/>
      <c r="AJ73" s="516"/>
      <c r="AK73" s="516"/>
      <c r="AL73" s="516"/>
      <c r="AM73" s="516"/>
      <c r="AN73" s="516"/>
      <c r="AO73" s="516"/>
      <c r="AP73" s="516"/>
      <c r="AQ73" s="516"/>
      <c r="AR73" s="516"/>
      <c r="AS73" s="516"/>
      <c r="AT73" s="516"/>
      <c r="AU73" s="516"/>
      <c r="AV73" s="516"/>
      <c r="AW73" s="516"/>
      <c r="AX73" s="516"/>
      <c r="AY73" s="516"/>
      <c r="AZ73" s="516"/>
      <c r="BA73" s="516"/>
      <c r="BB73" s="516"/>
      <c r="BC73" s="516"/>
      <c r="BD73" s="516"/>
      <c r="BE73" s="516"/>
      <c r="BF73" s="516"/>
      <c r="BG73" s="516"/>
      <c r="BH73" s="516"/>
      <c r="BI73" s="516"/>
      <c r="BJ73" s="516"/>
      <c r="BK73" s="516"/>
      <c r="BL73" s="516"/>
      <c r="BM73" s="516"/>
      <c r="BN73" s="516"/>
      <c r="BO73" s="516"/>
      <c r="BP73" s="516"/>
      <c r="BQ73" s="516"/>
      <c r="BR73" s="516"/>
      <c r="BS73" s="516"/>
      <c r="BT73" s="516"/>
      <c r="BU73" s="516"/>
      <c r="BV73" s="516"/>
      <c r="BW73" s="516"/>
      <c r="BX73" s="516"/>
      <c r="BY73" s="516"/>
      <c r="BZ73" s="516"/>
      <c r="CA73" s="516"/>
      <c r="CB73" s="516"/>
      <c r="CC73" s="516"/>
      <c r="CD73" s="516"/>
      <c r="CE73" s="516"/>
      <c r="CF73" s="516"/>
      <c r="CG73" s="516"/>
      <c r="CH73" s="516"/>
      <c r="CI73" s="516"/>
      <c r="CJ73" s="516"/>
      <c r="CK73" s="516"/>
      <c r="CL73" s="516"/>
      <c r="CM73" s="516"/>
      <c r="CN73" s="516"/>
      <c r="CO73" s="516"/>
      <c r="CP73" s="516"/>
      <c r="CQ73" s="516"/>
      <c r="CR73" s="516"/>
      <c r="CS73" s="516"/>
      <c r="CT73" s="516"/>
      <c r="CU73" s="516"/>
      <c r="CV73" s="516"/>
      <c r="CW73" s="516"/>
      <c r="CX73" s="516"/>
      <c r="CY73" s="516"/>
      <c r="CZ73" s="516"/>
      <c r="DA73" s="516"/>
      <c r="DB73" s="516"/>
      <c r="DC73" s="516"/>
      <c r="DD73" s="516"/>
      <c r="DE73" s="516"/>
      <c r="DF73" s="516"/>
      <c r="DG73" s="516"/>
      <c r="DH73" s="516"/>
      <c r="DI73" s="516"/>
      <c r="DJ73" s="516"/>
      <c r="DK73" s="516"/>
      <c r="DL73" s="516"/>
      <c r="DM73" s="516"/>
      <c r="DN73" s="516"/>
      <c r="DO73" s="516"/>
      <c r="DP73" s="516"/>
      <c r="DQ73" s="516"/>
      <c r="DR73" s="516"/>
      <c r="DS73" s="516"/>
      <c r="DT73" s="516"/>
      <c r="DU73" s="516"/>
      <c r="DV73" s="516"/>
      <c r="DW73" s="516"/>
      <c r="DX73" s="516"/>
      <c r="DY73" s="516"/>
      <c r="DZ73" s="516"/>
      <c r="EA73" s="516"/>
      <c r="EB73" s="516"/>
      <c r="EC73" s="516"/>
      <c r="ED73" s="516"/>
      <c r="EE73" s="516"/>
      <c r="EF73" s="516"/>
      <c r="EG73" s="516"/>
      <c r="EH73" s="516"/>
      <c r="EI73" s="516"/>
      <c r="EJ73" s="516"/>
      <c r="EK73" s="516"/>
      <c r="EL73" s="516"/>
      <c r="EM73" s="516"/>
      <c r="EN73" s="516"/>
      <c r="EO73" s="516"/>
      <c r="EP73" s="516"/>
      <c r="EQ73" s="516"/>
      <c r="ER73" s="516"/>
      <c r="ES73" s="516"/>
      <c r="ET73" s="516"/>
      <c r="EU73" s="516"/>
      <c r="EV73" s="516"/>
      <c r="EW73" s="516"/>
      <c r="EX73" s="516"/>
      <c r="EY73" s="516"/>
      <c r="EZ73" s="516"/>
      <c r="FA73" s="516"/>
      <c r="FB73" s="516"/>
      <c r="FC73" s="516"/>
      <c r="FD73" s="516"/>
      <c r="FE73" s="516"/>
      <c r="FF73" s="516"/>
      <c r="FG73" s="516"/>
      <c r="FH73" s="516"/>
      <c r="FI73" s="516"/>
      <c r="FJ73" s="516"/>
      <c r="FK73" s="516"/>
      <c r="FL73" s="516"/>
      <c r="FM73" s="516"/>
      <c r="FN73" s="516"/>
      <c r="FO73" s="516"/>
      <c r="FP73" s="516"/>
      <c r="FQ73" s="516"/>
      <c r="FR73" s="516"/>
      <c r="FS73" s="516"/>
      <c r="FT73" s="516"/>
      <c r="FU73" s="516"/>
      <c r="FV73" s="516"/>
      <c r="FW73" s="516"/>
      <c r="FX73" s="516"/>
      <c r="FY73" s="516"/>
      <c r="FZ73" s="516"/>
      <c r="GA73" s="516"/>
      <c r="GB73" s="516"/>
      <c r="GC73" s="516"/>
      <c r="GD73" s="516"/>
      <c r="GE73" s="516"/>
      <c r="GF73" s="516"/>
      <c r="GG73" s="516"/>
      <c r="GH73" s="516"/>
      <c r="GI73" s="516"/>
      <c r="GJ73" s="516"/>
      <c r="GK73" s="516"/>
      <c r="GL73" s="516"/>
      <c r="GM73" s="516"/>
      <c r="GN73" s="516"/>
      <c r="GO73" s="516"/>
      <c r="GP73" s="516"/>
      <c r="GQ73" s="516"/>
      <c r="GR73" s="516"/>
      <c r="GS73" s="516"/>
      <c r="GT73" s="516"/>
      <c r="GU73" s="516"/>
      <c r="GV73" s="516"/>
      <c r="GW73" s="516"/>
      <c r="GX73" s="516"/>
      <c r="GY73" s="516"/>
      <c r="GZ73" s="516"/>
      <c r="HA73" s="516"/>
      <c r="HB73" s="516"/>
      <c r="HC73" s="516"/>
      <c r="HD73" s="516"/>
      <c r="HE73" s="516"/>
      <c r="HF73" s="516"/>
      <c r="HG73" s="516"/>
      <c r="HH73" s="516"/>
      <c r="HI73" s="516"/>
      <c r="HJ73" s="516"/>
      <c r="HK73" s="516"/>
      <c r="HL73" s="516"/>
      <c r="HM73" s="516"/>
      <c r="HN73" s="516"/>
      <c r="HO73" s="516"/>
      <c r="HP73" s="516"/>
      <c r="HQ73" s="516"/>
      <c r="HR73" s="516"/>
      <c r="HS73" s="516"/>
      <c r="HT73" s="516"/>
      <c r="HU73" s="516"/>
      <c r="HV73" s="516"/>
      <c r="HW73" s="516"/>
      <c r="HX73" s="516"/>
      <c r="HY73" s="516"/>
      <c r="HZ73" s="516"/>
      <c r="IA73" s="516"/>
      <c r="IB73" s="516"/>
      <c r="IC73" s="516"/>
      <c r="ID73" s="516"/>
      <c r="IE73" s="516"/>
      <c r="IF73" s="516"/>
      <c r="IG73" s="516"/>
      <c r="IH73" s="516"/>
      <c r="II73" s="516"/>
      <c r="IJ73" s="516"/>
      <c r="IK73" s="516"/>
      <c r="IL73" s="516"/>
      <c r="IM73" s="516"/>
      <c r="IN73" s="516"/>
      <c r="IO73" s="516"/>
      <c r="IP73" s="516"/>
      <c r="IQ73" s="516"/>
      <c r="IR73" s="516"/>
      <c r="IS73" s="516"/>
      <c r="IT73" s="516"/>
      <c r="IU73" s="516"/>
      <c r="IV73" s="516"/>
      <c r="IW73" s="516"/>
      <c r="IX73" s="516"/>
      <c r="IY73" s="516"/>
      <c r="IZ73" s="516"/>
      <c r="JA73" s="516"/>
      <c r="JB73" s="516"/>
      <c r="JC73" s="516"/>
      <c r="JD73" s="516"/>
      <c r="JE73" s="516"/>
      <c r="JF73" s="516"/>
      <c r="JG73" s="516"/>
      <c r="JH73" s="516"/>
      <c r="JI73" s="516"/>
      <c r="JJ73" s="516"/>
      <c r="JK73" s="516"/>
      <c r="JL73" s="516"/>
      <c r="JM73" s="516"/>
      <c r="JN73" s="516"/>
      <c r="JO73" s="516"/>
      <c r="JP73" s="516"/>
      <c r="JQ73" s="516"/>
      <c r="JR73" s="516"/>
      <c r="JS73" s="516"/>
      <c r="JT73" s="516"/>
      <c r="JU73" s="516"/>
      <c r="JV73" s="516"/>
      <c r="JW73" s="516"/>
      <c r="JX73" s="516"/>
      <c r="JY73" s="516"/>
      <c r="JZ73" s="516"/>
      <c r="KA73" s="516"/>
      <c r="KB73" s="516"/>
      <c r="KC73" s="516"/>
      <c r="KD73" s="516"/>
      <c r="KE73" s="516"/>
      <c r="KF73" s="516"/>
      <c r="KG73" s="516"/>
      <c r="KH73" s="516"/>
      <c r="KI73" s="516"/>
      <c r="KJ73" s="516"/>
      <c r="KK73" s="516"/>
      <c r="KL73" s="516"/>
      <c r="KM73" s="516"/>
      <c r="KN73" s="516"/>
      <c r="KO73" s="516"/>
      <c r="KP73" s="516"/>
      <c r="KQ73" s="516"/>
      <c r="KR73" s="516"/>
      <c r="KS73" s="516"/>
      <c r="KT73" s="516"/>
      <c r="KU73" s="516"/>
      <c r="KV73" s="516"/>
      <c r="KW73" s="516"/>
      <c r="KX73" s="516"/>
      <c r="KY73" s="516"/>
      <c r="KZ73" s="516"/>
      <c r="LA73" s="516"/>
      <c r="LB73" s="516"/>
      <c r="LC73" s="516"/>
      <c r="LD73" s="516"/>
      <c r="LE73" s="516"/>
      <c r="LF73" s="516"/>
      <c r="LG73" s="516"/>
      <c r="LH73" s="516"/>
      <c r="LI73" s="516"/>
      <c r="LJ73" s="516"/>
      <c r="LK73" s="516"/>
      <c r="LL73" s="516"/>
      <c r="LM73" s="516"/>
      <c r="LN73" s="516"/>
      <c r="LO73" s="516"/>
      <c r="LP73" s="516"/>
      <c r="LQ73" s="516"/>
      <c r="LR73" s="516"/>
      <c r="LS73" s="516"/>
      <c r="LT73" s="516"/>
      <c r="LU73" s="516"/>
      <c r="LV73" s="516"/>
      <c r="LW73" s="516"/>
      <c r="LX73" s="516"/>
      <c r="LY73" s="516"/>
      <c r="LZ73" s="516"/>
      <c r="MA73" s="516"/>
      <c r="MB73" s="516"/>
      <c r="MC73" s="516"/>
      <c r="MD73" s="516"/>
      <c r="ME73" s="516"/>
      <c r="MF73" s="516"/>
      <c r="MG73" s="516"/>
      <c r="MH73" s="516"/>
      <c r="MI73" s="516"/>
      <c r="MJ73" s="516"/>
      <c r="MK73" s="516"/>
      <c r="ML73" s="516"/>
      <c r="MM73" s="516"/>
      <c r="MN73" s="516"/>
      <c r="MO73" s="516"/>
      <c r="MP73" s="516"/>
      <c r="MQ73" s="516"/>
      <c r="MR73" s="516"/>
      <c r="MS73" s="516"/>
      <c r="MT73" s="516"/>
      <c r="MU73" s="516"/>
      <c r="MV73" s="516"/>
      <c r="MW73" s="516"/>
      <c r="MX73" s="516"/>
      <c r="MY73" s="516"/>
      <c r="MZ73" s="516"/>
      <c r="NA73" s="516"/>
      <c r="NB73" s="516"/>
      <c r="NC73" s="516"/>
      <c r="ND73" s="516"/>
      <c r="NE73" s="516"/>
      <c r="NF73" s="516"/>
      <c r="NG73" s="516"/>
      <c r="NH73" s="516"/>
      <c r="NI73" s="516"/>
      <c r="NJ73" s="516"/>
      <c r="NK73" s="516"/>
      <c r="NL73" s="516"/>
      <c r="NM73" s="516"/>
      <c r="NN73" s="516"/>
      <c r="NO73" s="516"/>
      <c r="NP73" s="516"/>
      <c r="NQ73" s="516"/>
      <c r="NR73" s="516"/>
      <c r="NS73" s="516"/>
      <c r="NT73" s="516"/>
      <c r="NU73" s="516"/>
      <c r="NV73" s="516"/>
      <c r="NW73" s="516"/>
      <c r="NX73" s="516"/>
      <c r="NY73" s="516"/>
      <c r="NZ73" s="516"/>
      <c r="OA73" s="516"/>
      <c r="OB73" s="516"/>
      <c r="OC73" s="516"/>
      <c r="OD73" s="516"/>
      <c r="OE73" s="516"/>
      <c r="OF73" s="516"/>
      <c r="OG73" s="516"/>
      <c r="OH73" s="516"/>
      <c r="OI73" s="516"/>
      <c r="OJ73" s="516"/>
      <c r="OK73" s="516"/>
      <c r="OL73" s="516"/>
      <c r="OM73" s="516"/>
      <c r="ON73" s="516"/>
      <c r="OO73" s="516"/>
      <c r="OP73" s="516"/>
      <c r="OQ73" s="516"/>
      <c r="OR73" s="516"/>
      <c r="OS73" s="516"/>
      <c r="OT73" s="516"/>
      <c r="OU73" s="516"/>
      <c r="OV73" s="516"/>
      <c r="OW73" s="516"/>
      <c r="OX73" s="516"/>
      <c r="OY73" s="516"/>
      <c r="OZ73" s="516"/>
      <c r="PA73" s="516"/>
      <c r="PB73" s="516"/>
      <c r="PC73" s="516"/>
      <c r="PD73" s="516"/>
      <c r="PE73" s="516"/>
      <c r="PF73" s="516"/>
      <c r="PG73" s="516"/>
      <c r="PH73" s="516"/>
      <c r="PI73" s="516"/>
      <c r="PJ73" s="516"/>
      <c r="PK73" s="516"/>
      <c r="PL73" s="516"/>
      <c r="PM73" s="516"/>
      <c r="PN73" s="516"/>
      <c r="PO73" s="516"/>
      <c r="PP73" s="516"/>
      <c r="PQ73" s="516"/>
      <c r="PR73" s="516"/>
      <c r="PS73" s="516"/>
      <c r="PT73" s="516"/>
      <c r="PU73" s="516"/>
      <c r="PV73" s="516"/>
      <c r="PW73" s="516"/>
      <c r="PX73" s="516"/>
      <c r="PY73" s="516"/>
      <c r="PZ73" s="516"/>
      <c r="QA73" s="516"/>
      <c r="QB73" s="516"/>
      <c r="QC73" s="516"/>
      <c r="QD73" s="516"/>
      <c r="QE73" s="516"/>
      <c r="QF73" s="516"/>
      <c r="QG73" s="516"/>
      <c r="QH73" s="516"/>
      <c r="QI73" s="516"/>
      <c r="QJ73" s="516"/>
      <c r="QK73" s="516"/>
      <c r="QL73" s="516"/>
      <c r="QM73" s="516"/>
      <c r="QN73" s="516"/>
      <c r="QO73" s="516"/>
      <c r="QP73" s="516"/>
      <c r="QQ73" s="516"/>
      <c r="QR73" s="516"/>
      <c r="QS73" s="516"/>
      <c r="QT73" s="516"/>
      <c r="QU73" s="516"/>
      <c r="QV73" s="516"/>
      <c r="QW73" s="516"/>
      <c r="QX73" s="516"/>
      <c r="QY73" s="516"/>
      <c r="QZ73" s="516"/>
      <c r="RA73" s="516"/>
      <c r="RB73" s="516"/>
      <c r="RC73" s="516"/>
      <c r="RD73" s="516"/>
      <c r="RE73" s="516"/>
      <c r="RF73" s="516"/>
      <c r="RG73" s="516"/>
      <c r="RH73" s="516"/>
      <c r="RI73" s="516"/>
      <c r="RJ73" s="516"/>
      <c r="RK73" s="516"/>
      <c r="RL73" s="516"/>
      <c r="RM73" s="516"/>
      <c r="RN73" s="516"/>
      <c r="RO73" s="516"/>
      <c r="RP73" s="516"/>
      <c r="RQ73" s="516"/>
      <c r="RR73" s="516"/>
      <c r="RS73" s="516"/>
      <c r="RT73" s="516"/>
      <c r="RU73" s="516"/>
      <c r="RV73" s="516"/>
      <c r="RW73" s="516"/>
      <c r="RX73" s="516"/>
      <c r="RY73" s="516"/>
      <c r="RZ73" s="516"/>
      <c r="SA73" s="516"/>
      <c r="SB73" s="516"/>
      <c r="SC73" s="516"/>
      <c r="SD73" s="516"/>
      <c r="SE73" s="516"/>
      <c r="SF73" s="516"/>
      <c r="SG73" s="516"/>
      <c r="SH73" s="516"/>
      <c r="SI73" s="516"/>
      <c r="SJ73" s="516"/>
      <c r="SK73" s="516"/>
      <c r="SL73" s="516"/>
      <c r="SM73" s="516"/>
      <c r="SN73" s="516"/>
      <c r="SO73" s="516"/>
      <c r="SP73" s="516"/>
      <c r="SQ73" s="516"/>
      <c r="SR73" s="516"/>
      <c r="SS73" s="516"/>
      <c r="ST73" s="516"/>
      <c r="SU73" s="516"/>
      <c r="SV73" s="516"/>
      <c r="SW73" s="516"/>
      <c r="SX73" s="516"/>
      <c r="SY73" s="516"/>
      <c r="SZ73" s="516"/>
      <c r="TA73" s="516"/>
      <c r="TB73" s="516"/>
      <c r="TC73" s="516"/>
      <c r="TD73" s="516"/>
      <c r="TE73" s="516"/>
      <c r="TF73" s="516"/>
      <c r="TG73" s="516"/>
      <c r="TH73" s="516"/>
      <c r="TI73" s="516"/>
      <c r="TJ73" s="516"/>
      <c r="TK73" s="516"/>
      <c r="TL73" s="516"/>
      <c r="TM73" s="516"/>
      <c r="TN73" s="516"/>
      <c r="TO73" s="516"/>
      <c r="TP73" s="516"/>
      <c r="TQ73" s="516"/>
      <c r="TR73" s="516"/>
      <c r="TS73" s="516"/>
      <c r="TT73" s="516"/>
      <c r="TU73" s="516"/>
      <c r="TV73" s="516"/>
      <c r="TW73" s="516"/>
      <c r="TX73" s="516"/>
      <c r="TY73" s="516"/>
      <c r="TZ73" s="516"/>
      <c r="UA73" s="516"/>
      <c r="UB73" s="516"/>
      <c r="UC73" s="516"/>
      <c r="UD73" s="516"/>
      <c r="UE73" s="516"/>
      <c r="UF73" s="516"/>
      <c r="UG73" s="516"/>
      <c r="UH73" s="516"/>
      <c r="UI73" s="516"/>
      <c r="UJ73" s="516"/>
      <c r="UK73" s="516"/>
      <c r="UL73" s="516"/>
      <c r="UM73" s="516"/>
      <c r="UN73" s="516"/>
      <c r="UO73" s="516"/>
      <c r="UP73" s="516"/>
      <c r="UQ73" s="516"/>
      <c r="UR73" s="516"/>
      <c r="US73" s="516"/>
      <c r="UT73" s="516"/>
      <c r="UU73" s="516"/>
      <c r="UV73" s="516"/>
      <c r="UW73" s="516"/>
      <c r="UX73" s="516"/>
      <c r="UY73" s="516"/>
      <c r="UZ73" s="516"/>
      <c r="VA73" s="516"/>
      <c r="VB73" s="516"/>
      <c r="VC73" s="516"/>
      <c r="VD73" s="516"/>
      <c r="VE73" s="516"/>
      <c r="VF73" s="516"/>
      <c r="VG73" s="516"/>
      <c r="VH73" s="516"/>
      <c r="VI73" s="516"/>
      <c r="VJ73" s="516"/>
      <c r="VK73" s="516"/>
      <c r="VL73" s="516"/>
      <c r="VM73" s="516"/>
      <c r="VN73" s="516"/>
      <c r="VO73" s="516"/>
      <c r="VP73" s="516"/>
      <c r="VQ73" s="516"/>
      <c r="VR73" s="516"/>
      <c r="VS73" s="516"/>
      <c r="VT73" s="516"/>
      <c r="VU73" s="516"/>
      <c r="VV73" s="516"/>
      <c r="VW73" s="516"/>
      <c r="VX73" s="516"/>
      <c r="VY73" s="516"/>
      <c r="VZ73" s="516"/>
      <c r="WA73" s="516"/>
      <c r="WB73" s="516"/>
      <c r="WC73" s="516"/>
      <c r="WD73" s="516"/>
      <c r="WE73" s="516"/>
      <c r="WF73" s="516"/>
      <c r="WG73" s="516"/>
      <c r="WH73" s="516"/>
      <c r="WI73" s="516"/>
      <c r="WJ73" s="516"/>
      <c r="WK73" s="516"/>
      <c r="WL73" s="516"/>
      <c r="WM73" s="516"/>
      <c r="WN73" s="516"/>
      <c r="WO73" s="516"/>
      <c r="WP73" s="516"/>
      <c r="WQ73" s="516"/>
      <c r="WR73" s="516"/>
      <c r="WS73" s="516"/>
      <c r="WT73" s="516"/>
      <c r="WU73" s="516"/>
      <c r="WV73" s="516"/>
      <c r="WW73" s="516"/>
      <c r="WX73" s="516"/>
      <c r="WY73" s="516"/>
      <c r="WZ73" s="516"/>
      <c r="XA73" s="516"/>
      <c r="XB73" s="516"/>
      <c r="XC73" s="516"/>
      <c r="XD73" s="516"/>
      <c r="XE73" s="516"/>
      <c r="XF73" s="516"/>
      <c r="XG73" s="516"/>
      <c r="XH73" s="516"/>
      <c r="XI73" s="516"/>
      <c r="XJ73" s="516"/>
      <c r="XK73" s="516"/>
      <c r="XL73" s="516"/>
      <c r="XM73" s="516"/>
      <c r="XN73" s="516"/>
      <c r="XO73" s="516"/>
      <c r="XP73" s="516"/>
      <c r="XQ73" s="516"/>
      <c r="XR73" s="516"/>
      <c r="XS73" s="516"/>
      <c r="XT73" s="516"/>
      <c r="XU73" s="516"/>
      <c r="XV73" s="516"/>
      <c r="XW73" s="516"/>
      <c r="XX73" s="516"/>
      <c r="XY73" s="516"/>
      <c r="XZ73" s="516"/>
      <c r="YA73" s="516"/>
      <c r="YB73" s="516"/>
      <c r="YC73" s="516"/>
      <c r="YD73" s="516"/>
      <c r="YE73" s="516"/>
      <c r="YF73" s="516"/>
      <c r="YG73" s="516"/>
      <c r="YH73" s="516"/>
      <c r="YI73" s="516"/>
      <c r="YJ73" s="516"/>
      <c r="YK73" s="516"/>
      <c r="YL73" s="516"/>
      <c r="YM73" s="516"/>
      <c r="YN73" s="516"/>
      <c r="YO73" s="516"/>
      <c r="YP73" s="516"/>
      <c r="YQ73" s="516"/>
      <c r="YR73" s="516"/>
      <c r="YS73" s="516"/>
      <c r="YT73" s="516"/>
      <c r="YU73" s="516"/>
      <c r="YV73" s="516"/>
      <c r="YW73" s="516"/>
      <c r="YX73" s="516"/>
      <c r="YY73" s="516"/>
      <c r="YZ73" s="516"/>
      <c r="ZA73" s="516"/>
      <c r="ZB73" s="516"/>
      <c r="ZC73" s="516"/>
      <c r="ZD73" s="516"/>
      <c r="ZE73" s="516"/>
      <c r="ZF73" s="516"/>
      <c r="ZG73" s="516"/>
      <c r="ZH73" s="516"/>
      <c r="ZI73" s="516"/>
      <c r="ZJ73" s="516"/>
      <c r="ZK73" s="516"/>
      <c r="ZL73" s="516"/>
      <c r="ZM73" s="516"/>
      <c r="ZN73" s="516"/>
      <c r="ZO73" s="516"/>
      <c r="ZP73" s="516"/>
      <c r="ZQ73" s="516"/>
      <c r="ZR73" s="516"/>
      <c r="ZS73" s="516"/>
      <c r="ZT73" s="516"/>
      <c r="ZU73" s="516"/>
      <c r="ZV73" s="516"/>
      <c r="ZW73" s="516"/>
      <c r="ZX73" s="516"/>
      <c r="ZY73" s="516"/>
      <c r="ZZ73" s="516"/>
      <c r="AAA73" s="516"/>
      <c r="AAB73" s="516"/>
      <c r="AAC73" s="516"/>
      <c r="AAD73" s="516"/>
      <c r="AAE73" s="516"/>
      <c r="AAF73" s="516"/>
      <c r="AAG73" s="516"/>
      <c r="AAH73" s="516"/>
      <c r="AAI73" s="516"/>
      <c r="AAJ73" s="516"/>
      <c r="AAK73" s="516"/>
      <c r="AAL73" s="516"/>
      <c r="AAM73" s="516"/>
      <c r="AAN73" s="516"/>
      <c r="AAO73" s="516"/>
      <c r="AAP73" s="516"/>
      <c r="AAQ73" s="516"/>
      <c r="AAR73" s="516"/>
      <c r="AAS73" s="516"/>
      <c r="AAT73" s="516"/>
      <c r="AAU73" s="516"/>
      <c r="AAV73" s="516"/>
      <c r="AAW73" s="516"/>
      <c r="AAX73" s="516"/>
      <c r="AAY73" s="516"/>
      <c r="AAZ73" s="516"/>
      <c r="ABA73" s="516"/>
      <c r="ABB73" s="516"/>
      <c r="ABC73" s="516"/>
      <c r="ABD73" s="516"/>
      <c r="ABE73" s="516"/>
      <c r="ABF73" s="516"/>
      <c r="ABG73" s="516"/>
      <c r="ABH73" s="516"/>
      <c r="ABI73" s="516"/>
      <c r="ABJ73" s="516"/>
      <c r="ABK73" s="516"/>
      <c r="ABL73" s="516"/>
      <c r="ABM73" s="516"/>
      <c r="ABN73" s="516"/>
      <c r="ABO73" s="516"/>
      <c r="ABP73" s="516"/>
      <c r="ABQ73" s="516"/>
      <c r="ABR73" s="516"/>
      <c r="ABS73" s="516"/>
      <c r="ABT73" s="516"/>
      <c r="ABU73" s="516"/>
      <c r="ABV73" s="516"/>
      <c r="ABW73" s="516"/>
      <c r="ABX73" s="516"/>
      <c r="ABY73" s="516"/>
      <c r="ABZ73" s="516"/>
      <c r="ACA73" s="516"/>
      <c r="ACB73" s="516"/>
      <c r="ACC73" s="516"/>
      <c r="ACD73" s="516"/>
      <c r="ACE73" s="516"/>
      <c r="ACF73" s="516"/>
      <c r="ACG73" s="516"/>
      <c r="ACH73" s="516"/>
      <c r="ACI73" s="516"/>
      <c r="ACJ73" s="516"/>
      <c r="ACK73" s="516"/>
      <c r="ACL73" s="516"/>
      <c r="ACM73" s="516"/>
      <c r="ACN73" s="516"/>
      <c r="ACO73" s="516"/>
      <c r="ACP73" s="516"/>
      <c r="ACQ73" s="516"/>
      <c r="ACR73" s="516"/>
      <c r="ACS73" s="516"/>
      <c r="ACT73" s="516"/>
      <c r="ACU73" s="516"/>
      <c r="ACV73" s="516"/>
      <c r="ACW73" s="516"/>
      <c r="ACX73" s="516"/>
      <c r="ACY73" s="516"/>
      <c r="ACZ73" s="516"/>
      <c r="ADA73" s="516"/>
      <c r="ADB73" s="516"/>
      <c r="ADC73" s="516"/>
      <c r="ADD73" s="516"/>
      <c r="ADE73" s="516"/>
      <c r="ADF73" s="516"/>
      <c r="ADG73" s="516"/>
      <c r="ADH73" s="516"/>
      <c r="ADI73" s="516"/>
      <c r="ADJ73" s="516"/>
      <c r="ADK73" s="516"/>
      <c r="ADL73" s="516"/>
      <c r="ADM73" s="516"/>
      <c r="ADN73" s="516"/>
      <c r="ADO73" s="516"/>
      <c r="ADP73" s="516"/>
      <c r="ADQ73" s="516"/>
      <c r="ADR73" s="516"/>
      <c r="ADS73" s="516"/>
      <c r="ADT73" s="516"/>
      <c r="ADU73" s="516"/>
      <c r="ADV73" s="516"/>
      <c r="ADW73" s="516"/>
      <c r="ADX73" s="516"/>
      <c r="ADY73" s="516"/>
      <c r="ADZ73" s="516"/>
      <c r="AEA73" s="516"/>
      <c r="AEB73" s="516"/>
      <c r="AEC73" s="516"/>
      <c r="AED73" s="516"/>
      <c r="AEE73" s="516"/>
      <c r="AEF73" s="516"/>
      <c r="AEG73" s="516"/>
      <c r="AEH73" s="516"/>
      <c r="AEI73" s="516"/>
      <c r="AEJ73" s="516"/>
      <c r="AEK73" s="516"/>
      <c r="AEL73" s="516"/>
      <c r="AEM73" s="516"/>
      <c r="AEN73" s="516"/>
      <c r="AEO73" s="516"/>
      <c r="AEP73" s="516"/>
      <c r="AEQ73" s="516"/>
      <c r="AER73" s="516"/>
      <c r="AES73" s="516"/>
      <c r="AET73" s="516"/>
      <c r="AEU73" s="516"/>
      <c r="AEV73" s="516"/>
      <c r="AEW73" s="516"/>
      <c r="AEX73" s="516"/>
      <c r="AEY73" s="516"/>
      <c r="AEZ73" s="516"/>
      <c r="AFA73" s="516"/>
      <c r="AFB73" s="516"/>
      <c r="AFC73" s="516"/>
      <c r="AFD73" s="516"/>
      <c r="AFE73" s="516"/>
      <c r="AFF73" s="516"/>
      <c r="AFG73" s="516"/>
      <c r="AFH73" s="516"/>
      <c r="AFI73" s="516"/>
      <c r="AFJ73" s="516"/>
      <c r="AFK73" s="516"/>
      <c r="AFL73" s="516"/>
      <c r="AFM73" s="516"/>
      <c r="AFN73" s="516"/>
      <c r="AFO73" s="516"/>
      <c r="AFP73" s="516"/>
      <c r="AFQ73" s="516"/>
      <c r="AFR73" s="516"/>
      <c r="AFS73" s="516"/>
      <c r="AFT73" s="516"/>
      <c r="AFU73" s="516"/>
      <c r="AFV73" s="516"/>
      <c r="AFW73" s="516"/>
      <c r="AFX73" s="516"/>
      <c r="AFY73" s="516"/>
      <c r="AFZ73" s="516"/>
      <c r="AGA73" s="516"/>
      <c r="AGB73" s="516"/>
      <c r="AGC73" s="516"/>
      <c r="AGD73" s="516"/>
      <c r="AGE73" s="516"/>
      <c r="AGF73" s="516"/>
      <c r="AGG73" s="516"/>
      <c r="AGH73" s="516"/>
      <c r="AGI73" s="516"/>
      <c r="AGJ73" s="516"/>
      <c r="AGK73" s="516"/>
      <c r="AGL73" s="516"/>
      <c r="AGM73" s="516"/>
      <c r="AGN73" s="516"/>
      <c r="AGO73" s="516"/>
      <c r="AGP73" s="516"/>
      <c r="AGQ73" s="516"/>
      <c r="AGR73" s="516"/>
      <c r="AGS73" s="516"/>
      <c r="AGT73" s="516"/>
      <c r="AGU73" s="516"/>
      <c r="AGV73" s="516"/>
      <c r="AGW73" s="516"/>
      <c r="AGX73" s="516"/>
      <c r="AGY73" s="516"/>
      <c r="AGZ73" s="516"/>
      <c r="AHA73" s="516"/>
      <c r="AHB73" s="516"/>
      <c r="AHC73" s="516"/>
      <c r="AHD73" s="516"/>
      <c r="AHE73" s="516"/>
      <c r="AHF73" s="516"/>
      <c r="AHG73" s="516"/>
      <c r="AHH73" s="516"/>
      <c r="AHI73" s="516"/>
      <c r="AHJ73" s="516"/>
      <c r="AHK73" s="516"/>
      <c r="AHL73" s="516"/>
      <c r="AHM73" s="516"/>
      <c r="AHN73" s="516"/>
      <c r="AHO73" s="516"/>
      <c r="AHP73" s="516"/>
      <c r="AHQ73" s="516"/>
      <c r="AHR73" s="516"/>
      <c r="AHS73" s="516"/>
      <c r="AHT73" s="516"/>
      <c r="AHU73" s="516"/>
      <c r="AHV73" s="516"/>
      <c r="AHW73" s="516"/>
      <c r="AHX73" s="516"/>
      <c r="AHY73" s="516"/>
      <c r="AHZ73" s="516"/>
      <c r="AIA73" s="516"/>
      <c r="AIB73" s="516"/>
      <c r="AIC73" s="516"/>
      <c r="AID73" s="516"/>
      <c r="AIE73" s="516"/>
      <c r="AIF73" s="516"/>
      <c r="AIG73" s="516"/>
      <c r="AIH73" s="516"/>
      <c r="AII73" s="516"/>
      <c r="AIJ73" s="516"/>
      <c r="AIK73" s="516"/>
      <c r="AIL73" s="516"/>
      <c r="AIM73" s="516"/>
      <c r="AIN73" s="516"/>
      <c r="AIO73" s="516"/>
      <c r="AIP73" s="516"/>
      <c r="AIQ73" s="516"/>
      <c r="AIR73" s="516"/>
      <c r="AIS73" s="516"/>
      <c r="AIT73" s="516"/>
      <c r="AIU73" s="516"/>
      <c r="AIV73" s="516"/>
      <c r="AIW73" s="516"/>
      <c r="AIX73" s="516"/>
      <c r="AIY73" s="516"/>
      <c r="AIZ73" s="516"/>
      <c r="AJA73" s="516"/>
      <c r="AJB73" s="516"/>
      <c r="AJC73" s="516"/>
      <c r="AJD73" s="516"/>
      <c r="AJE73" s="516"/>
      <c r="AJF73" s="516"/>
      <c r="AJG73" s="516"/>
      <c r="AJH73" s="516"/>
      <c r="AJI73" s="516"/>
      <c r="AJJ73" s="516"/>
      <c r="AJK73" s="516"/>
      <c r="AJL73" s="516"/>
      <c r="AJM73" s="516"/>
      <c r="AJN73" s="516"/>
      <c r="AJO73" s="516"/>
      <c r="AJP73" s="516"/>
      <c r="AJQ73" s="516"/>
      <c r="AJR73" s="516"/>
      <c r="AJS73" s="516"/>
      <c r="AJT73" s="516"/>
      <c r="AJU73" s="516"/>
      <c r="AJV73" s="516"/>
      <c r="AJW73" s="516"/>
      <c r="AJX73" s="516"/>
      <c r="AJY73" s="516"/>
      <c r="AJZ73" s="516"/>
      <c r="AKA73" s="516"/>
      <c r="AKB73" s="516"/>
      <c r="AKC73" s="516"/>
      <c r="AKD73" s="516"/>
      <c r="AKE73" s="516"/>
      <c r="AKF73" s="516"/>
      <c r="AKG73" s="516"/>
      <c r="AKH73" s="516"/>
      <c r="AKI73" s="516"/>
      <c r="AKJ73" s="516"/>
      <c r="AKK73" s="516"/>
      <c r="AKL73" s="516"/>
      <c r="AKM73" s="516"/>
      <c r="AKN73" s="516"/>
      <c r="AKO73" s="516"/>
      <c r="AKP73" s="516"/>
      <c r="AKQ73" s="516"/>
      <c r="AKR73" s="516"/>
      <c r="AKS73" s="516"/>
      <c r="AKT73" s="516"/>
      <c r="AKU73" s="516"/>
      <c r="AKV73" s="516"/>
      <c r="AKW73" s="516"/>
      <c r="AKX73" s="516"/>
      <c r="AKY73" s="516"/>
      <c r="AKZ73" s="516"/>
      <c r="ALA73" s="516"/>
      <c r="ALB73" s="516"/>
      <c r="ALC73" s="516"/>
      <c r="ALD73" s="516"/>
      <c r="ALE73" s="516"/>
      <c r="ALF73" s="516"/>
      <c r="ALG73" s="516"/>
      <c r="ALH73" s="516"/>
      <c r="ALI73" s="516"/>
      <c r="ALJ73" s="516"/>
      <c r="ALK73" s="516"/>
      <c r="ALL73" s="516"/>
      <c r="ALM73" s="516"/>
      <c r="ALN73" s="516"/>
      <c r="ALO73" s="516"/>
      <c r="ALP73" s="516"/>
      <c r="ALQ73" s="516"/>
      <c r="ALR73" s="516"/>
      <c r="ALS73" s="516"/>
      <c r="ALT73" s="516"/>
      <c r="ALU73" s="516"/>
      <c r="ALV73" s="516"/>
      <c r="ALW73" s="516"/>
      <c r="ALX73" s="516"/>
      <c r="ALY73" s="516"/>
      <c r="ALZ73" s="516"/>
    </row>
    <row r="74" spans="1:1014" s="224" customFormat="1" ht="13.5" customHeight="1">
      <c r="A74" s="225">
        <v>63</v>
      </c>
      <c r="B74" s="217"/>
      <c r="C74" s="217" t="s">
        <v>264</v>
      </c>
      <c r="D74" s="217"/>
      <c r="E74" s="217"/>
      <c r="F74" s="217"/>
      <c r="G74" s="217"/>
      <c r="H74" s="504"/>
      <c r="I74" s="503" t="s">
        <v>1201</v>
      </c>
      <c r="J74" s="504" t="s">
        <v>1202</v>
      </c>
      <c r="K74" s="503"/>
      <c r="L74" s="504"/>
      <c r="M74" s="504"/>
      <c r="N74" s="504"/>
      <c r="O74" s="504"/>
      <c r="P74" s="252"/>
      <c r="Q74" s="504" t="s">
        <v>820</v>
      </c>
      <c r="R74" s="504"/>
      <c r="S74" s="515" t="s">
        <v>863</v>
      </c>
      <c r="T74" s="282" t="s">
        <v>864</v>
      </c>
      <c r="U74" s="536" t="s">
        <v>1203</v>
      </c>
      <c r="V74" s="507" t="s">
        <v>864</v>
      </c>
      <c r="W74" s="507" t="s">
        <v>864</v>
      </c>
      <c r="X74" s="232"/>
      <c r="Y74" s="513"/>
      <c r="Z74" s="504" t="s">
        <v>1204</v>
      </c>
      <c r="AA74" s="245" t="s">
        <v>1205</v>
      </c>
      <c r="AB74" s="504"/>
      <c r="AC74" s="506"/>
      <c r="AD74" s="506">
        <v>1</v>
      </c>
    </row>
    <row r="75" spans="1:1014" s="224" customFormat="1" ht="13.5" customHeight="1">
      <c r="A75" s="225">
        <v>64</v>
      </c>
      <c r="B75" s="217"/>
      <c r="C75" s="217" t="s">
        <v>767</v>
      </c>
      <c r="D75" s="217"/>
      <c r="E75" s="217"/>
      <c r="F75" s="217"/>
      <c r="G75" s="217"/>
      <c r="H75" s="504" t="s">
        <v>1206</v>
      </c>
      <c r="I75" s="503" t="s">
        <v>1207</v>
      </c>
      <c r="J75" s="504" t="s">
        <v>1208</v>
      </c>
      <c r="K75" s="503" t="s">
        <v>939</v>
      </c>
      <c r="L75" s="504" t="s">
        <v>1209</v>
      </c>
      <c r="M75" s="504" t="s">
        <v>1210</v>
      </c>
      <c r="N75" s="504"/>
      <c r="O75" s="504"/>
      <c r="P75" s="252"/>
      <c r="Q75" s="504" t="s">
        <v>817</v>
      </c>
      <c r="R75" s="504"/>
      <c r="S75" s="504" t="s">
        <v>863</v>
      </c>
      <c r="T75" s="506"/>
      <c r="U75" s="504"/>
      <c r="V75" s="507" t="s">
        <v>864</v>
      </c>
      <c r="W75" s="507" t="s">
        <v>864</v>
      </c>
      <c r="X75" s="232"/>
      <c r="Y75" s="513"/>
      <c r="Z75" s="504"/>
      <c r="AA75" s="508"/>
      <c r="AB75" s="504"/>
      <c r="AC75" s="506">
        <v>1</v>
      </c>
      <c r="AD75" s="506">
        <v>1</v>
      </c>
    </row>
    <row r="76" spans="1:1014" s="224" customFormat="1" ht="13.5" customHeight="1">
      <c r="A76" s="225">
        <v>65</v>
      </c>
      <c r="B76" s="217" t="s">
        <v>1211</v>
      </c>
      <c r="C76" s="242"/>
      <c r="D76" s="241"/>
      <c r="E76" s="241"/>
      <c r="F76" s="241"/>
      <c r="G76" s="241"/>
      <c r="H76" s="504" t="s">
        <v>1212</v>
      </c>
      <c r="I76" s="503"/>
      <c r="J76" s="504" t="s">
        <v>1213</v>
      </c>
      <c r="K76" s="503" t="s">
        <v>1214</v>
      </c>
      <c r="L76" s="504"/>
      <c r="M76" s="504"/>
      <c r="N76" s="504"/>
      <c r="O76" s="504"/>
      <c r="P76" s="505"/>
      <c r="Q76" s="504" t="s">
        <v>817</v>
      </c>
      <c r="R76" s="504" t="s">
        <v>864</v>
      </c>
      <c r="S76" s="243" t="s">
        <v>1215</v>
      </c>
      <c r="T76" s="283"/>
      <c r="U76" s="504"/>
      <c r="V76" s="507" t="s">
        <v>864</v>
      </c>
      <c r="W76" s="507" t="s">
        <v>864</v>
      </c>
      <c r="X76" s="232"/>
      <c r="Y76" s="513"/>
      <c r="Z76" s="504"/>
      <c r="AA76" s="508"/>
      <c r="AB76" s="504"/>
      <c r="AC76" s="506">
        <v>1</v>
      </c>
      <c r="AD76" s="506">
        <v>1</v>
      </c>
    </row>
    <row r="77" spans="1:1014" s="231" customFormat="1" ht="13.5" customHeight="1">
      <c r="A77" s="225">
        <v>66</v>
      </c>
      <c r="B77" s="217"/>
      <c r="C77" s="512" t="s">
        <v>1216</v>
      </c>
      <c r="D77" s="512"/>
      <c r="E77" s="512"/>
      <c r="F77" s="512"/>
      <c r="G77" s="512"/>
      <c r="H77" s="504" t="s">
        <v>1217</v>
      </c>
      <c r="I77" s="503" t="s">
        <v>1218</v>
      </c>
      <c r="J77" s="504" t="s">
        <v>1219</v>
      </c>
      <c r="K77" s="503" t="s">
        <v>1199</v>
      </c>
      <c r="L77" s="504"/>
      <c r="M77" s="504"/>
      <c r="N77" s="504"/>
      <c r="O77" s="504"/>
      <c r="P77" s="505">
        <v>1</v>
      </c>
      <c r="Q77" s="504" t="s">
        <v>820</v>
      </c>
      <c r="R77" s="504"/>
      <c r="S77" s="504" t="s">
        <v>863</v>
      </c>
      <c r="T77" s="506"/>
      <c r="U77" s="504"/>
      <c r="V77" s="507" t="s">
        <v>864</v>
      </c>
      <c r="W77" s="507" t="s">
        <v>864</v>
      </c>
      <c r="X77" s="232"/>
      <c r="Y77" s="513"/>
      <c r="Z77" s="504"/>
      <c r="AA77" s="508"/>
      <c r="AB77" s="504"/>
      <c r="AC77" s="506">
        <v>1</v>
      </c>
      <c r="AD77" s="506">
        <v>1</v>
      </c>
      <c r="AE77" s="516"/>
      <c r="AF77" s="516"/>
      <c r="AG77" s="516"/>
      <c r="AH77" s="516"/>
      <c r="AI77" s="516"/>
      <c r="AJ77" s="516"/>
      <c r="AK77" s="516"/>
      <c r="AL77" s="516"/>
      <c r="AM77" s="516"/>
      <c r="AN77" s="516"/>
      <c r="AO77" s="516"/>
      <c r="AP77" s="516"/>
      <c r="AQ77" s="516"/>
      <c r="AR77" s="516"/>
      <c r="AS77" s="516"/>
      <c r="AT77" s="516"/>
      <c r="AU77" s="516"/>
      <c r="AV77" s="516"/>
      <c r="AW77" s="516"/>
      <c r="AX77" s="516"/>
      <c r="AY77" s="516"/>
      <c r="AZ77" s="516"/>
      <c r="BA77" s="516"/>
      <c r="BB77" s="516"/>
      <c r="BC77" s="516"/>
      <c r="BD77" s="516"/>
      <c r="BE77" s="516"/>
      <c r="BF77" s="516"/>
      <c r="BG77" s="516"/>
      <c r="BH77" s="516"/>
      <c r="BI77" s="516"/>
      <c r="BJ77" s="516"/>
      <c r="BK77" s="516"/>
      <c r="BL77" s="516"/>
      <c r="BM77" s="516"/>
      <c r="BN77" s="516"/>
      <c r="BO77" s="516"/>
      <c r="BP77" s="516"/>
      <c r="BQ77" s="516"/>
      <c r="BR77" s="516"/>
      <c r="BS77" s="516"/>
      <c r="BT77" s="516"/>
      <c r="BU77" s="516"/>
      <c r="BV77" s="516"/>
      <c r="BW77" s="516"/>
      <c r="BX77" s="516"/>
      <c r="BY77" s="516"/>
      <c r="BZ77" s="516"/>
      <c r="CA77" s="516"/>
      <c r="CB77" s="516"/>
      <c r="CC77" s="516"/>
      <c r="CD77" s="516"/>
      <c r="CE77" s="516"/>
      <c r="CF77" s="516"/>
      <c r="CG77" s="516"/>
      <c r="CH77" s="516"/>
      <c r="CI77" s="516"/>
      <c r="CJ77" s="516"/>
      <c r="CK77" s="516"/>
      <c r="CL77" s="516"/>
      <c r="CM77" s="516"/>
      <c r="CN77" s="516"/>
      <c r="CO77" s="516"/>
      <c r="CP77" s="516"/>
      <c r="CQ77" s="516"/>
      <c r="CR77" s="516"/>
      <c r="CS77" s="516"/>
      <c r="CT77" s="516"/>
      <c r="CU77" s="516"/>
      <c r="CV77" s="516"/>
      <c r="CW77" s="516"/>
      <c r="CX77" s="516"/>
      <c r="CY77" s="516"/>
      <c r="CZ77" s="516"/>
      <c r="DA77" s="516"/>
      <c r="DB77" s="516"/>
      <c r="DC77" s="516"/>
      <c r="DD77" s="516"/>
      <c r="DE77" s="516"/>
      <c r="DF77" s="516"/>
      <c r="DG77" s="516"/>
      <c r="DH77" s="516"/>
      <c r="DI77" s="516"/>
      <c r="DJ77" s="516"/>
      <c r="DK77" s="516"/>
      <c r="DL77" s="516"/>
      <c r="DM77" s="516"/>
      <c r="DN77" s="516"/>
      <c r="DO77" s="516"/>
      <c r="DP77" s="516"/>
      <c r="DQ77" s="516"/>
      <c r="DR77" s="516"/>
      <c r="DS77" s="516"/>
      <c r="DT77" s="516"/>
      <c r="DU77" s="516"/>
      <c r="DV77" s="516"/>
      <c r="DW77" s="516"/>
      <c r="DX77" s="516"/>
      <c r="DY77" s="516"/>
      <c r="DZ77" s="516"/>
      <c r="EA77" s="516"/>
      <c r="EB77" s="516"/>
      <c r="EC77" s="516"/>
      <c r="ED77" s="516"/>
      <c r="EE77" s="516"/>
      <c r="EF77" s="516"/>
      <c r="EG77" s="516"/>
      <c r="EH77" s="516"/>
      <c r="EI77" s="516"/>
      <c r="EJ77" s="516"/>
      <c r="EK77" s="516"/>
      <c r="EL77" s="516"/>
      <c r="EM77" s="516"/>
      <c r="EN77" s="516"/>
      <c r="EO77" s="516"/>
      <c r="EP77" s="516"/>
      <c r="EQ77" s="516"/>
      <c r="ER77" s="516"/>
      <c r="ES77" s="516"/>
      <c r="ET77" s="516"/>
      <c r="EU77" s="516"/>
      <c r="EV77" s="516"/>
      <c r="EW77" s="516"/>
      <c r="EX77" s="516"/>
      <c r="EY77" s="516"/>
      <c r="EZ77" s="516"/>
      <c r="FA77" s="516"/>
      <c r="FB77" s="516"/>
      <c r="FC77" s="516"/>
      <c r="FD77" s="516"/>
      <c r="FE77" s="516"/>
      <c r="FF77" s="516"/>
      <c r="FG77" s="516"/>
      <c r="FH77" s="516"/>
      <c r="FI77" s="516"/>
      <c r="FJ77" s="516"/>
      <c r="FK77" s="516"/>
      <c r="FL77" s="516"/>
      <c r="FM77" s="516"/>
      <c r="FN77" s="516"/>
      <c r="FO77" s="516"/>
      <c r="FP77" s="516"/>
      <c r="FQ77" s="516"/>
      <c r="FR77" s="516"/>
      <c r="FS77" s="516"/>
      <c r="FT77" s="516"/>
      <c r="FU77" s="516"/>
      <c r="FV77" s="516"/>
      <c r="FW77" s="516"/>
      <c r="FX77" s="516"/>
      <c r="FY77" s="516"/>
      <c r="FZ77" s="516"/>
      <c r="GA77" s="516"/>
      <c r="GB77" s="516"/>
      <c r="GC77" s="516"/>
      <c r="GD77" s="516"/>
      <c r="GE77" s="516"/>
      <c r="GF77" s="516"/>
      <c r="GG77" s="516"/>
      <c r="GH77" s="516"/>
      <c r="GI77" s="516"/>
      <c r="GJ77" s="516"/>
      <c r="GK77" s="516"/>
      <c r="GL77" s="516"/>
      <c r="GM77" s="516"/>
      <c r="GN77" s="516"/>
      <c r="GO77" s="516"/>
      <c r="GP77" s="516"/>
      <c r="GQ77" s="516"/>
      <c r="GR77" s="516"/>
      <c r="GS77" s="516"/>
      <c r="GT77" s="516"/>
      <c r="GU77" s="516"/>
      <c r="GV77" s="516"/>
      <c r="GW77" s="516"/>
      <c r="GX77" s="516"/>
      <c r="GY77" s="516"/>
      <c r="GZ77" s="516"/>
      <c r="HA77" s="516"/>
      <c r="HB77" s="516"/>
      <c r="HC77" s="516"/>
      <c r="HD77" s="516"/>
      <c r="HE77" s="516"/>
      <c r="HF77" s="516"/>
      <c r="HG77" s="516"/>
      <c r="HH77" s="516"/>
      <c r="HI77" s="516"/>
      <c r="HJ77" s="516"/>
      <c r="HK77" s="516"/>
      <c r="HL77" s="516"/>
      <c r="HM77" s="516"/>
      <c r="HN77" s="516"/>
      <c r="HO77" s="516"/>
      <c r="HP77" s="516"/>
      <c r="HQ77" s="516"/>
      <c r="HR77" s="516"/>
      <c r="HS77" s="516"/>
      <c r="HT77" s="516"/>
      <c r="HU77" s="516"/>
      <c r="HV77" s="516"/>
      <c r="HW77" s="516"/>
      <c r="HX77" s="516"/>
      <c r="HY77" s="516"/>
      <c r="HZ77" s="516"/>
      <c r="IA77" s="516"/>
      <c r="IB77" s="516"/>
      <c r="IC77" s="516"/>
      <c r="ID77" s="516"/>
      <c r="IE77" s="516"/>
      <c r="IF77" s="516"/>
      <c r="IG77" s="516"/>
      <c r="IH77" s="516"/>
      <c r="II77" s="516"/>
      <c r="IJ77" s="516"/>
      <c r="IK77" s="516"/>
      <c r="IL77" s="516"/>
      <c r="IM77" s="516"/>
      <c r="IN77" s="516"/>
      <c r="IO77" s="516"/>
      <c r="IP77" s="516"/>
      <c r="IQ77" s="516"/>
      <c r="IR77" s="516"/>
      <c r="IS77" s="516"/>
      <c r="IT77" s="516"/>
      <c r="IU77" s="516"/>
      <c r="IV77" s="516"/>
      <c r="IW77" s="516"/>
      <c r="IX77" s="516"/>
      <c r="IY77" s="516"/>
      <c r="IZ77" s="516"/>
      <c r="JA77" s="516"/>
      <c r="JB77" s="516"/>
      <c r="JC77" s="516"/>
      <c r="JD77" s="516"/>
      <c r="JE77" s="516"/>
      <c r="JF77" s="516"/>
      <c r="JG77" s="516"/>
      <c r="JH77" s="516"/>
      <c r="JI77" s="516"/>
      <c r="JJ77" s="516"/>
      <c r="JK77" s="516"/>
      <c r="JL77" s="516"/>
      <c r="JM77" s="516"/>
      <c r="JN77" s="516"/>
      <c r="JO77" s="516"/>
      <c r="JP77" s="516"/>
      <c r="JQ77" s="516"/>
      <c r="JR77" s="516"/>
      <c r="JS77" s="516"/>
      <c r="JT77" s="516"/>
      <c r="JU77" s="516"/>
      <c r="JV77" s="516"/>
      <c r="JW77" s="516"/>
      <c r="JX77" s="516"/>
      <c r="JY77" s="516"/>
      <c r="JZ77" s="516"/>
      <c r="KA77" s="516"/>
      <c r="KB77" s="516"/>
      <c r="KC77" s="516"/>
      <c r="KD77" s="516"/>
      <c r="KE77" s="516"/>
      <c r="KF77" s="516"/>
      <c r="KG77" s="516"/>
      <c r="KH77" s="516"/>
      <c r="KI77" s="516"/>
      <c r="KJ77" s="516"/>
      <c r="KK77" s="516"/>
      <c r="KL77" s="516"/>
      <c r="KM77" s="516"/>
      <c r="KN77" s="516"/>
      <c r="KO77" s="516"/>
      <c r="KP77" s="516"/>
      <c r="KQ77" s="516"/>
      <c r="KR77" s="516"/>
      <c r="KS77" s="516"/>
      <c r="KT77" s="516"/>
      <c r="KU77" s="516"/>
      <c r="KV77" s="516"/>
      <c r="KW77" s="516"/>
      <c r="KX77" s="516"/>
      <c r="KY77" s="516"/>
      <c r="KZ77" s="516"/>
      <c r="LA77" s="516"/>
      <c r="LB77" s="516"/>
      <c r="LC77" s="516"/>
      <c r="LD77" s="516"/>
      <c r="LE77" s="516"/>
      <c r="LF77" s="516"/>
      <c r="LG77" s="516"/>
      <c r="LH77" s="516"/>
      <c r="LI77" s="516"/>
      <c r="LJ77" s="516"/>
      <c r="LK77" s="516"/>
      <c r="LL77" s="516"/>
      <c r="LM77" s="516"/>
      <c r="LN77" s="516"/>
      <c r="LO77" s="516"/>
      <c r="LP77" s="516"/>
      <c r="LQ77" s="516"/>
      <c r="LR77" s="516"/>
      <c r="LS77" s="516"/>
      <c r="LT77" s="516"/>
      <c r="LU77" s="516"/>
      <c r="LV77" s="516"/>
      <c r="LW77" s="516"/>
      <c r="LX77" s="516"/>
      <c r="LY77" s="516"/>
      <c r="LZ77" s="516"/>
      <c r="MA77" s="516"/>
      <c r="MB77" s="516"/>
      <c r="MC77" s="516"/>
      <c r="MD77" s="516"/>
      <c r="ME77" s="516"/>
      <c r="MF77" s="516"/>
      <c r="MG77" s="516"/>
      <c r="MH77" s="516"/>
      <c r="MI77" s="516"/>
      <c r="MJ77" s="516"/>
      <c r="MK77" s="516"/>
      <c r="ML77" s="516"/>
      <c r="MM77" s="516"/>
      <c r="MN77" s="516"/>
      <c r="MO77" s="516"/>
      <c r="MP77" s="516"/>
      <c r="MQ77" s="516"/>
      <c r="MR77" s="516"/>
      <c r="MS77" s="516"/>
      <c r="MT77" s="516"/>
      <c r="MU77" s="516"/>
      <c r="MV77" s="516"/>
      <c r="MW77" s="516"/>
      <c r="MX77" s="516"/>
      <c r="MY77" s="516"/>
      <c r="MZ77" s="516"/>
      <c r="NA77" s="516"/>
      <c r="NB77" s="516"/>
      <c r="NC77" s="516"/>
      <c r="ND77" s="516"/>
      <c r="NE77" s="516"/>
      <c r="NF77" s="516"/>
      <c r="NG77" s="516"/>
      <c r="NH77" s="516"/>
      <c r="NI77" s="516"/>
      <c r="NJ77" s="516"/>
      <c r="NK77" s="516"/>
      <c r="NL77" s="516"/>
      <c r="NM77" s="516"/>
      <c r="NN77" s="516"/>
      <c r="NO77" s="516"/>
      <c r="NP77" s="516"/>
      <c r="NQ77" s="516"/>
      <c r="NR77" s="516"/>
      <c r="NS77" s="516"/>
      <c r="NT77" s="516"/>
      <c r="NU77" s="516"/>
      <c r="NV77" s="516"/>
      <c r="NW77" s="516"/>
      <c r="NX77" s="516"/>
      <c r="NY77" s="516"/>
      <c r="NZ77" s="516"/>
      <c r="OA77" s="516"/>
      <c r="OB77" s="516"/>
      <c r="OC77" s="516"/>
      <c r="OD77" s="516"/>
      <c r="OE77" s="516"/>
      <c r="OF77" s="516"/>
      <c r="OG77" s="516"/>
      <c r="OH77" s="516"/>
      <c r="OI77" s="516"/>
      <c r="OJ77" s="516"/>
      <c r="OK77" s="516"/>
      <c r="OL77" s="516"/>
      <c r="OM77" s="516"/>
      <c r="ON77" s="516"/>
      <c r="OO77" s="516"/>
      <c r="OP77" s="516"/>
      <c r="OQ77" s="516"/>
      <c r="OR77" s="516"/>
      <c r="OS77" s="516"/>
      <c r="OT77" s="516"/>
      <c r="OU77" s="516"/>
      <c r="OV77" s="516"/>
      <c r="OW77" s="516"/>
      <c r="OX77" s="516"/>
      <c r="OY77" s="516"/>
      <c r="OZ77" s="516"/>
      <c r="PA77" s="516"/>
      <c r="PB77" s="516"/>
      <c r="PC77" s="516"/>
      <c r="PD77" s="516"/>
      <c r="PE77" s="516"/>
      <c r="PF77" s="516"/>
      <c r="PG77" s="516"/>
      <c r="PH77" s="516"/>
      <c r="PI77" s="516"/>
      <c r="PJ77" s="516"/>
      <c r="PK77" s="516"/>
      <c r="PL77" s="516"/>
      <c r="PM77" s="516"/>
      <c r="PN77" s="516"/>
      <c r="PO77" s="516"/>
      <c r="PP77" s="516"/>
      <c r="PQ77" s="516"/>
      <c r="PR77" s="516"/>
      <c r="PS77" s="516"/>
      <c r="PT77" s="516"/>
      <c r="PU77" s="516"/>
      <c r="PV77" s="516"/>
      <c r="PW77" s="516"/>
      <c r="PX77" s="516"/>
      <c r="PY77" s="516"/>
      <c r="PZ77" s="516"/>
      <c r="QA77" s="516"/>
      <c r="QB77" s="516"/>
      <c r="QC77" s="516"/>
      <c r="QD77" s="516"/>
      <c r="QE77" s="516"/>
      <c r="QF77" s="516"/>
      <c r="QG77" s="516"/>
      <c r="QH77" s="516"/>
      <c r="QI77" s="516"/>
      <c r="QJ77" s="516"/>
      <c r="QK77" s="516"/>
      <c r="QL77" s="516"/>
      <c r="QM77" s="516"/>
      <c r="QN77" s="516"/>
      <c r="QO77" s="516"/>
      <c r="QP77" s="516"/>
      <c r="QQ77" s="516"/>
      <c r="QR77" s="516"/>
      <c r="QS77" s="516"/>
      <c r="QT77" s="516"/>
      <c r="QU77" s="516"/>
      <c r="QV77" s="516"/>
      <c r="QW77" s="516"/>
      <c r="QX77" s="516"/>
      <c r="QY77" s="516"/>
      <c r="QZ77" s="516"/>
      <c r="RA77" s="516"/>
      <c r="RB77" s="516"/>
      <c r="RC77" s="516"/>
      <c r="RD77" s="516"/>
      <c r="RE77" s="516"/>
      <c r="RF77" s="516"/>
      <c r="RG77" s="516"/>
      <c r="RH77" s="516"/>
      <c r="RI77" s="516"/>
      <c r="RJ77" s="516"/>
      <c r="RK77" s="516"/>
      <c r="RL77" s="516"/>
      <c r="RM77" s="516"/>
      <c r="RN77" s="516"/>
      <c r="RO77" s="516"/>
      <c r="RP77" s="516"/>
      <c r="RQ77" s="516"/>
      <c r="RR77" s="516"/>
      <c r="RS77" s="516"/>
      <c r="RT77" s="516"/>
      <c r="RU77" s="516"/>
      <c r="RV77" s="516"/>
      <c r="RW77" s="516"/>
      <c r="RX77" s="516"/>
      <c r="RY77" s="516"/>
      <c r="RZ77" s="516"/>
      <c r="SA77" s="516"/>
      <c r="SB77" s="516"/>
      <c r="SC77" s="516"/>
      <c r="SD77" s="516"/>
      <c r="SE77" s="516"/>
      <c r="SF77" s="516"/>
      <c r="SG77" s="516"/>
      <c r="SH77" s="516"/>
      <c r="SI77" s="516"/>
      <c r="SJ77" s="516"/>
      <c r="SK77" s="516"/>
      <c r="SL77" s="516"/>
      <c r="SM77" s="516"/>
      <c r="SN77" s="516"/>
      <c r="SO77" s="516"/>
      <c r="SP77" s="516"/>
      <c r="SQ77" s="516"/>
      <c r="SR77" s="516"/>
      <c r="SS77" s="516"/>
      <c r="ST77" s="516"/>
      <c r="SU77" s="516"/>
      <c r="SV77" s="516"/>
      <c r="SW77" s="516"/>
      <c r="SX77" s="516"/>
      <c r="SY77" s="516"/>
      <c r="SZ77" s="516"/>
      <c r="TA77" s="516"/>
      <c r="TB77" s="516"/>
      <c r="TC77" s="516"/>
      <c r="TD77" s="516"/>
      <c r="TE77" s="516"/>
      <c r="TF77" s="516"/>
      <c r="TG77" s="516"/>
      <c r="TH77" s="516"/>
      <c r="TI77" s="516"/>
      <c r="TJ77" s="516"/>
      <c r="TK77" s="516"/>
      <c r="TL77" s="516"/>
      <c r="TM77" s="516"/>
      <c r="TN77" s="516"/>
      <c r="TO77" s="516"/>
      <c r="TP77" s="516"/>
      <c r="TQ77" s="516"/>
      <c r="TR77" s="516"/>
      <c r="TS77" s="516"/>
      <c r="TT77" s="516"/>
      <c r="TU77" s="516"/>
      <c r="TV77" s="516"/>
      <c r="TW77" s="516"/>
      <c r="TX77" s="516"/>
      <c r="TY77" s="516"/>
      <c r="TZ77" s="516"/>
      <c r="UA77" s="516"/>
      <c r="UB77" s="516"/>
      <c r="UC77" s="516"/>
      <c r="UD77" s="516"/>
      <c r="UE77" s="516"/>
      <c r="UF77" s="516"/>
      <c r="UG77" s="516"/>
      <c r="UH77" s="516"/>
      <c r="UI77" s="516"/>
      <c r="UJ77" s="516"/>
      <c r="UK77" s="516"/>
      <c r="UL77" s="516"/>
      <c r="UM77" s="516"/>
      <c r="UN77" s="516"/>
      <c r="UO77" s="516"/>
      <c r="UP77" s="516"/>
      <c r="UQ77" s="516"/>
      <c r="UR77" s="516"/>
      <c r="US77" s="516"/>
      <c r="UT77" s="516"/>
      <c r="UU77" s="516"/>
      <c r="UV77" s="516"/>
      <c r="UW77" s="516"/>
      <c r="UX77" s="516"/>
      <c r="UY77" s="516"/>
      <c r="UZ77" s="516"/>
      <c r="VA77" s="516"/>
      <c r="VB77" s="516"/>
      <c r="VC77" s="516"/>
      <c r="VD77" s="516"/>
      <c r="VE77" s="516"/>
      <c r="VF77" s="516"/>
      <c r="VG77" s="516"/>
      <c r="VH77" s="516"/>
      <c r="VI77" s="516"/>
      <c r="VJ77" s="516"/>
      <c r="VK77" s="516"/>
      <c r="VL77" s="516"/>
      <c r="VM77" s="516"/>
      <c r="VN77" s="516"/>
      <c r="VO77" s="516"/>
      <c r="VP77" s="516"/>
      <c r="VQ77" s="516"/>
      <c r="VR77" s="516"/>
      <c r="VS77" s="516"/>
      <c r="VT77" s="516"/>
      <c r="VU77" s="516"/>
      <c r="VV77" s="516"/>
      <c r="VW77" s="516"/>
      <c r="VX77" s="516"/>
      <c r="VY77" s="516"/>
      <c r="VZ77" s="516"/>
      <c r="WA77" s="516"/>
      <c r="WB77" s="516"/>
      <c r="WC77" s="516"/>
      <c r="WD77" s="516"/>
      <c r="WE77" s="516"/>
      <c r="WF77" s="516"/>
      <c r="WG77" s="516"/>
      <c r="WH77" s="516"/>
      <c r="WI77" s="516"/>
      <c r="WJ77" s="516"/>
      <c r="WK77" s="516"/>
      <c r="WL77" s="516"/>
      <c r="WM77" s="516"/>
      <c r="WN77" s="516"/>
      <c r="WO77" s="516"/>
      <c r="WP77" s="516"/>
      <c r="WQ77" s="516"/>
      <c r="WR77" s="516"/>
      <c r="WS77" s="516"/>
      <c r="WT77" s="516"/>
      <c r="WU77" s="516"/>
      <c r="WV77" s="516"/>
      <c r="WW77" s="516"/>
      <c r="WX77" s="516"/>
      <c r="WY77" s="516"/>
      <c r="WZ77" s="516"/>
      <c r="XA77" s="516"/>
      <c r="XB77" s="516"/>
      <c r="XC77" s="516"/>
      <c r="XD77" s="516"/>
      <c r="XE77" s="516"/>
      <c r="XF77" s="516"/>
      <c r="XG77" s="516"/>
      <c r="XH77" s="516"/>
      <c r="XI77" s="516"/>
      <c r="XJ77" s="516"/>
      <c r="XK77" s="516"/>
      <c r="XL77" s="516"/>
      <c r="XM77" s="516"/>
      <c r="XN77" s="516"/>
      <c r="XO77" s="516"/>
      <c r="XP77" s="516"/>
      <c r="XQ77" s="516"/>
      <c r="XR77" s="516"/>
      <c r="XS77" s="516"/>
      <c r="XT77" s="516"/>
      <c r="XU77" s="516"/>
      <c r="XV77" s="516"/>
      <c r="XW77" s="516"/>
      <c r="XX77" s="516"/>
      <c r="XY77" s="516"/>
      <c r="XZ77" s="516"/>
      <c r="YA77" s="516"/>
      <c r="YB77" s="516"/>
      <c r="YC77" s="516"/>
      <c r="YD77" s="516"/>
      <c r="YE77" s="516"/>
      <c r="YF77" s="516"/>
      <c r="YG77" s="516"/>
      <c r="YH77" s="516"/>
      <c r="YI77" s="516"/>
      <c r="YJ77" s="516"/>
      <c r="YK77" s="516"/>
      <c r="YL77" s="516"/>
      <c r="YM77" s="516"/>
      <c r="YN77" s="516"/>
      <c r="YO77" s="516"/>
      <c r="YP77" s="516"/>
      <c r="YQ77" s="516"/>
      <c r="YR77" s="516"/>
      <c r="YS77" s="516"/>
      <c r="YT77" s="516"/>
      <c r="YU77" s="516"/>
      <c r="YV77" s="516"/>
      <c r="YW77" s="516"/>
      <c r="YX77" s="516"/>
      <c r="YY77" s="516"/>
      <c r="YZ77" s="516"/>
      <c r="ZA77" s="516"/>
      <c r="ZB77" s="516"/>
      <c r="ZC77" s="516"/>
      <c r="ZD77" s="516"/>
      <c r="ZE77" s="516"/>
      <c r="ZF77" s="516"/>
      <c r="ZG77" s="516"/>
      <c r="ZH77" s="516"/>
      <c r="ZI77" s="516"/>
      <c r="ZJ77" s="516"/>
      <c r="ZK77" s="516"/>
      <c r="ZL77" s="516"/>
      <c r="ZM77" s="516"/>
      <c r="ZN77" s="516"/>
      <c r="ZO77" s="516"/>
      <c r="ZP77" s="516"/>
      <c r="ZQ77" s="516"/>
      <c r="ZR77" s="516"/>
      <c r="ZS77" s="516"/>
      <c r="ZT77" s="516"/>
      <c r="ZU77" s="516"/>
      <c r="ZV77" s="516"/>
      <c r="ZW77" s="516"/>
      <c r="ZX77" s="516"/>
      <c r="ZY77" s="516"/>
      <c r="ZZ77" s="516"/>
      <c r="AAA77" s="516"/>
      <c r="AAB77" s="516"/>
      <c r="AAC77" s="516"/>
      <c r="AAD77" s="516"/>
      <c r="AAE77" s="516"/>
      <c r="AAF77" s="516"/>
      <c r="AAG77" s="516"/>
      <c r="AAH77" s="516"/>
      <c r="AAI77" s="516"/>
      <c r="AAJ77" s="516"/>
      <c r="AAK77" s="516"/>
      <c r="AAL77" s="516"/>
      <c r="AAM77" s="516"/>
      <c r="AAN77" s="516"/>
      <c r="AAO77" s="516"/>
      <c r="AAP77" s="516"/>
      <c r="AAQ77" s="516"/>
      <c r="AAR77" s="516"/>
      <c r="AAS77" s="516"/>
      <c r="AAT77" s="516"/>
      <c r="AAU77" s="516"/>
      <c r="AAV77" s="516"/>
      <c r="AAW77" s="516"/>
      <c r="AAX77" s="516"/>
      <c r="AAY77" s="516"/>
      <c r="AAZ77" s="516"/>
      <c r="ABA77" s="516"/>
      <c r="ABB77" s="516"/>
      <c r="ABC77" s="516"/>
      <c r="ABD77" s="516"/>
      <c r="ABE77" s="516"/>
      <c r="ABF77" s="516"/>
      <c r="ABG77" s="516"/>
      <c r="ABH77" s="516"/>
      <c r="ABI77" s="516"/>
      <c r="ABJ77" s="516"/>
      <c r="ABK77" s="516"/>
      <c r="ABL77" s="516"/>
      <c r="ABM77" s="516"/>
      <c r="ABN77" s="516"/>
      <c r="ABO77" s="516"/>
      <c r="ABP77" s="516"/>
      <c r="ABQ77" s="516"/>
      <c r="ABR77" s="516"/>
      <c r="ABS77" s="516"/>
      <c r="ABT77" s="516"/>
      <c r="ABU77" s="516"/>
      <c r="ABV77" s="516"/>
      <c r="ABW77" s="516"/>
      <c r="ABX77" s="516"/>
      <c r="ABY77" s="516"/>
      <c r="ABZ77" s="516"/>
      <c r="ACA77" s="516"/>
      <c r="ACB77" s="516"/>
      <c r="ACC77" s="516"/>
      <c r="ACD77" s="516"/>
      <c r="ACE77" s="516"/>
      <c r="ACF77" s="516"/>
      <c r="ACG77" s="516"/>
      <c r="ACH77" s="516"/>
      <c r="ACI77" s="516"/>
      <c r="ACJ77" s="516"/>
      <c r="ACK77" s="516"/>
      <c r="ACL77" s="516"/>
      <c r="ACM77" s="516"/>
      <c r="ACN77" s="516"/>
      <c r="ACO77" s="516"/>
      <c r="ACP77" s="516"/>
      <c r="ACQ77" s="516"/>
      <c r="ACR77" s="516"/>
      <c r="ACS77" s="516"/>
      <c r="ACT77" s="516"/>
      <c r="ACU77" s="516"/>
      <c r="ACV77" s="516"/>
      <c r="ACW77" s="516"/>
      <c r="ACX77" s="516"/>
      <c r="ACY77" s="516"/>
      <c r="ACZ77" s="516"/>
      <c r="ADA77" s="516"/>
      <c r="ADB77" s="516"/>
      <c r="ADC77" s="516"/>
      <c r="ADD77" s="516"/>
      <c r="ADE77" s="516"/>
      <c r="ADF77" s="516"/>
      <c r="ADG77" s="516"/>
      <c r="ADH77" s="516"/>
      <c r="ADI77" s="516"/>
      <c r="ADJ77" s="516"/>
      <c r="ADK77" s="516"/>
      <c r="ADL77" s="516"/>
      <c r="ADM77" s="516"/>
      <c r="ADN77" s="516"/>
      <c r="ADO77" s="516"/>
      <c r="ADP77" s="516"/>
      <c r="ADQ77" s="516"/>
      <c r="ADR77" s="516"/>
      <c r="ADS77" s="516"/>
      <c r="ADT77" s="516"/>
      <c r="ADU77" s="516"/>
      <c r="ADV77" s="516"/>
      <c r="ADW77" s="516"/>
      <c r="ADX77" s="516"/>
      <c r="ADY77" s="516"/>
      <c r="ADZ77" s="516"/>
      <c r="AEA77" s="516"/>
      <c r="AEB77" s="516"/>
      <c r="AEC77" s="516"/>
      <c r="AED77" s="516"/>
      <c r="AEE77" s="516"/>
      <c r="AEF77" s="516"/>
      <c r="AEG77" s="516"/>
      <c r="AEH77" s="516"/>
      <c r="AEI77" s="516"/>
      <c r="AEJ77" s="516"/>
      <c r="AEK77" s="516"/>
      <c r="AEL77" s="516"/>
      <c r="AEM77" s="516"/>
      <c r="AEN77" s="516"/>
      <c r="AEO77" s="516"/>
      <c r="AEP77" s="516"/>
      <c r="AEQ77" s="516"/>
      <c r="AER77" s="516"/>
      <c r="AES77" s="516"/>
      <c r="AET77" s="516"/>
      <c r="AEU77" s="516"/>
      <c r="AEV77" s="516"/>
      <c r="AEW77" s="516"/>
      <c r="AEX77" s="516"/>
      <c r="AEY77" s="516"/>
      <c r="AEZ77" s="516"/>
      <c r="AFA77" s="516"/>
      <c r="AFB77" s="516"/>
      <c r="AFC77" s="516"/>
      <c r="AFD77" s="516"/>
      <c r="AFE77" s="516"/>
      <c r="AFF77" s="516"/>
      <c r="AFG77" s="516"/>
      <c r="AFH77" s="516"/>
      <c r="AFI77" s="516"/>
      <c r="AFJ77" s="516"/>
      <c r="AFK77" s="516"/>
      <c r="AFL77" s="516"/>
      <c r="AFM77" s="516"/>
      <c r="AFN77" s="516"/>
      <c r="AFO77" s="516"/>
      <c r="AFP77" s="516"/>
      <c r="AFQ77" s="516"/>
      <c r="AFR77" s="516"/>
      <c r="AFS77" s="516"/>
      <c r="AFT77" s="516"/>
      <c r="AFU77" s="516"/>
      <c r="AFV77" s="516"/>
      <c r="AFW77" s="516"/>
      <c r="AFX77" s="516"/>
      <c r="AFY77" s="516"/>
      <c r="AFZ77" s="516"/>
      <c r="AGA77" s="516"/>
      <c r="AGB77" s="516"/>
      <c r="AGC77" s="516"/>
      <c r="AGD77" s="516"/>
      <c r="AGE77" s="516"/>
      <c r="AGF77" s="516"/>
      <c r="AGG77" s="516"/>
      <c r="AGH77" s="516"/>
      <c r="AGI77" s="516"/>
      <c r="AGJ77" s="516"/>
      <c r="AGK77" s="516"/>
      <c r="AGL77" s="516"/>
      <c r="AGM77" s="516"/>
      <c r="AGN77" s="516"/>
      <c r="AGO77" s="516"/>
      <c r="AGP77" s="516"/>
      <c r="AGQ77" s="516"/>
      <c r="AGR77" s="516"/>
      <c r="AGS77" s="516"/>
      <c r="AGT77" s="516"/>
      <c r="AGU77" s="516"/>
      <c r="AGV77" s="516"/>
      <c r="AGW77" s="516"/>
      <c r="AGX77" s="516"/>
      <c r="AGY77" s="516"/>
      <c r="AGZ77" s="516"/>
      <c r="AHA77" s="516"/>
      <c r="AHB77" s="516"/>
      <c r="AHC77" s="516"/>
      <c r="AHD77" s="516"/>
      <c r="AHE77" s="516"/>
      <c r="AHF77" s="516"/>
      <c r="AHG77" s="516"/>
      <c r="AHH77" s="516"/>
      <c r="AHI77" s="516"/>
      <c r="AHJ77" s="516"/>
      <c r="AHK77" s="516"/>
      <c r="AHL77" s="516"/>
      <c r="AHM77" s="516"/>
      <c r="AHN77" s="516"/>
      <c r="AHO77" s="516"/>
      <c r="AHP77" s="516"/>
      <c r="AHQ77" s="516"/>
      <c r="AHR77" s="516"/>
      <c r="AHS77" s="516"/>
      <c r="AHT77" s="516"/>
      <c r="AHU77" s="516"/>
      <c r="AHV77" s="516"/>
      <c r="AHW77" s="516"/>
      <c r="AHX77" s="516"/>
      <c r="AHY77" s="516"/>
      <c r="AHZ77" s="516"/>
      <c r="AIA77" s="516"/>
      <c r="AIB77" s="516"/>
      <c r="AIC77" s="516"/>
      <c r="AID77" s="516"/>
      <c r="AIE77" s="516"/>
      <c r="AIF77" s="516"/>
      <c r="AIG77" s="516"/>
      <c r="AIH77" s="516"/>
      <c r="AII77" s="516"/>
      <c r="AIJ77" s="516"/>
      <c r="AIK77" s="516"/>
      <c r="AIL77" s="516"/>
      <c r="AIM77" s="516"/>
      <c r="AIN77" s="516"/>
      <c r="AIO77" s="516"/>
      <c r="AIP77" s="516"/>
      <c r="AIQ77" s="516"/>
      <c r="AIR77" s="516"/>
      <c r="AIS77" s="516"/>
      <c r="AIT77" s="516"/>
      <c r="AIU77" s="516"/>
      <c r="AIV77" s="516"/>
      <c r="AIW77" s="516"/>
      <c r="AIX77" s="516"/>
      <c r="AIY77" s="516"/>
      <c r="AIZ77" s="516"/>
      <c r="AJA77" s="516"/>
      <c r="AJB77" s="516"/>
      <c r="AJC77" s="516"/>
      <c r="AJD77" s="516"/>
      <c r="AJE77" s="516"/>
      <c r="AJF77" s="516"/>
      <c r="AJG77" s="516"/>
      <c r="AJH77" s="516"/>
      <c r="AJI77" s="516"/>
      <c r="AJJ77" s="516"/>
      <c r="AJK77" s="516"/>
      <c r="AJL77" s="516"/>
      <c r="AJM77" s="516"/>
      <c r="AJN77" s="516"/>
      <c r="AJO77" s="516"/>
      <c r="AJP77" s="516"/>
      <c r="AJQ77" s="516"/>
      <c r="AJR77" s="516"/>
      <c r="AJS77" s="516"/>
      <c r="AJT77" s="516"/>
      <c r="AJU77" s="516"/>
      <c r="AJV77" s="516"/>
      <c r="AJW77" s="516"/>
      <c r="AJX77" s="516"/>
      <c r="AJY77" s="516"/>
      <c r="AJZ77" s="516"/>
      <c r="AKA77" s="516"/>
      <c r="AKB77" s="516"/>
      <c r="AKC77" s="516"/>
      <c r="AKD77" s="516"/>
      <c r="AKE77" s="516"/>
      <c r="AKF77" s="516"/>
      <c r="AKG77" s="516"/>
      <c r="AKH77" s="516"/>
      <c r="AKI77" s="516"/>
      <c r="AKJ77" s="516"/>
      <c r="AKK77" s="516"/>
      <c r="AKL77" s="516"/>
      <c r="AKM77" s="516"/>
      <c r="AKN77" s="516"/>
      <c r="AKO77" s="516"/>
      <c r="AKP77" s="516"/>
      <c r="AKQ77" s="516"/>
      <c r="AKR77" s="516"/>
      <c r="AKS77" s="516"/>
      <c r="AKT77" s="516"/>
      <c r="AKU77" s="516"/>
      <c r="AKV77" s="516"/>
      <c r="AKW77" s="516"/>
      <c r="AKX77" s="516"/>
      <c r="AKY77" s="516"/>
      <c r="AKZ77" s="516"/>
      <c r="ALA77" s="516"/>
      <c r="ALB77" s="516"/>
      <c r="ALC77" s="516"/>
      <c r="ALD77" s="516"/>
      <c r="ALE77" s="516"/>
      <c r="ALF77" s="516"/>
      <c r="ALG77" s="516"/>
      <c r="ALH77" s="516"/>
      <c r="ALI77" s="516"/>
      <c r="ALJ77" s="516"/>
      <c r="ALK77" s="516"/>
      <c r="ALL77" s="516"/>
      <c r="ALM77" s="516"/>
      <c r="ALN77" s="516"/>
      <c r="ALO77" s="516"/>
      <c r="ALP77" s="516"/>
      <c r="ALQ77" s="516"/>
      <c r="ALR77" s="516"/>
      <c r="ALS77" s="516"/>
      <c r="ALT77" s="516"/>
      <c r="ALU77" s="516"/>
      <c r="ALV77" s="516"/>
      <c r="ALW77" s="516"/>
      <c r="ALX77" s="516"/>
      <c r="ALY77" s="516"/>
      <c r="ALZ77" s="516"/>
    </row>
    <row r="78" spans="1:1014" s="224" customFormat="1" ht="13.5" customHeight="1">
      <c r="A78" s="225">
        <v>67</v>
      </c>
      <c r="B78" s="217"/>
      <c r="C78" s="241" t="s">
        <v>1220</v>
      </c>
      <c r="D78" s="217"/>
      <c r="E78" s="217"/>
      <c r="F78" s="217"/>
      <c r="G78" s="217"/>
      <c r="H78" s="504" t="s">
        <v>1221</v>
      </c>
      <c r="I78" s="503" t="s">
        <v>1222</v>
      </c>
      <c r="J78" s="504" t="s">
        <v>1223</v>
      </c>
      <c r="K78" s="503" t="s">
        <v>1224</v>
      </c>
      <c r="L78" s="504" t="s">
        <v>1225</v>
      </c>
      <c r="M78" s="517" t="s">
        <v>1226</v>
      </c>
      <c r="N78" s="517"/>
      <c r="O78" s="504"/>
      <c r="P78" s="505"/>
      <c r="Q78" s="504" t="s">
        <v>820</v>
      </c>
      <c r="R78" s="504"/>
      <c r="S78" s="504" t="s">
        <v>879</v>
      </c>
      <c r="T78" s="506"/>
      <c r="U78" s="504" t="s">
        <v>932</v>
      </c>
      <c r="V78" s="507" t="s">
        <v>864</v>
      </c>
      <c r="W78" s="507" t="s">
        <v>864</v>
      </c>
      <c r="X78" s="232"/>
      <c r="Y78" s="513"/>
      <c r="Z78" s="504" t="s">
        <v>1144</v>
      </c>
      <c r="AA78" s="508"/>
      <c r="AB78" s="504"/>
      <c r="AC78" s="506">
        <v>1</v>
      </c>
      <c r="AD78" s="506">
        <v>1</v>
      </c>
    </row>
    <row r="79" spans="1:1014" s="244" customFormat="1" ht="13.5" customHeight="1">
      <c r="A79" s="225">
        <v>68</v>
      </c>
      <c r="B79" s="217"/>
      <c r="C79" s="241" t="s">
        <v>1227</v>
      </c>
      <c r="D79" s="217"/>
      <c r="E79" s="221"/>
      <c r="F79" s="222"/>
      <c r="G79" s="222"/>
      <c r="H79" s="504" t="s">
        <v>1228</v>
      </c>
      <c r="I79" s="503" t="s">
        <v>1229</v>
      </c>
      <c r="J79" s="504"/>
      <c r="K79" s="503" t="s">
        <v>1230</v>
      </c>
      <c r="L79" s="504"/>
      <c r="M79" s="504"/>
      <c r="N79" s="504"/>
      <c r="O79" s="504"/>
      <c r="P79" s="505">
        <v>1</v>
      </c>
      <c r="Q79" s="504" t="s">
        <v>820</v>
      </c>
      <c r="R79" s="504"/>
      <c r="S79" s="504" t="s">
        <v>863</v>
      </c>
      <c r="T79" s="506" t="s">
        <v>864</v>
      </c>
      <c r="U79" s="504" t="s">
        <v>1231</v>
      </c>
      <c r="V79" s="507" t="s">
        <v>864</v>
      </c>
      <c r="W79" s="507" t="s">
        <v>864</v>
      </c>
      <c r="X79" s="232"/>
      <c r="Y79" s="513"/>
      <c r="Z79" s="504" t="s">
        <v>968</v>
      </c>
      <c r="AA79" s="508"/>
      <c r="AB79" s="504"/>
      <c r="AC79" s="506">
        <v>1</v>
      </c>
      <c r="AD79" s="506">
        <v>1</v>
      </c>
    </row>
    <row r="80" spans="1:1014" s="224" customFormat="1" ht="13.5" customHeight="1">
      <c r="A80" s="225">
        <v>69</v>
      </c>
      <c r="B80" s="217"/>
      <c r="C80" s="217" t="s">
        <v>1232</v>
      </c>
      <c r="D80" s="217"/>
      <c r="E80" s="217"/>
      <c r="F80" s="217"/>
      <c r="G80" s="217"/>
      <c r="H80" s="504" t="s">
        <v>1233</v>
      </c>
      <c r="I80" s="503" t="s">
        <v>1234</v>
      </c>
      <c r="J80" s="504" t="s">
        <v>1208</v>
      </c>
      <c r="K80" s="503" t="s">
        <v>939</v>
      </c>
      <c r="L80" s="504" t="s">
        <v>1235</v>
      </c>
      <c r="M80" s="504" t="s">
        <v>1236</v>
      </c>
      <c r="N80" s="504"/>
      <c r="O80" s="504"/>
      <c r="P80" s="505">
        <v>1</v>
      </c>
      <c r="Q80" s="504" t="s">
        <v>817</v>
      </c>
      <c r="R80" s="504"/>
      <c r="S80" s="504" t="s">
        <v>863</v>
      </c>
      <c r="T80" s="506"/>
      <c r="U80" s="504"/>
      <c r="V80" s="507" t="s">
        <v>864</v>
      </c>
      <c r="W80" s="507" t="s">
        <v>864</v>
      </c>
      <c r="X80" s="232"/>
      <c r="Y80" s="513"/>
      <c r="Z80" s="504"/>
      <c r="AA80" s="508"/>
      <c r="AB80" s="504"/>
      <c r="AC80" s="506">
        <v>1</v>
      </c>
      <c r="AD80" s="506">
        <v>1</v>
      </c>
    </row>
    <row r="81" spans="1:32" s="224" customFormat="1" ht="13.5" customHeight="1">
      <c r="A81" s="225">
        <v>70</v>
      </c>
      <c r="B81" s="217"/>
      <c r="C81" s="241" t="s">
        <v>1237</v>
      </c>
      <c r="D81" s="217"/>
      <c r="E81" s="217"/>
      <c r="F81" s="217"/>
      <c r="G81" s="217"/>
      <c r="H81" s="504" t="s">
        <v>1238</v>
      </c>
      <c r="I81" s="503"/>
      <c r="J81" s="504" t="s">
        <v>1239</v>
      </c>
      <c r="K81" s="503"/>
      <c r="L81" s="504"/>
      <c r="M81" s="504"/>
      <c r="N81" s="504"/>
      <c r="O81" s="504"/>
      <c r="P81" s="505"/>
      <c r="Q81" s="504" t="s">
        <v>820</v>
      </c>
      <c r="R81" s="504" t="s">
        <v>864</v>
      </c>
      <c r="S81" s="243" t="s">
        <v>1239</v>
      </c>
      <c r="T81" s="506"/>
      <c r="U81" s="504"/>
      <c r="V81" s="507" t="s">
        <v>864</v>
      </c>
      <c r="W81" s="507" t="s">
        <v>864</v>
      </c>
      <c r="X81" s="232"/>
      <c r="Y81" s="513"/>
      <c r="Z81" s="504"/>
      <c r="AA81" s="508"/>
      <c r="AB81" s="504"/>
      <c r="AC81" s="506"/>
      <c r="AD81" s="506">
        <v>1</v>
      </c>
    </row>
    <row r="82" spans="1:32" s="224" customFormat="1" ht="13.5" customHeight="1">
      <c r="A82" s="225">
        <v>71</v>
      </c>
      <c r="B82" s="217"/>
      <c r="C82" s="512"/>
      <c r="D82" s="512" t="s">
        <v>1240</v>
      </c>
      <c r="E82" s="219"/>
      <c r="F82" s="512"/>
      <c r="G82" s="512"/>
      <c r="H82" s="504" t="s">
        <v>1241</v>
      </c>
      <c r="I82" s="503"/>
      <c r="J82" s="504" t="s">
        <v>1242</v>
      </c>
      <c r="K82" s="503" t="s">
        <v>1243</v>
      </c>
      <c r="L82" s="504" t="s">
        <v>1244</v>
      </c>
      <c r="M82" s="504" t="s">
        <v>262</v>
      </c>
      <c r="N82" s="504"/>
      <c r="O82" s="504"/>
      <c r="P82" s="505">
        <v>1</v>
      </c>
      <c r="Q82" s="504" t="s">
        <v>817</v>
      </c>
      <c r="R82" s="504" t="s">
        <v>864</v>
      </c>
      <c r="S82" s="243" t="s">
        <v>1245</v>
      </c>
      <c r="T82" s="506"/>
      <c r="U82" s="504"/>
      <c r="V82" s="507" t="s">
        <v>864</v>
      </c>
      <c r="W82" s="507" t="s">
        <v>864</v>
      </c>
      <c r="X82" s="232"/>
      <c r="Y82" s="513"/>
      <c r="Z82" s="504"/>
      <c r="AA82" s="245" t="s">
        <v>1246</v>
      </c>
      <c r="AB82" s="504"/>
      <c r="AC82" s="506"/>
      <c r="AD82" s="506">
        <v>1</v>
      </c>
    </row>
    <row r="83" spans="1:32" s="224" customFormat="1" ht="13.5" customHeight="1">
      <c r="A83" s="225">
        <v>72</v>
      </c>
      <c r="B83" s="217"/>
      <c r="C83" s="512"/>
      <c r="D83" s="241"/>
      <c r="E83" s="241" t="s">
        <v>1247</v>
      </c>
      <c r="F83" s="241"/>
      <c r="G83" s="241"/>
      <c r="H83" s="504" t="s">
        <v>1248</v>
      </c>
      <c r="I83" s="503" t="s">
        <v>1249</v>
      </c>
      <c r="J83" s="504"/>
      <c r="K83" s="503" t="s">
        <v>999</v>
      </c>
      <c r="L83" s="504"/>
      <c r="M83" s="504"/>
      <c r="N83" s="504"/>
      <c r="O83" s="504"/>
      <c r="P83" s="505"/>
      <c r="Q83" s="504" t="s">
        <v>820</v>
      </c>
      <c r="R83" s="504"/>
      <c r="S83" s="504" t="s">
        <v>863</v>
      </c>
      <c r="T83" s="506" t="s">
        <v>864</v>
      </c>
      <c r="U83" s="504" t="s">
        <v>1250</v>
      </c>
      <c r="V83" s="507" t="s">
        <v>864</v>
      </c>
      <c r="W83" s="507" t="s">
        <v>864</v>
      </c>
      <c r="X83" s="232"/>
      <c r="Y83" s="513"/>
      <c r="Z83" s="391" t="s">
        <v>1251</v>
      </c>
      <c r="AA83" s="508"/>
      <c r="AB83" s="504"/>
      <c r="AC83" s="506"/>
      <c r="AD83" s="506">
        <v>1</v>
      </c>
    </row>
    <row r="84" spans="1:32" ht="12" customHeight="1">
      <c r="A84" s="225">
        <v>73</v>
      </c>
      <c r="C84" s="224"/>
      <c r="D84" s="224"/>
      <c r="E84" s="224" t="s">
        <v>1252</v>
      </c>
      <c r="F84" s="224"/>
      <c r="G84" s="225"/>
      <c r="H84" s="225" t="s">
        <v>1253</v>
      </c>
      <c r="I84" s="273" t="s">
        <v>1254</v>
      </c>
      <c r="J84" s="225"/>
      <c r="K84" s="503" t="s">
        <v>1101</v>
      </c>
      <c r="L84" s="504"/>
      <c r="M84" s="504"/>
      <c r="N84" s="504"/>
      <c r="O84" s="504"/>
      <c r="P84" s="505"/>
      <c r="Q84" s="504" t="s">
        <v>820</v>
      </c>
      <c r="R84" s="504"/>
      <c r="S84" s="504" t="s">
        <v>863</v>
      </c>
      <c r="U84" s="504"/>
      <c r="V84" s="274" t="s">
        <v>864</v>
      </c>
      <c r="W84" s="274" t="s">
        <v>864</v>
      </c>
      <c r="X84" s="232"/>
      <c r="AD84" s="274">
        <v>1</v>
      </c>
    </row>
    <row r="85" spans="1:32" s="224" customFormat="1" ht="13.5" customHeight="1">
      <c r="A85" s="225">
        <v>74</v>
      </c>
      <c r="B85" s="217"/>
      <c r="C85" s="512"/>
      <c r="D85" s="512" t="s">
        <v>1255</v>
      </c>
      <c r="E85" s="219" t="s">
        <v>1256</v>
      </c>
      <c r="F85" s="512"/>
      <c r="G85" s="512"/>
      <c r="H85" s="504" t="s">
        <v>1257</v>
      </c>
      <c r="I85" s="503"/>
      <c r="J85" s="504"/>
      <c r="K85" s="503" t="s">
        <v>1258</v>
      </c>
      <c r="L85" s="504" t="s">
        <v>1259</v>
      </c>
      <c r="M85" s="504" t="s">
        <v>1260</v>
      </c>
      <c r="N85" s="504"/>
      <c r="O85" s="504"/>
      <c r="P85" s="505">
        <v>1</v>
      </c>
      <c r="Q85" s="504" t="s">
        <v>817</v>
      </c>
      <c r="R85" s="504" t="s">
        <v>864</v>
      </c>
      <c r="S85" s="243" t="s">
        <v>1245</v>
      </c>
      <c r="T85" s="506"/>
      <c r="U85" s="504"/>
      <c r="V85" s="507" t="s">
        <v>864</v>
      </c>
      <c r="W85" s="507" t="s">
        <v>864</v>
      </c>
      <c r="X85" s="232"/>
      <c r="Y85" s="513"/>
      <c r="Z85" s="504"/>
      <c r="AA85" s="245" t="s">
        <v>1246</v>
      </c>
      <c r="AB85" s="504"/>
      <c r="AC85" s="506"/>
      <c r="AD85" s="506">
        <v>1</v>
      </c>
    </row>
    <row r="86" spans="1:32" s="224" customFormat="1" ht="13.5" customHeight="1">
      <c r="A86" s="225">
        <v>75</v>
      </c>
      <c r="B86" s="217"/>
      <c r="C86" s="512"/>
      <c r="D86" s="512" t="s">
        <v>1261</v>
      </c>
      <c r="E86" s="512"/>
      <c r="F86" s="512"/>
      <c r="G86" s="512"/>
      <c r="H86" s="504" t="s">
        <v>1262</v>
      </c>
      <c r="I86" s="503" t="s">
        <v>1263</v>
      </c>
      <c r="J86" s="504" t="s">
        <v>1264</v>
      </c>
      <c r="K86" s="503" t="s">
        <v>1265</v>
      </c>
      <c r="L86" s="504"/>
      <c r="M86" s="504"/>
      <c r="N86" s="504"/>
      <c r="O86" s="504"/>
      <c r="P86" s="505"/>
      <c r="Q86" s="504" t="s">
        <v>817</v>
      </c>
      <c r="R86" s="504"/>
      <c r="S86" s="504" t="s">
        <v>863</v>
      </c>
      <c r="T86" s="506" t="s">
        <v>864</v>
      </c>
      <c r="U86" s="504" t="s">
        <v>1203</v>
      </c>
      <c r="V86" s="507" t="s">
        <v>864</v>
      </c>
      <c r="W86" s="507" t="s">
        <v>864</v>
      </c>
      <c r="X86" s="232"/>
      <c r="Y86" s="513"/>
      <c r="Z86" s="504"/>
      <c r="AA86" s="245" t="s">
        <v>1266</v>
      </c>
      <c r="AB86" s="504"/>
      <c r="AC86" s="506"/>
      <c r="AD86" s="506">
        <v>1</v>
      </c>
      <c r="AF86" s="246"/>
    </row>
    <row r="87" spans="1:32" s="224" customFormat="1" ht="13.5" customHeight="1">
      <c r="A87" s="225">
        <v>76</v>
      </c>
      <c r="B87" s="217"/>
      <c r="C87" s="512"/>
      <c r="D87" s="241" t="s">
        <v>1267</v>
      </c>
      <c r="E87" s="241"/>
      <c r="F87" s="241"/>
      <c r="G87" s="241"/>
      <c r="H87" s="504" t="s">
        <v>1268</v>
      </c>
      <c r="I87" s="503" t="s">
        <v>1269</v>
      </c>
      <c r="J87" s="504"/>
      <c r="K87" s="503" t="s">
        <v>999</v>
      </c>
      <c r="L87" s="504"/>
      <c r="M87" s="504"/>
      <c r="N87" s="504"/>
      <c r="O87" s="504"/>
      <c r="P87" s="505"/>
      <c r="Q87" s="504" t="s">
        <v>817</v>
      </c>
      <c r="R87" s="504"/>
      <c r="S87" s="504" t="s">
        <v>863</v>
      </c>
      <c r="T87" s="374"/>
      <c r="U87" s="255"/>
      <c r="V87" s="375" t="s">
        <v>864</v>
      </c>
      <c r="W87" s="507" t="s">
        <v>864</v>
      </c>
      <c r="X87" s="232"/>
      <c r="Y87" s="380" t="s">
        <v>1270</v>
      </c>
      <c r="Z87" s="504" t="s">
        <v>1271</v>
      </c>
      <c r="AA87" s="245" t="s">
        <v>1272</v>
      </c>
      <c r="AB87" s="504"/>
      <c r="AC87" s="506"/>
      <c r="AD87" s="506">
        <v>1</v>
      </c>
      <c r="AF87" s="246"/>
    </row>
    <row r="88" spans="1:32" s="224" customFormat="1" ht="13.5" customHeight="1">
      <c r="A88" s="225">
        <v>77</v>
      </c>
      <c r="B88" s="217"/>
      <c r="C88" s="512"/>
      <c r="D88" s="241" t="s">
        <v>1273</v>
      </c>
      <c r="E88" s="241"/>
      <c r="F88" s="241"/>
      <c r="G88" s="241"/>
      <c r="H88" s="504" t="s">
        <v>1274</v>
      </c>
      <c r="I88" s="503" t="s">
        <v>1275</v>
      </c>
      <c r="J88" s="504"/>
      <c r="K88" s="503" t="s">
        <v>910</v>
      </c>
      <c r="L88" s="504"/>
      <c r="M88" s="504"/>
      <c r="N88" s="504"/>
      <c r="O88" s="504"/>
      <c r="P88" s="505"/>
      <c r="Q88" s="504" t="s">
        <v>817</v>
      </c>
      <c r="R88" s="504"/>
      <c r="S88" s="504" t="s">
        <v>863</v>
      </c>
      <c r="T88" s="374"/>
      <c r="U88" s="255"/>
      <c r="V88" s="375" t="s">
        <v>864</v>
      </c>
      <c r="W88" s="507" t="s">
        <v>864</v>
      </c>
      <c r="X88" s="232"/>
      <c r="Y88" s="387" t="s">
        <v>1276</v>
      </c>
      <c r="Z88" s="504" t="s">
        <v>1271</v>
      </c>
      <c r="AA88" s="508"/>
      <c r="AB88" s="504"/>
      <c r="AC88" s="506"/>
      <c r="AD88" s="506">
        <v>1</v>
      </c>
      <c r="AF88" s="246"/>
    </row>
    <row r="89" spans="1:32" s="224" customFormat="1" ht="13.5" customHeight="1">
      <c r="A89" s="225">
        <v>78</v>
      </c>
      <c r="B89" s="217"/>
      <c r="C89" s="512"/>
      <c r="D89" s="512" t="s">
        <v>1277</v>
      </c>
      <c r="E89" s="512"/>
      <c r="F89" s="512"/>
      <c r="G89" s="512"/>
      <c r="H89" s="504" t="s">
        <v>1278</v>
      </c>
      <c r="I89" s="503" t="s">
        <v>1279</v>
      </c>
      <c r="J89" s="504" t="s">
        <v>939</v>
      </c>
      <c r="K89" s="503" t="s">
        <v>939</v>
      </c>
      <c r="L89" s="504" t="s">
        <v>1280</v>
      </c>
      <c r="M89" s="504" t="s">
        <v>1281</v>
      </c>
      <c r="N89" s="504"/>
      <c r="O89" s="504"/>
      <c r="P89" s="505">
        <v>1</v>
      </c>
      <c r="Q89" s="504" t="s">
        <v>817</v>
      </c>
      <c r="R89" s="504"/>
      <c r="S89" s="504" t="s">
        <v>863</v>
      </c>
      <c r="T89" s="506"/>
      <c r="U89" s="255"/>
      <c r="V89" s="507" t="s">
        <v>864</v>
      </c>
      <c r="W89" s="507" t="s">
        <v>864</v>
      </c>
      <c r="X89" s="232"/>
      <c r="Y89" s="513"/>
      <c r="Z89" s="504"/>
      <c r="AA89" s="508"/>
      <c r="AB89" s="504"/>
      <c r="AC89" s="506"/>
      <c r="AD89" s="506">
        <v>1</v>
      </c>
    </row>
    <row r="90" spans="1:32" s="224" customFormat="1" ht="13.5" customHeight="1">
      <c r="A90" s="225">
        <v>79</v>
      </c>
      <c r="B90" s="217"/>
      <c r="C90" s="512"/>
      <c r="D90" s="241" t="s">
        <v>1282</v>
      </c>
      <c r="E90" s="512"/>
      <c r="F90" s="241"/>
      <c r="G90" s="241"/>
      <c r="H90" s="504"/>
      <c r="I90" s="503"/>
      <c r="J90" s="504" t="s">
        <v>1283</v>
      </c>
      <c r="K90" s="503" t="s">
        <v>1284</v>
      </c>
      <c r="L90" s="504"/>
      <c r="M90" s="504"/>
      <c r="N90" s="504"/>
      <c r="O90" s="504"/>
      <c r="P90" s="505"/>
      <c r="Q90" s="504" t="s">
        <v>817</v>
      </c>
      <c r="R90" s="504" t="s">
        <v>864</v>
      </c>
      <c r="S90" s="504" t="s">
        <v>1284</v>
      </c>
      <c r="T90" s="506"/>
      <c r="U90" s="504"/>
      <c r="V90" s="507" t="s">
        <v>864</v>
      </c>
      <c r="W90" s="507" t="s">
        <v>864</v>
      </c>
      <c r="X90" s="232"/>
      <c r="Y90" s="513"/>
      <c r="Z90" s="504"/>
      <c r="AA90" s="508"/>
      <c r="AB90" s="504"/>
      <c r="AC90" s="506">
        <v>1</v>
      </c>
      <c r="AD90" s="506">
        <v>1</v>
      </c>
    </row>
    <row r="91" spans="1:32" s="224" customFormat="1" ht="13.5" customHeight="1">
      <c r="A91" s="225">
        <v>80</v>
      </c>
      <c r="B91" s="217"/>
      <c r="C91" s="512"/>
      <c r="D91" s="512"/>
      <c r="E91" s="512" t="s">
        <v>1285</v>
      </c>
      <c r="F91" s="512"/>
      <c r="G91" s="512"/>
      <c r="H91" s="504" t="s">
        <v>1286</v>
      </c>
      <c r="I91" s="503" t="s">
        <v>1287</v>
      </c>
      <c r="J91" s="504"/>
      <c r="K91" s="503" t="s">
        <v>1068</v>
      </c>
      <c r="L91" s="504" t="s">
        <v>1288</v>
      </c>
      <c r="M91" s="504" t="s">
        <v>1289</v>
      </c>
      <c r="N91" s="504"/>
      <c r="O91" s="504"/>
      <c r="P91" s="505"/>
      <c r="Q91" s="504" t="s">
        <v>820</v>
      </c>
      <c r="R91" s="504"/>
      <c r="S91" s="504" t="s">
        <v>863</v>
      </c>
      <c r="T91" s="506"/>
      <c r="U91" s="504" t="s">
        <v>1290</v>
      </c>
      <c r="V91" s="507" t="s">
        <v>864</v>
      </c>
      <c r="W91" s="507" t="s">
        <v>864</v>
      </c>
      <c r="X91" s="232"/>
      <c r="Y91" s="513"/>
      <c r="Z91" s="504"/>
      <c r="AA91" s="508"/>
      <c r="AB91" s="504"/>
      <c r="AC91" s="506">
        <v>1</v>
      </c>
      <c r="AD91" s="506">
        <v>1</v>
      </c>
    </row>
    <row r="92" spans="1:32" s="224" customFormat="1" ht="13.5" customHeight="1">
      <c r="A92" s="225">
        <v>81</v>
      </c>
      <c r="B92" s="217"/>
      <c r="C92" s="512"/>
      <c r="D92" s="241"/>
      <c r="E92" s="512" t="s">
        <v>1085</v>
      </c>
      <c r="F92" s="221"/>
      <c r="G92" s="221"/>
      <c r="H92" s="504" t="s">
        <v>1291</v>
      </c>
      <c r="I92" s="504" t="s">
        <v>1115</v>
      </c>
      <c r="J92" s="504"/>
      <c r="K92" s="503" t="s">
        <v>1292</v>
      </c>
      <c r="L92" s="504"/>
      <c r="M92" s="504"/>
      <c r="N92" s="504"/>
      <c r="O92" s="504"/>
      <c r="P92" s="505"/>
      <c r="Q92" s="504" t="s">
        <v>817</v>
      </c>
      <c r="R92" s="504"/>
      <c r="S92" s="504" t="s">
        <v>863</v>
      </c>
      <c r="T92" s="506"/>
      <c r="U92" s="504"/>
      <c r="V92" s="507" t="s">
        <v>864</v>
      </c>
      <c r="W92" s="507" t="s">
        <v>864</v>
      </c>
      <c r="X92" s="232"/>
      <c r="Y92" s="513"/>
      <c r="Z92" s="504"/>
      <c r="AA92" s="508"/>
      <c r="AB92" s="504"/>
      <c r="AC92" s="506">
        <v>1</v>
      </c>
      <c r="AD92" s="506">
        <v>1</v>
      </c>
    </row>
    <row r="93" spans="1:32" s="244" customFormat="1" ht="14.25" customHeight="1">
      <c r="A93" s="225">
        <v>82</v>
      </c>
      <c r="B93" s="217"/>
      <c r="C93" s="221"/>
      <c r="D93" s="221"/>
      <c r="E93" s="512" t="s">
        <v>1293</v>
      </c>
      <c r="F93" s="221"/>
      <c r="G93" s="221"/>
      <c r="H93" s="504" t="s">
        <v>1294</v>
      </c>
      <c r="I93" s="503" t="s">
        <v>1295</v>
      </c>
      <c r="J93" s="504"/>
      <c r="K93" s="503" t="s">
        <v>1296</v>
      </c>
      <c r="L93" s="504"/>
      <c r="M93" s="504"/>
      <c r="N93" s="504"/>
      <c r="O93" s="504"/>
      <c r="P93" s="505"/>
      <c r="Q93" s="504" t="s">
        <v>817</v>
      </c>
      <c r="R93" s="504"/>
      <c r="S93" s="504" t="s">
        <v>863</v>
      </c>
      <c r="T93" s="506"/>
      <c r="U93" s="504"/>
      <c r="V93" s="507" t="s">
        <v>864</v>
      </c>
      <c r="W93" s="507" t="s">
        <v>864</v>
      </c>
      <c r="X93" s="232"/>
      <c r="Y93" s="513"/>
      <c r="Z93" s="504"/>
      <c r="AA93" s="508"/>
      <c r="AB93" s="504"/>
      <c r="AC93" s="506">
        <v>1</v>
      </c>
      <c r="AD93" s="506">
        <v>1</v>
      </c>
    </row>
    <row r="94" spans="1:32" s="224" customFormat="1" ht="13.5" customHeight="1">
      <c r="A94" s="225">
        <v>83</v>
      </c>
      <c r="B94" s="217"/>
      <c r="C94" s="241" t="s">
        <v>1297</v>
      </c>
      <c r="D94" s="217"/>
      <c r="E94" s="217"/>
      <c r="F94" s="217"/>
      <c r="G94" s="217"/>
      <c r="H94" s="504" t="s">
        <v>1298</v>
      </c>
      <c r="I94" s="503"/>
      <c r="J94" s="504" t="s">
        <v>908</v>
      </c>
      <c r="K94" s="503" t="s">
        <v>1299</v>
      </c>
      <c r="L94" s="504"/>
      <c r="M94" s="504"/>
      <c r="N94" s="504"/>
      <c r="O94" s="504"/>
      <c r="P94" s="505"/>
      <c r="Q94" s="504" t="s">
        <v>820</v>
      </c>
      <c r="R94" s="504" t="s">
        <v>864</v>
      </c>
      <c r="S94" s="243" t="s">
        <v>1300</v>
      </c>
      <c r="T94" s="506"/>
      <c r="U94" s="504"/>
      <c r="V94" s="507" t="s">
        <v>864</v>
      </c>
      <c r="W94" s="507" t="s">
        <v>864</v>
      </c>
      <c r="X94" s="232"/>
      <c r="Y94" s="513"/>
      <c r="Z94" s="504"/>
      <c r="AA94" s="508"/>
      <c r="AB94" s="504"/>
      <c r="AC94" s="506">
        <v>1</v>
      </c>
      <c r="AD94" s="506"/>
    </row>
    <row r="95" spans="1:32" s="224" customFormat="1" ht="13.5" customHeight="1">
      <c r="A95" s="225">
        <v>84</v>
      </c>
      <c r="B95" s="217"/>
      <c r="C95" s="241"/>
      <c r="D95" s="241" t="s">
        <v>1301</v>
      </c>
      <c r="E95" s="241"/>
      <c r="F95" s="241"/>
      <c r="G95" s="241"/>
      <c r="H95" s="504" t="s">
        <v>1302</v>
      </c>
      <c r="I95" s="503" t="s">
        <v>1303</v>
      </c>
      <c r="J95" s="504"/>
      <c r="K95" s="503" t="s">
        <v>1304</v>
      </c>
      <c r="L95" s="504"/>
      <c r="M95" s="504"/>
      <c r="N95" s="504"/>
      <c r="O95" s="504"/>
      <c r="P95" s="505"/>
      <c r="Q95" s="504" t="s">
        <v>820</v>
      </c>
      <c r="R95" s="504"/>
      <c r="S95" s="504" t="s">
        <v>863</v>
      </c>
      <c r="T95" s="506"/>
      <c r="U95" s="504"/>
      <c r="V95" s="507" t="s">
        <v>864</v>
      </c>
      <c r="W95" s="507" t="s">
        <v>864</v>
      </c>
      <c r="X95" s="232"/>
      <c r="Y95" s="513"/>
      <c r="Z95" s="504" t="s">
        <v>1057</v>
      </c>
      <c r="AA95" s="508"/>
      <c r="AB95" s="504"/>
      <c r="AC95" s="506">
        <v>1</v>
      </c>
      <c r="AD95" s="506"/>
    </row>
    <row r="96" spans="1:32" s="224" customFormat="1" ht="13.5" customHeight="1">
      <c r="A96" s="225">
        <v>85</v>
      </c>
      <c r="B96" s="217"/>
      <c r="C96" s="512"/>
      <c r="D96" s="241" t="s">
        <v>1305</v>
      </c>
      <c r="E96" s="241"/>
      <c r="F96" s="241"/>
      <c r="G96" s="241"/>
      <c r="H96" s="504" t="s">
        <v>1306</v>
      </c>
      <c r="I96" s="503" t="s">
        <v>1249</v>
      </c>
      <c r="J96" s="504"/>
      <c r="K96" s="503" t="s">
        <v>999</v>
      </c>
      <c r="L96" s="504"/>
      <c r="M96" s="504"/>
      <c r="N96" s="504"/>
      <c r="O96" s="504"/>
      <c r="P96" s="505"/>
      <c r="Q96" s="504" t="s">
        <v>820</v>
      </c>
      <c r="R96" s="504"/>
      <c r="S96" s="504" t="s">
        <v>863</v>
      </c>
      <c r="T96" s="506" t="s">
        <v>864</v>
      </c>
      <c r="U96" s="504" t="s">
        <v>1250</v>
      </c>
      <c r="V96" s="507" t="s">
        <v>864</v>
      </c>
      <c r="W96" s="507" t="s">
        <v>864</v>
      </c>
      <c r="X96" s="232"/>
      <c r="Y96" s="513"/>
      <c r="Z96" s="504"/>
      <c r="AA96" s="508"/>
      <c r="AB96" s="504"/>
      <c r="AC96" s="506">
        <v>1</v>
      </c>
      <c r="AD96" s="506"/>
    </row>
    <row r="97" spans="1:1018" ht="17.25" customHeight="1">
      <c r="A97" s="225">
        <v>86</v>
      </c>
      <c r="C97" s="224"/>
      <c r="D97" s="224" t="s">
        <v>1307</v>
      </c>
      <c r="E97" s="224"/>
      <c r="F97" s="224"/>
      <c r="G97" s="225"/>
      <c r="H97" s="225" t="s">
        <v>1308</v>
      </c>
      <c r="I97" s="273" t="s">
        <v>1254</v>
      </c>
      <c r="J97" s="225"/>
      <c r="K97" s="503" t="s">
        <v>1101</v>
      </c>
      <c r="L97" s="504"/>
      <c r="M97" s="504"/>
      <c r="N97" s="504"/>
      <c r="O97" s="504"/>
      <c r="P97" s="505"/>
      <c r="Q97" s="504" t="s">
        <v>820</v>
      </c>
      <c r="R97" s="504"/>
      <c r="S97" s="504" t="s">
        <v>863</v>
      </c>
      <c r="V97" s="274" t="s">
        <v>864</v>
      </c>
      <c r="W97" s="274" t="s">
        <v>864</v>
      </c>
      <c r="X97" s="232"/>
      <c r="AC97" s="175">
        <v>1</v>
      </c>
      <c r="AD97" s="274">
        <v>1</v>
      </c>
    </row>
    <row r="98" spans="1:1018" s="224" customFormat="1" ht="13.5" customHeight="1">
      <c r="A98" s="225">
        <v>87</v>
      </c>
      <c r="B98" s="217"/>
      <c r="C98" s="241" t="s">
        <v>1309</v>
      </c>
      <c r="D98" s="217" t="s">
        <v>1310</v>
      </c>
      <c r="E98" s="247"/>
      <c r="F98" s="217"/>
      <c r="G98" s="217"/>
      <c r="H98" s="504" t="s">
        <v>1311</v>
      </c>
      <c r="I98" s="503"/>
      <c r="J98" s="504" t="s">
        <v>1312</v>
      </c>
      <c r="K98" s="503" t="s">
        <v>1035</v>
      </c>
      <c r="L98" s="504" t="s">
        <v>1313</v>
      </c>
      <c r="M98" s="504" t="s">
        <v>1314</v>
      </c>
      <c r="N98" s="504"/>
      <c r="O98" s="504"/>
      <c r="P98" s="505"/>
      <c r="Q98" s="504" t="s">
        <v>820</v>
      </c>
      <c r="R98" s="504" t="s">
        <v>864</v>
      </c>
      <c r="S98" s="243" t="s">
        <v>1035</v>
      </c>
      <c r="T98" s="283"/>
      <c r="U98" s="504"/>
      <c r="V98" s="507" t="s">
        <v>864</v>
      </c>
      <c r="W98" s="507" t="s">
        <v>864</v>
      </c>
      <c r="X98" s="232"/>
      <c r="Y98" s="248"/>
      <c r="Z98" s="504"/>
      <c r="AA98" s="508"/>
      <c r="AB98" s="504"/>
      <c r="AC98" s="506">
        <v>1</v>
      </c>
      <c r="AD98" s="506">
        <v>1</v>
      </c>
    </row>
    <row r="99" spans="1:1018" s="224" customFormat="1" ht="13.5" customHeight="1">
      <c r="A99" s="225">
        <v>88</v>
      </c>
      <c r="B99" s="217"/>
      <c r="C99" s="241" t="s">
        <v>1315</v>
      </c>
      <c r="D99" s="217" t="s">
        <v>1316</v>
      </c>
      <c r="E99" s="217"/>
      <c r="F99" s="217"/>
      <c r="G99" s="217"/>
      <c r="H99" s="504" t="s">
        <v>1317</v>
      </c>
      <c r="I99" s="503"/>
      <c r="J99" s="504" t="s">
        <v>960</v>
      </c>
      <c r="K99" s="503" t="s">
        <v>961</v>
      </c>
      <c r="L99" s="504"/>
      <c r="M99" s="504"/>
      <c r="N99" s="504"/>
      <c r="O99" s="504"/>
      <c r="P99" s="505"/>
      <c r="Q99" s="504" t="s">
        <v>820</v>
      </c>
      <c r="R99" s="504" t="s">
        <v>864</v>
      </c>
      <c r="S99" s="243" t="s">
        <v>961</v>
      </c>
      <c r="T99" s="506"/>
      <c r="U99" s="504"/>
      <c r="V99" s="507" t="s">
        <v>864</v>
      </c>
      <c r="W99" s="507" t="s">
        <v>864</v>
      </c>
      <c r="X99" s="232"/>
      <c r="Y99" s="513"/>
      <c r="Z99" s="504"/>
      <c r="AA99" s="508"/>
      <c r="AB99" s="504"/>
      <c r="AC99" s="506">
        <v>1</v>
      </c>
      <c r="AD99" s="506">
        <v>1</v>
      </c>
    </row>
    <row r="100" spans="1:1018" s="224" customFormat="1" ht="13.5" customHeight="1">
      <c r="A100" s="225">
        <v>89</v>
      </c>
      <c r="B100" s="217"/>
      <c r="C100" s="241" t="s">
        <v>1318</v>
      </c>
      <c r="D100" s="217"/>
      <c r="E100" s="217"/>
      <c r="F100" s="217"/>
      <c r="G100" s="217"/>
      <c r="H100" s="504" t="s">
        <v>1319</v>
      </c>
      <c r="I100" s="503"/>
      <c r="J100" s="504" t="s">
        <v>1320</v>
      </c>
      <c r="K100" s="503" t="s">
        <v>1320</v>
      </c>
      <c r="L100" s="504"/>
      <c r="M100" s="504"/>
      <c r="N100" s="504"/>
      <c r="O100" s="504"/>
      <c r="P100" s="505"/>
      <c r="Q100" s="504" t="s">
        <v>820</v>
      </c>
      <c r="R100" s="504" t="s">
        <v>864</v>
      </c>
      <c r="S100" s="243" t="s">
        <v>1320</v>
      </c>
      <c r="T100" s="506"/>
      <c r="U100" s="504"/>
      <c r="V100" s="507" t="s">
        <v>864</v>
      </c>
      <c r="W100" s="507" t="s">
        <v>864</v>
      </c>
      <c r="X100" s="232"/>
      <c r="Y100" s="513"/>
      <c r="Z100" s="504"/>
      <c r="AA100" s="508"/>
      <c r="AB100" s="504"/>
      <c r="AC100" s="506">
        <v>1</v>
      </c>
      <c r="AD100" s="506">
        <v>1</v>
      </c>
    </row>
    <row r="101" spans="1:1018" s="224" customFormat="1" ht="13.5" customHeight="1">
      <c r="A101" s="225">
        <v>90</v>
      </c>
      <c r="B101" s="217"/>
      <c r="C101" s="241"/>
      <c r="D101" s="217" t="s">
        <v>1321</v>
      </c>
      <c r="E101" s="217"/>
      <c r="F101" s="241"/>
      <c r="G101" s="241"/>
      <c r="H101" s="504" t="s">
        <v>1322</v>
      </c>
      <c r="I101" s="503" t="s">
        <v>1323</v>
      </c>
      <c r="J101" s="504" t="s">
        <v>1324</v>
      </c>
      <c r="K101" s="503"/>
      <c r="L101" s="504"/>
      <c r="M101" s="504"/>
      <c r="N101" s="504"/>
      <c r="O101" s="504"/>
      <c r="P101" s="505"/>
      <c r="Q101" s="504" t="s">
        <v>820</v>
      </c>
      <c r="R101" s="504"/>
      <c r="S101" s="504" t="s">
        <v>863</v>
      </c>
      <c r="T101" s="506"/>
      <c r="U101" s="504"/>
      <c r="V101" s="507" t="s">
        <v>864</v>
      </c>
      <c r="W101" s="507" t="s">
        <v>864</v>
      </c>
      <c r="X101" s="232"/>
      <c r="Y101" s="513"/>
      <c r="Z101" s="504" t="s">
        <v>1057</v>
      </c>
      <c r="AA101" s="508"/>
      <c r="AB101" s="504"/>
      <c r="AC101" s="506"/>
      <c r="AD101" s="506">
        <v>1</v>
      </c>
    </row>
    <row r="102" spans="1:1018" s="224" customFormat="1" ht="13.5" customHeight="1">
      <c r="A102" s="225">
        <v>91</v>
      </c>
      <c r="B102" s="217"/>
      <c r="C102" s="241"/>
      <c r="D102" s="217" t="s">
        <v>1325</v>
      </c>
      <c r="E102" s="217"/>
      <c r="F102" s="241"/>
      <c r="G102" s="241"/>
      <c r="H102" s="504" t="s">
        <v>1326</v>
      </c>
      <c r="I102" s="503" t="s">
        <v>1327</v>
      </c>
      <c r="J102" s="504" t="s">
        <v>1328</v>
      </c>
      <c r="K102" s="503"/>
      <c r="L102" s="504"/>
      <c r="M102" s="504"/>
      <c r="N102" s="504"/>
      <c r="O102" s="504"/>
      <c r="P102" s="505"/>
      <c r="Q102" s="504" t="s">
        <v>820</v>
      </c>
      <c r="R102" s="504"/>
      <c r="S102" s="504" t="s">
        <v>863</v>
      </c>
      <c r="T102" s="506"/>
      <c r="U102" s="504"/>
      <c r="V102" s="507" t="s">
        <v>864</v>
      </c>
      <c r="W102" s="507" t="s">
        <v>864</v>
      </c>
      <c r="X102" s="232"/>
      <c r="Y102" s="513"/>
      <c r="Z102" s="504" t="s">
        <v>1329</v>
      </c>
      <c r="AA102" s="508"/>
      <c r="AB102" s="504"/>
      <c r="AC102" s="506"/>
      <c r="AD102" s="506">
        <v>1</v>
      </c>
    </row>
    <row r="103" spans="1:1018" s="224" customFormat="1" ht="13.5" customHeight="1">
      <c r="A103" s="225">
        <v>92</v>
      </c>
      <c r="B103" s="217"/>
      <c r="C103" s="241"/>
      <c r="D103" s="241" t="s">
        <v>1330</v>
      </c>
      <c r="E103" s="241"/>
      <c r="F103" s="241"/>
      <c r="G103" s="241"/>
      <c r="H103" s="504" t="s">
        <v>1331</v>
      </c>
      <c r="I103" s="503" t="s">
        <v>1332</v>
      </c>
      <c r="J103" s="504" t="s">
        <v>1333</v>
      </c>
      <c r="K103" s="503" t="s">
        <v>1334</v>
      </c>
      <c r="L103" s="504"/>
      <c r="M103" s="504"/>
      <c r="N103" s="504"/>
      <c r="O103" s="504"/>
      <c r="P103" s="505"/>
      <c r="Q103" s="504" t="s">
        <v>817</v>
      </c>
      <c r="R103" s="504"/>
      <c r="S103" s="504" t="s">
        <v>863</v>
      </c>
      <c r="T103" s="506"/>
      <c r="U103" s="504"/>
      <c r="V103" s="507" t="s">
        <v>864</v>
      </c>
      <c r="W103" s="507" t="s">
        <v>864</v>
      </c>
      <c r="X103" s="232"/>
      <c r="Y103" s="513"/>
      <c r="Z103" s="504"/>
      <c r="AA103" s="508"/>
      <c r="AB103" s="504"/>
      <c r="AC103" s="506"/>
      <c r="AD103" s="506">
        <v>1</v>
      </c>
    </row>
    <row r="104" spans="1:1018" s="224" customFormat="1" ht="13.5" customHeight="1">
      <c r="A104" s="225">
        <v>93</v>
      </c>
      <c r="B104" s="217"/>
      <c r="C104" s="241"/>
      <c r="D104" s="217" t="s">
        <v>1335</v>
      </c>
      <c r="E104" s="219" t="s">
        <v>1256</v>
      </c>
      <c r="F104" s="217"/>
      <c r="G104" s="217"/>
      <c r="H104" s="504" t="s">
        <v>1336</v>
      </c>
      <c r="I104" s="514"/>
      <c r="J104" s="504" t="s">
        <v>1337</v>
      </c>
      <c r="K104" s="503" t="s">
        <v>1338</v>
      </c>
      <c r="L104" s="504"/>
      <c r="M104" s="504"/>
      <c r="N104" s="504"/>
      <c r="O104" s="504"/>
      <c r="P104" s="505"/>
      <c r="Q104" s="504" t="s">
        <v>817</v>
      </c>
      <c r="R104" s="504" t="s">
        <v>864</v>
      </c>
      <c r="S104" s="243" t="s">
        <v>1245</v>
      </c>
      <c r="T104" s="506"/>
      <c r="U104" s="504"/>
      <c r="V104" s="507" t="s">
        <v>864</v>
      </c>
      <c r="W104" s="507" t="s">
        <v>864</v>
      </c>
      <c r="X104" s="232"/>
      <c r="Y104" s="513"/>
      <c r="Z104" s="504"/>
      <c r="AA104" s="508"/>
      <c r="AB104" s="504"/>
      <c r="AC104" s="506">
        <v>1</v>
      </c>
      <c r="AD104" s="506">
        <v>1</v>
      </c>
    </row>
    <row r="105" spans="1:1018" s="224" customFormat="1" ht="13.5" customHeight="1">
      <c r="A105" s="225">
        <v>94</v>
      </c>
      <c r="B105" s="217"/>
      <c r="C105" s="241"/>
      <c r="D105" s="217" t="s">
        <v>1339</v>
      </c>
      <c r="E105" s="241"/>
      <c r="F105" s="241"/>
      <c r="G105" s="241"/>
      <c r="H105" s="504" t="s">
        <v>1340</v>
      </c>
      <c r="I105" s="503" t="s">
        <v>1341</v>
      </c>
      <c r="J105" s="504" t="s">
        <v>1342</v>
      </c>
      <c r="K105" s="503"/>
      <c r="L105" s="504" t="s">
        <v>1343</v>
      </c>
      <c r="M105" s="504" t="s">
        <v>1344</v>
      </c>
      <c r="N105" s="504"/>
      <c r="O105" s="504"/>
      <c r="P105" s="505"/>
      <c r="Q105" s="504" t="s">
        <v>817</v>
      </c>
      <c r="R105" s="504"/>
      <c r="S105" s="504" t="s">
        <v>863</v>
      </c>
      <c r="T105" s="506"/>
      <c r="U105" s="504"/>
      <c r="V105" s="507" t="s">
        <v>864</v>
      </c>
      <c r="W105" s="507" t="s">
        <v>864</v>
      </c>
      <c r="X105" s="232"/>
      <c r="Y105" s="513"/>
      <c r="Z105" s="504"/>
      <c r="AA105" s="508"/>
      <c r="AB105" s="504"/>
      <c r="AC105" s="506">
        <v>1</v>
      </c>
      <c r="AD105" s="506">
        <v>1</v>
      </c>
    </row>
    <row r="106" spans="1:1018" s="251" customFormat="1" ht="13.5" customHeight="1">
      <c r="A106" s="225">
        <v>95</v>
      </c>
      <c r="B106" s="217"/>
      <c r="C106" s="241" t="s">
        <v>1345</v>
      </c>
      <c r="D106" s="512"/>
      <c r="E106" s="250"/>
      <c r="F106" s="250"/>
      <c r="G106" s="250"/>
      <c r="H106" s="504" t="s">
        <v>1346</v>
      </c>
      <c r="I106" s="503"/>
      <c r="J106" s="504" t="s">
        <v>1347</v>
      </c>
      <c r="K106" s="503" t="s">
        <v>1348</v>
      </c>
      <c r="L106" s="504"/>
      <c r="M106" s="504"/>
      <c r="N106" s="504"/>
      <c r="O106" s="504"/>
      <c r="P106" s="505"/>
      <c r="Q106" s="504" t="s">
        <v>823</v>
      </c>
      <c r="R106" s="504" t="s">
        <v>864</v>
      </c>
      <c r="S106" s="243" t="s">
        <v>1348</v>
      </c>
      <c r="T106" s="283"/>
      <c r="U106" s="504"/>
      <c r="V106" s="507" t="s">
        <v>864</v>
      </c>
      <c r="W106" s="507" t="s">
        <v>864</v>
      </c>
      <c r="X106" s="232"/>
      <c r="Y106" s="248"/>
      <c r="Z106" s="504"/>
      <c r="AA106" s="508"/>
      <c r="AB106" s="504"/>
      <c r="AC106" s="506">
        <v>1</v>
      </c>
      <c r="AD106" s="506">
        <v>1</v>
      </c>
      <c r="AMD106" s="224"/>
    </row>
    <row r="107" spans="1:1018" s="251" customFormat="1" ht="13.5" customHeight="1">
      <c r="A107" s="225">
        <v>96</v>
      </c>
      <c r="B107" s="217"/>
      <c r="C107" s="241"/>
      <c r="D107" s="512" t="s">
        <v>1349</v>
      </c>
      <c r="E107" s="512"/>
      <c r="F107" s="241"/>
      <c r="G107" s="241"/>
      <c r="H107" s="504" t="s">
        <v>1350</v>
      </c>
      <c r="I107" s="503" t="s">
        <v>1351</v>
      </c>
      <c r="J107" s="504" t="s">
        <v>1352</v>
      </c>
      <c r="K107" s="503" t="s">
        <v>1353</v>
      </c>
      <c r="L107" s="504"/>
      <c r="M107" s="504"/>
      <c r="N107" s="504"/>
      <c r="O107" s="504"/>
      <c r="P107" s="505"/>
      <c r="Q107" s="504" t="s">
        <v>817</v>
      </c>
      <c r="R107" s="504"/>
      <c r="S107" s="504" t="s">
        <v>863</v>
      </c>
      <c r="T107" s="506" t="s">
        <v>864</v>
      </c>
      <c r="U107" s="504"/>
      <c r="V107" s="507" t="s">
        <v>864</v>
      </c>
      <c r="W107" s="507" t="s">
        <v>864</v>
      </c>
      <c r="X107" s="232"/>
      <c r="Y107" s="513"/>
      <c r="Z107" s="504" t="s">
        <v>992</v>
      </c>
      <c r="AA107" s="508"/>
      <c r="AB107" s="504"/>
      <c r="AC107" s="506">
        <v>1</v>
      </c>
      <c r="AD107" s="506">
        <v>1</v>
      </c>
      <c r="AMD107" s="224"/>
    </row>
    <row r="108" spans="1:1018" s="251" customFormat="1" ht="13.5" customHeight="1">
      <c r="A108" s="225">
        <v>97</v>
      </c>
      <c r="B108" s="217"/>
      <c r="C108" s="241"/>
      <c r="D108" s="512" t="s">
        <v>1354</v>
      </c>
      <c r="E108" s="512"/>
      <c r="F108" s="241"/>
      <c r="G108" s="241"/>
      <c r="H108" s="504" t="s">
        <v>1355</v>
      </c>
      <c r="I108" s="503" t="s">
        <v>1356</v>
      </c>
      <c r="J108" s="504" t="s">
        <v>1357</v>
      </c>
      <c r="K108" s="503"/>
      <c r="L108" s="504"/>
      <c r="M108" s="504"/>
      <c r="N108" s="504"/>
      <c r="O108" s="504"/>
      <c r="P108" s="505"/>
      <c r="Q108" s="504" t="s">
        <v>817</v>
      </c>
      <c r="R108" s="504"/>
      <c r="S108" s="504" t="s">
        <v>863</v>
      </c>
      <c r="T108" s="506"/>
      <c r="U108" s="504"/>
      <c r="V108" s="507" t="s">
        <v>864</v>
      </c>
      <c r="W108" s="507" t="s">
        <v>864</v>
      </c>
      <c r="X108" s="232"/>
      <c r="Y108" s="513"/>
      <c r="Z108" s="504"/>
      <c r="AA108" s="508"/>
      <c r="AB108" s="504"/>
      <c r="AC108" s="506">
        <v>1</v>
      </c>
      <c r="AD108" s="506">
        <v>1</v>
      </c>
      <c r="AMD108" s="224"/>
    </row>
    <row r="109" spans="1:1018" s="251" customFormat="1" ht="13.5" customHeight="1">
      <c r="A109" s="225">
        <v>98</v>
      </c>
      <c r="B109" s="217"/>
      <c r="C109" s="241"/>
      <c r="D109" s="512" t="s">
        <v>1358</v>
      </c>
      <c r="E109" s="512"/>
      <c r="F109" s="241"/>
      <c r="G109" s="241"/>
      <c r="H109" s="504" t="s">
        <v>1359</v>
      </c>
      <c r="I109" s="503" t="s">
        <v>1360</v>
      </c>
      <c r="J109" s="504" t="s">
        <v>1361</v>
      </c>
      <c r="K109" s="503"/>
      <c r="L109" s="504"/>
      <c r="M109" s="504"/>
      <c r="N109" s="504"/>
      <c r="O109" s="504"/>
      <c r="P109" s="505"/>
      <c r="Q109" s="504" t="s">
        <v>817</v>
      </c>
      <c r="R109" s="504"/>
      <c r="S109" s="504" t="s">
        <v>1362</v>
      </c>
      <c r="T109" s="506"/>
      <c r="U109" s="504"/>
      <c r="V109" s="507" t="s">
        <v>864</v>
      </c>
      <c r="W109" s="507" t="s">
        <v>864</v>
      </c>
      <c r="X109" s="232"/>
      <c r="Y109" s="513"/>
      <c r="Z109" s="504"/>
      <c r="AA109" s="508"/>
      <c r="AB109" s="504"/>
      <c r="AC109" s="506">
        <v>1</v>
      </c>
      <c r="AD109" s="506">
        <v>1</v>
      </c>
      <c r="AMD109" s="224"/>
    </row>
    <row r="110" spans="1:1018" s="251" customFormat="1" ht="13.5" customHeight="1">
      <c r="A110" s="225">
        <v>99</v>
      </c>
      <c r="B110" s="217"/>
      <c r="C110" s="241"/>
      <c r="D110" s="512" t="s">
        <v>875</v>
      </c>
      <c r="E110" s="512"/>
      <c r="F110" s="241"/>
      <c r="G110" s="241"/>
      <c r="H110" s="504" t="s">
        <v>1363</v>
      </c>
      <c r="I110" s="276" t="s">
        <v>1364</v>
      </c>
      <c r="J110" s="504" t="s">
        <v>875</v>
      </c>
      <c r="K110" s="503"/>
      <c r="L110" s="504"/>
      <c r="M110" s="504"/>
      <c r="N110" s="504"/>
      <c r="O110" s="504"/>
      <c r="P110" s="505"/>
      <c r="Q110" s="504" t="s">
        <v>820</v>
      </c>
      <c r="R110" s="504"/>
      <c r="S110" s="504" t="s">
        <v>863</v>
      </c>
      <c r="T110" s="506"/>
      <c r="U110" s="504"/>
      <c r="V110" s="507" t="s">
        <v>864</v>
      </c>
      <c r="W110" s="507" t="s">
        <v>864</v>
      </c>
      <c r="X110" s="232"/>
      <c r="Y110" s="513"/>
      <c r="Z110" s="504"/>
      <c r="AA110" s="508"/>
      <c r="AB110" s="504"/>
      <c r="AC110" s="506">
        <v>1</v>
      </c>
      <c r="AD110" s="506">
        <v>1</v>
      </c>
      <c r="AMD110" s="224"/>
    </row>
    <row r="111" spans="1:1018" s="251" customFormat="1" ht="13.5" customHeight="1">
      <c r="A111" s="225">
        <v>100</v>
      </c>
      <c r="B111" s="217"/>
      <c r="C111" s="241"/>
      <c r="D111" s="512" t="s">
        <v>1365</v>
      </c>
      <c r="E111" s="512"/>
      <c r="F111" s="241"/>
      <c r="G111" s="241"/>
      <c r="H111" s="504" t="s">
        <v>1366</v>
      </c>
      <c r="I111" s="503"/>
      <c r="J111" s="504" t="s">
        <v>1367</v>
      </c>
      <c r="K111" s="503"/>
      <c r="L111" s="504"/>
      <c r="M111" s="504"/>
      <c r="N111" s="504"/>
      <c r="O111" s="504"/>
      <c r="P111" s="505"/>
      <c r="Q111" s="504" t="s">
        <v>817</v>
      </c>
      <c r="R111" s="504"/>
      <c r="S111" s="504" t="s">
        <v>863</v>
      </c>
      <c r="T111" s="506"/>
      <c r="U111" s="504"/>
      <c r="V111" s="507" t="s">
        <v>864</v>
      </c>
      <c r="W111" s="507" t="s">
        <v>864</v>
      </c>
      <c r="X111" s="232"/>
      <c r="Y111" s="513"/>
      <c r="Z111" s="504"/>
      <c r="AA111" s="508"/>
      <c r="AB111" s="504"/>
      <c r="AC111" s="506">
        <v>1</v>
      </c>
      <c r="AD111" s="506">
        <v>1</v>
      </c>
      <c r="AMD111" s="224"/>
    </row>
    <row r="112" spans="1:1018" s="251" customFormat="1" ht="12.95" customHeight="1">
      <c r="A112" s="225">
        <v>101</v>
      </c>
      <c r="B112" s="217"/>
      <c r="C112" s="241"/>
      <c r="D112" s="512" t="s">
        <v>1368</v>
      </c>
      <c r="E112" s="512"/>
      <c r="F112" s="241"/>
      <c r="G112" s="241"/>
      <c r="H112" s="504" t="s">
        <v>1369</v>
      </c>
      <c r="I112" s="503"/>
      <c r="J112" s="504" t="s">
        <v>1370</v>
      </c>
      <c r="K112" s="503"/>
      <c r="L112" s="504"/>
      <c r="M112" s="504"/>
      <c r="N112" s="504"/>
      <c r="O112" s="504"/>
      <c r="P112" s="505"/>
      <c r="Q112" s="504" t="s">
        <v>817</v>
      </c>
      <c r="R112" s="504"/>
      <c r="S112" s="504" t="s">
        <v>863</v>
      </c>
      <c r="T112" s="506"/>
      <c r="U112" s="504"/>
      <c r="V112" s="507" t="s">
        <v>864</v>
      </c>
      <c r="W112" s="507" t="s">
        <v>864</v>
      </c>
      <c r="X112" s="232"/>
      <c r="Y112" s="513"/>
      <c r="Z112" s="504"/>
      <c r="AA112" s="508"/>
      <c r="AB112" s="504"/>
      <c r="AC112" s="506">
        <v>1</v>
      </c>
      <c r="AD112" s="506">
        <v>1</v>
      </c>
      <c r="AMD112" s="224"/>
    </row>
    <row r="113" spans="1:30" s="224" customFormat="1" ht="13.5" customHeight="1">
      <c r="A113" s="225">
        <v>102</v>
      </c>
      <c r="B113" s="217" t="s">
        <v>1371</v>
      </c>
      <c r="C113" s="216"/>
      <c r="D113" s="241"/>
      <c r="E113" s="241"/>
      <c r="F113" s="241"/>
      <c r="G113" s="241"/>
      <c r="H113" s="504" t="s">
        <v>1372</v>
      </c>
      <c r="I113" s="503" t="s">
        <v>1323</v>
      </c>
      <c r="J113" s="504"/>
      <c r="K113" s="503" t="s">
        <v>1373</v>
      </c>
      <c r="L113" s="504"/>
      <c r="M113" s="504"/>
      <c r="N113" s="504"/>
      <c r="O113" s="504"/>
      <c r="P113" s="505"/>
      <c r="Q113" s="504" t="s">
        <v>820</v>
      </c>
      <c r="R113" s="504"/>
      <c r="S113" s="504" t="s">
        <v>863</v>
      </c>
      <c r="T113" s="506"/>
      <c r="U113" s="515"/>
      <c r="V113" s="507"/>
      <c r="W113" s="507" t="s">
        <v>864</v>
      </c>
      <c r="X113" s="232"/>
      <c r="Y113" s="380" t="s">
        <v>1374</v>
      </c>
      <c r="Z113" s="386" t="s">
        <v>1329</v>
      </c>
      <c r="AA113" s="508"/>
      <c r="AB113" s="504"/>
      <c r="AC113" s="506"/>
      <c r="AD113" s="506">
        <v>1</v>
      </c>
    </row>
    <row r="114" spans="1:30" s="224" customFormat="1" ht="13.5" customHeight="1">
      <c r="A114" s="225">
        <v>103</v>
      </c>
      <c r="B114" s="217" t="s">
        <v>1375</v>
      </c>
      <c r="C114" s="216"/>
      <c r="D114" s="216"/>
      <c r="E114" s="216"/>
      <c r="F114" s="216"/>
      <c r="G114" s="216"/>
      <c r="H114" s="504" t="s">
        <v>1376</v>
      </c>
      <c r="I114" s="514"/>
      <c r="J114" s="504"/>
      <c r="K114" s="503" t="s">
        <v>1377</v>
      </c>
      <c r="L114" s="504"/>
      <c r="M114" s="504"/>
      <c r="N114" s="504"/>
      <c r="O114" s="504"/>
      <c r="P114" s="505"/>
      <c r="Q114" s="504" t="s">
        <v>823</v>
      </c>
      <c r="R114" s="504" t="s">
        <v>864</v>
      </c>
      <c r="S114" s="379" t="s">
        <v>1377</v>
      </c>
      <c r="T114" s="506"/>
      <c r="U114" s="518"/>
      <c r="V114" s="507"/>
      <c r="W114" s="260" t="s">
        <v>864</v>
      </c>
      <c r="X114" s="232"/>
      <c r="Y114" s="513"/>
      <c r="Z114" s="504"/>
      <c r="AA114" s="508"/>
      <c r="AB114" s="504"/>
      <c r="AC114" s="506"/>
      <c r="AD114" s="506">
        <v>1</v>
      </c>
    </row>
    <row r="115" spans="1:30" s="224" customFormat="1" ht="13.5" customHeight="1">
      <c r="A115" s="225">
        <v>104</v>
      </c>
      <c r="B115" s="216"/>
      <c r="C115" s="241" t="s">
        <v>1285</v>
      </c>
      <c r="D115" s="241"/>
      <c r="E115" s="241"/>
      <c r="F115" s="241"/>
      <c r="G115" s="241"/>
      <c r="H115" s="504" t="s">
        <v>1378</v>
      </c>
      <c r="I115" s="514"/>
      <c r="J115" s="504"/>
      <c r="K115" s="503" t="s">
        <v>1284</v>
      </c>
      <c r="L115" s="504"/>
      <c r="M115" s="504"/>
      <c r="N115" s="504"/>
      <c r="O115" s="504"/>
      <c r="P115" s="505"/>
      <c r="Q115" s="383" t="s">
        <v>817</v>
      </c>
      <c r="R115" s="504" t="s">
        <v>864</v>
      </c>
      <c r="S115" s="379" t="s">
        <v>1284</v>
      </c>
      <c r="T115" s="506"/>
      <c r="U115" s="506"/>
      <c r="V115" s="507"/>
      <c r="W115" s="260" t="s">
        <v>864</v>
      </c>
      <c r="X115" s="232"/>
      <c r="Y115" s="385" t="s">
        <v>1379</v>
      </c>
      <c r="Z115" s="504"/>
      <c r="AA115" s="508"/>
      <c r="AB115" s="504"/>
      <c r="AC115" s="506"/>
      <c r="AD115" s="506">
        <v>1</v>
      </c>
    </row>
    <row r="116" spans="1:30" s="224" customFormat="1" ht="13.5" customHeight="1">
      <c r="A116" s="225">
        <v>105</v>
      </c>
      <c r="B116" s="216"/>
      <c r="C116" s="241" t="s">
        <v>831</v>
      </c>
      <c r="D116" s="241"/>
      <c r="E116" s="241"/>
      <c r="F116" s="241"/>
      <c r="G116" s="241"/>
      <c r="H116" s="504" t="s">
        <v>1380</v>
      </c>
      <c r="I116" s="514"/>
      <c r="J116" s="504"/>
      <c r="K116" s="503" t="s">
        <v>1199</v>
      </c>
      <c r="L116" s="504"/>
      <c r="M116" s="504"/>
      <c r="N116" s="504"/>
      <c r="O116" s="504"/>
      <c r="P116" s="505"/>
      <c r="Q116" s="504" t="s">
        <v>817</v>
      </c>
      <c r="R116" s="504"/>
      <c r="S116" s="504" t="s">
        <v>863</v>
      </c>
      <c r="T116" s="506"/>
      <c r="U116" s="518"/>
      <c r="V116" s="507"/>
      <c r="W116" s="260" t="s">
        <v>864</v>
      </c>
      <c r="X116" s="232"/>
      <c r="Y116" s="513"/>
      <c r="Z116" s="504"/>
      <c r="AA116" s="508"/>
      <c r="AB116" s="504"/>
      <c r="AC116" s="506"/>
      <c r="AD116" s="506">
        <v>1</v>
      </c>
    </row>
    <row r="117" spans="1:30" s="224" customFormat="1" ht="13.5" customHeight="1">
      <c r="A117" s="225">
        <v>106</v>
      </c>
      <c r="B117" s="217"/>
      <c r="C117" s="241" t="s">
        <v>1381</v>
      </c>
      <c r="D117" s="241"/>
      <c r="E117" s="241"/>
      <c r="F117" s="241"/>
      <c r="G117" s="241"/>
      <c r="H117" s="504" t="s">
        <v>1382</v>
      </c>
      <c r="I117" s="514" t="s">
        <v>1383</v>
      </c>
      <c r="J117" s="504"/>
      <c r="K117" s="503" t="s">
        <v>1334</v>
      </c>
      <c r="L117" s="504"/>
      <c r="M117" s="504"/>
      <c r="N117" s="504"/>
      <c r="O117" s="504"/>
      <c r="P117" s="505"/>
      <c r="Q117" s="504" t="s">
        <v>820</v>
      </c>
      <c r="R117" s="504"/>
      <c r="S117" s="504" t="s">
        <v>863</v>
      </c>
      <c r="T117" s="506"/>
      <c r="U117" s="506"/>
      <c r="V117" s="507"/>
      <c r="W117" s="507" t="s">
        <v>864</v>
      </c>
      <c r="X117" s="232"/>
      <c r="Y117" s="513"/>
      <c r="Z117" s="504"/>
      <c r="AA117" s="508"/>
      <c r="AB117" s="504"/>
      <c r="AC117" s="506"/>
      <c r="AD117" s="506">
        <v>1</v>
      </c>
    </row>
    <row r="118" spans="1:30" s="224" customFormat="1" ht="14.25" customHeight="1">
      <c r="A118" s="225">
        <v>107</v>
      </c>
      <c r="B118" s="217" t="s">
        <v>1384</v>
      </c>
      <c r="C118" s="217"/>
      <c r="D118" s="217"/>
      <c r="E118" s="217"/>
      <c r="F118" s="217"/>
      <c r="G118" s="217"/>
      <c r="H118" s="504" t="s">
        <v>1385</v>
      </c>
      <c r="I118" s="514"/>
      <c r="J118" s="504"/>
      <c r="K118" s="503" t="s">
        <v>1386</v>
      </c>
      <c r="L118" s="504"/>
      <c r="M118" s="504"/>
      <c r="N118" s="504"/>
      <c r="O118" s="504"/>
      <c r="P118" s="505"/>
      <c r="Q118" s="504" t="s">
        <v>823</v>
      </c>
      <c r="R118" s="504" t="s">
        <v>864</v>
      </c>
      <c r="S118" s="379" t="s">
        <v>1386</v>
      </c>
      <c r="T118" s="506"/>
      <c r="U118" s="259"/>
      <c r="V118" s="260" t="s">
        <v>864</v>
      </c>
      <c r="W118" s="260" t="s">
        <v>864</v>
      </c>
      <c r="X118" s="232"/>
      <c r="Y118" s="513"/>
      <c r="Z118" s="504"/>
      <c r="AA118" s="245"/>
      <c r="AB118" s="504"/>
      <c r="AC118" s="506"/>
      <c r="AD118" s="506">
        <v>1</v>
      </c>
    </row>
    <row r="119" spans="1:30" s="224" customFormat="1" ht="13.5" customHeight="1">
      <c r="A119" s="225">
        <v>108</v>
      </c>
      <c r="B119" s="217"/>
      <c r="C119" s="217" t="s">
        <v>1387</v>
      </c>
      <c r="D119" s="241"/>
      <c r="E119" s="219"/>
      <c r="F119" s="241"/>
      <c r="G119" s="241"/>
      <c r="H119" s="504" t="s">
        <v>1388</v>
      </c>
      <c r="I119" s="514"/>
      <c r="J119" s="504"/>
      <c r="K119" s="503" t="s">
        <v>1199</v>
      </c>
      <c r="L119" s="504"/>
      <c r="M119" s="504"/>
      <c r="N119" s="504"/>
      <c r="O119" s="504"/>
      <c r="P119" s="505"/>
      <c r="Q119" s="504" t="s">
        <v>820</v>
      </c>
      <c r="R119" s="504"/>
      <c r="S119" s="503" t="s">
        <v>863</v>
      </c>
      <c r="T119" s="506"/>
      <c r="U119" s="506"/>
      <c r="V119" s="507" t="s">
        <v>864</v>
      </c>
      <c r="W119" s="260" t="s">
        <v>864</v>
      </c>
      <c r="X119" s="232"/>
      <c r="Y119" s="266" t="s">
        <v>1389</v>
      </c>
      <c r="Z119" s="504" t="s">
        <v>1390</v>
      </c>
      <c r="AA119" s="508"/>
      <c r="AB119" s="504"/>
      <c r="AC119" s="506"/>
      <c r="AD119" s="506">
        <v>1</v>
      </c>
    </row>
    <row r="120" spans="1:30" s="224" customFormat="1" ht="13.5" customHeight="1">
      <c r="A120" s="225">
        <v>109</v>
      </c>
      <c r="B120" s="217"/>
      <c r="C120" s="217" t="s">
        <v>1391</v>
      </c>
      <c r="D120" s="219"/>
      <c r="E120" s="219"/>
      <c r="F120" s="219"/>
      <c r="G120" s="219"/>
      <c r="H120" s="504"/>
      <c r="I120" s="514"/>
      <c r="J120" s="504"/>
      <c r="K120" s="503" t="s">
        <v>1392</v>
      </c>
      <c r="L120" s="504"/>
      <c r="M120" s="504"/>
      <c r="N120" s="504"/>
      <c r="O120" s="504"/>
      <c r="P120" s="505"/>
      <c r="Q120" s="504" t="s">
        <v>817</v>
      </c>
      <c r="R120" s="504" t="s">
        <v>864</v>
      </c>
      <c r="S120" s="243" t="s">
        <v>1392</v>
      </c>
      <c r="T120" s="506"/>
      <c r="U120" s="506"/>
      <c r="V120" s="260"/>
      <c r="W120" s="260" t="s">
        <v>864</v>
      </c>
      <c r="X120" s="232"/>
      <c r="Y120" s="513"/>
      <c r="Z120" s="504"/>
      <c r="AA120" s="245"/>
      <c r="AB120" s="504"/>
      <c r="AC120" s="506"/>
      <c r="AD120" s="506">
        <v>1</v>
      </c>
    </row>
    <row r="121" spans="1:30" s="224" customFormat="1" ht="13.5" customHeight="1">
      <c r="A121" s="225">
        <v>110</v>
      </c>
      <c r="B121" s="217"/>
      <c r="C121" s="217"/>
      <c r="D121" s="241" t="s">
        <v>1393</v>
      </c>
      <c r="E121" s="219"/>
      <c r="F121" s="219"/>
      <c r="G121" s="219"/>
      <c r="H121" s="504" t="s">
        <v>1394</v>
      </c>
      <c r="I121" s="514"/>
      <c r="J121" s="504"/>
      <c r="K121" s="503" t="s">
        <v>1395</v>
      </c>
      <c r="L121" s="504"/>
      <c r="M121" s="504"/>
      <c r="N121" s="504"/>
      <c r="O121" s="504"/>
      <c r="P121" s="505"/>
      <c r="Q121" s="504" t="s">
        <v>823</v>
      </c>
      <c r="R121" s="504" t="s">
        <v>864</v>
      </c>
      <c r="S121" s="379" t="s">
        <v>1395</v>
      </c>
      <c r="T121" s="506"/>
      <c r="U121" s="506"/>
      <c r="V121" s="507"/>
      <c r="W121" s="260" t="s">
        <v>864</v>
      </c>
      <c r="X121" s="232"/>
      <c r="Y121" s="513"/>
      <c r="Z121" s="504"/>
      <c r="AA121" s="508"/>
      <c r="AB121" s="504"/>
      <c r="AC121" s="506"/>
      <c r="AD121" s="506">
        <v>1</v>
      </c>
    </row>
    <row r="122" spans="1:30" s="224" customFormat="1" ht="13.5" customHeight="1">
      <c r="A122" s="225">
        <v>111</v>
      </c>
      <c r="B122" s="217"/>
      <c r="C122" s="217"/>
      <c r="D122" s="241"/>
      <c r="E122" s="241" t="s">
        <v>1052</v>
      </c>
      <c r="F122" s="241"/>
      <c r="G122" s="241"/>
      <c r="H122" s="504" t="s">
        <v>1053</v>
      </c>
      <c r="I122" s="514" t="s">
        <v>1396</v>
      </c>
      <c r="J122" s="504"/>
      <c r="K122" s="503" t="s">
        <v>908</v>
      </c>
      <c r="L122" s="504"/>
      <c r="M122" s="504"/>
      <c r="N122" s="504"/>
      <c r="O122" s="504"/>
      <c r="P122" s="505"/>
      <c r="Q122" s="504" t="s">
        <v>820</v>
      </c>
      <c r="R122" s="504"/>
      <c r="S122" s="504" t="s">
        <v>863</v>
      </c>
      <c r="T122" s="506" t="s">
        <v>864</v>
      </c>
      <c r="U122" s="506" t="s">
        <v>1397</v>
      </c>
      <c r="V122" s="260"/>
      <c r="W122" s="260" t="s">
        <v>864</v>
      </c>
      <c r="X122" s="232"/>
      <c r="Y122" s="266" t="s">
        <v>1056</v>
      </c>
      <c r="Z122" s="504" t="s">
        <v>1057</v>
      </c>
      <c r="AA122" s="245"/>
      <c r="AB122" s="504"/>
      <c r="AC122" s="506"/>
      <c r="AD122" s="506">
        <v>1</v>
      </c>
    </row>
    <row r="123" spans="1:30" s="224" customFormat="1" ht="13.5" customHeight="1">
      <c r="A123" s="225">
        <v>112</v>
      </c>
      <c r="B123" s="217"/>
      <c r="C123" s="217"/>
      <c r="D123" s="241"/>
      <c r="E123" s="241" t="s">
        <v>1058</v>
      </c>
      <c r="F123" s="241"/>
      <c r="G123" s="241"/>
      <c r="H123" s="504" t="s">
        <v>1059</v>
      </c>
      <c r="I123" s="514" t="s">
        <v>1341</v>
      </c>
      <c r="J123" s="504"/>
      <c r="K123" s="503" t="s">
        <v>1061</v>
      </c>
      <c r="L123" s="504"/>
      <c r="M123" s="504"/>
      <c r="N123" s="504"/>
      <c r="O123" s="504"/>
      <c r="P123" s="505"/>
      <c r="Q123" s="504" t="s">
        <v>820</v>
      </c>
      <c r="R123" s="504"/>
      <c r="S123" s="504" t="s">
        <v>863</v>
      </c>
      <c r="T123" s="506"/>
      <c r="U123" s="506"/>
      <c r="V123" s="260"/>
      <c r="W123" s="260" t="s">
        <v>864</v>
      </c>
      <c r="X123" s="232"/>
      <c r="Y123" s="513"/>
      <c r="Z123" s="504"/>
      <c r="AA123" s="245"/>
      <c r="AB123" s="504"/>
      <c r="AC123" s="506"/>
      <c r="AD123" s="506">
        <v>1</v>
      </c>
    </row>
    <row r="124" spans="1:30" s="224" customFormat="1" ht="13.5" customHeight="1">
      <c r="A124" s="225">
        <v>113</v>
      </c>
      <c r="B124" s="217"/>
      <c r="C124" s="217"/>
      <c r="D124" s="217" t="s">
        <v>1240</v>
      </c>
      <c r="E124" s="219" t="s">
        <v>1256</v>
      </c>
      <c r="F124" s="241"/>
      <c r="G124" s="241"/>
      <c r="H124" s="504" t="s">
        <v>1398</v>
      </c>
      <c r="I124" s="514"/>
      <c r="J124" s="504"/>
      <c r="K124" s="503" t="s">
        <v>1245</v>
      </c>
      <c r="L124" s="504"/>
      <c r="M124" s="504"/>
      <c r="N124" s="504"/>
      <c r="O124" s="504"/>
      <c r="P124" s="505"/>
      <c r="Q124" s="504" t="s">
        <v>823</v>
      </c>
      <c r="R124" s="504" t="s">
        <v>864</v>
      </c>
      <c r="S124" s="243" t="s">
        <v>1245</v>
      </c>
      <c r="T124" s="506"/>
      <c r="U124" s="506"/>
      <c r="V124" s="260"/>
      <c r="W124" s="260" t="s">
        <v>864</v>
      </c>
      <c r="X124" s="232"/>
      <c r="Y124" s="384" t="s">
        <v>1399</v>
      </c>
      <c r="Z124" s="390" t="s">
        <v>1400</v>
      </c>
      <c r="AA124" s="245" t="s">
        <v>1246</v>
      </c>
      <c r="AB124" s="504"/>
      <c r="AC124" s="506"/>
      <c r="AD124" s="506">
        <v>1</v>
      </c>
    </row>
    <row r="125" spans="1:30" s="224" customFormat="1" ht="13.5" customHeight="1">
      <c r="A125" s="225">
        <v>114</v>
      </c>
      <c r="B125" s="217"/>
      <c r="C125" s="217"/>
      <c r="D125" s="217" t="s">
        <v>1401</v>
      </c>
      <c r="E125" s="241"/>
      <c r="F125" s="241"/>
      <c r="G125" s="241"/>
      <c r="H125" s="504" t="s">
        <v>1402</v>
      </c>
      <c r="I125" s="514"/>
      <c r="J125" s="504"/>
      <c r="K125" s="503" t="s">
        <v>1403</v>
      </c>
      <c r="L125" s="504"/>
      <c r="M125" s="504"/>
      <c r="N125" s="504"/>
      <c r="O125" s="504"/>
      <c r="P125" s="505"/>
      <c r="Q125" s="504" t="s">
        <v>817</v>
      </c>
      <c r="R125" s="504" t="s">
        <v>864</v>
      </c>
      <c r="S125" s="379" t="s">
        <v>1403</v>
      </c>
      <c r="T125" s="506"/>
      <c r="U125" s="506"/>
      <c r="V125" s="260"/>
      <c r="W125" s="260" t="s">
        <v>864</v>
      </c>
      <c r="X125" s="232"/>
      <c r="Y125" s="513"/>
      <c r="Z125" s="504"/>
      <c r="AA125" s="245"/>
      <c r="AB125" s="504"/>
      <c r="AC125" s="506"/>
      <c r="AD125" s="506">
        <v>1</v>
      </c>
    </row>
    <row r="126" spans="1:30" s="224" customFormat="1" ht="13.5" customHeight="1">
      <c r="A126" s="225">
        <v>115</v>
      </c>
      <c r="B126" s="217"/>
      <c r="C126" s="217"/>
      <c r="D126" s="217"/>
      <c r="E126" s="217" t="s">
        <v>1062</v>
      </c>
      <c r="F126" s="219" t="s">
        <v>1404</v>
      </c>
      <c r="G126" s="241"/>
      <c r="H126" s="504"/>
      <c r="I126" s="514"/>
      <c r="J126" s="504"/>
      <c r="K126" s="503" t="s">
        <v>1063</v>
      </c>
      <c r="L126" s="504"/>
      <c r="M126" s="504"/>
      <c r="N126" s="504"/>
      <c r="O126" s="504"/>
      <c r="P126" s="505"/>
      <c r="Q126" s="504" t="s">
        <v>817</v>
      </c>
      <c r="R126" s="504" t="s">
        <v>864</v>
      </c>
      <c r="S126" s="243" t="s">
        <v>1063</v>
      </c>
      <c r="T126" s="506"/>
      <c r="U126" s="506"/>
      <c r="V126" s="260"/>
      <c r="W126" s="260" t="s">
        <v>864</v>
      </c>
      <c r="X126" s="232"/>
      <c r="Y126" s="513"/>
      <c r="Z126" s="504"/>
      <c r="AA126" s="245"/>
      <c r="AB126" s="504"/>
      <c r="AC126" s="506"/>
      <c r="AD126" s="506">
        <v>1</v>
      </c>
    </row>
    <row r="127" spans="1:30" s="224" customFormat="1" ht="13.5" customHeight="1">
      <c r="A127" s="225">
        <v>116</v>
      </c>
      <c r="B127" s="217"/>
      <c r="C127" s="217"/>
      <c r="D127" s="217"/>
      <c r="E127" s="217" t="s">
        <v>1087</v>
      </c>
      <c r="F127" s="219" t="s">
        <v>1405</v>
      </c>
      <c r="G127" s="241"/>
      <c r="H127" s="504"/>
      <c r="I127" s="514"/>
      <c r="J127" s="504"/>
      <c r="K127" s="503" t="s">
        <v>1088</v>
      </c>
      <c r="L127" s="504"/>
      <c r="M127" s="504"/>
      <c r="N127" s="504"/>
      <c r="O127" s="504"/>
      <c r="P127" s="505"/>
      <c r="Q127" s="504" t="s">
        <v>817</v>
      </c>
      <c r="R127" s="504" t="s">
        <v>864</v>
      </c>
      <c r="S127" s="243" t="s">
        <v>1088</v>
      </c>
      <c r="T127" s="506"/>
      <c r="U127" s="506"/>
      <c r="V127" s="260"/>
      <c r="W127" s="260" t="s">
        <v>864</v>
      </c>
      <c r="X127" s="232"/>
      <c r="Y127" s="513"/>
      <c r="Z127" s="504"/>
      <c r="AA127" s="245"/>
      <c r="AB127" s="504"/>
      <c r="AC127" s="506"/>
      <c r="AD127" s="506">
        <v>1</v>
      </c>
    </row>
    <row r="128" spans="1:30" s="224" customFormat="1" ht="13.5" customHeight="1">
      <c r="A128" s="225">
        <v>117</v>
      </c>
      <c r="B128" s="217"/>
      <c r="C128" s="217"/>
      <c r="D128" s="217" t="s">
        <v>1406</v>
      </c>
      <c r="E128" s="241"/>
      <c r="F128" s="241"/>
      <c r="G128" s="241"/>
      <c r="H128" s="504"/>
      <c r="I128" s="514"/>
      <c r="J128" s="504"/>
      <c r="K128" s="503" t="s">
        <v>1407</v>
      </c>
      <c r="L128" s="504"/>
      <c r="M128" s="504"/>
      <c r="N128" s="504"/>
      <c r="O128" s="504"/>
      <c r="P128" s="505"/>
      <c r="Q128" s="504" t="s">
        <v>817</v>
      </c>
      <c r="R128" s="504" t="s">
        <v>864</v>
      </c>
      <c r="S128" s="379" t="s">
        <v>1407</v>
      </c>
      <c r="T128" s="506"/>
      <c r="U128" s="506"/>
      <c r="V128" s="260"/>
      <c r="W128" s="260" t="s">
        <v>864</v>
      </c>
      <c r="X128" s="232"/>
      <c r="Y128" s="513"/>
      <c r="Z128" s="513" t="s">
        <v>1408</v>
      </c>
      <c r="AA128" s="245"/>
      <c r="AB128" s="504"/>
      <c r="AC128" s="506"/>
      <c r="AD128" s="506">
        <v>1</v>
      </c>
    </row>
    <row r="129" spans="1:30" s="224" customFormat="1" ht="13.5" customHeight="1">
      <c r="A129" s="225">
        <v>118</v>
      </c>
      <c r="B129" s="217"/>
      <c r="C129" s="217"/>
      <c r="D129" s="217"/>
      <c r="E129" s="241" t="s">
        <v>1285</v>
      </c>
      <c r="F129" s="241"/>
      <c r="G129" s="241"/>
      <c r="H129" s="504" t="s">
        <v>1409</v>
      </c>
      <c r="I129" s="514"/>
      <c r="J129" s="504"/>
      <c r="K129" s="503" t="s">
        <v>1284</v>
      </c>
      <c r="L129" s="504"/>
      <c r="M129" s="504"/>
      <c r="N129" s="504"/>
      <c r="O129" s="504"/>
      <c r="P129" s="505"/>
      <c r="Q129" s="504" t="s">
        <v>820</v>
      </c>
      <c r="R129" s="504" t="s">
        <v>864</v>
      </c>
      <c r="S129" s="243" t="s">
        <v>1284</v>
      </c>
      <c r="T129" s="506"/>
      <c r="U129" s="506"/>
      <c r="V129" s="260"/>
      <c r="W129" s="260" t="s">
        <v>864</v>
      </c>
      <c r="X129" s="232"/>
      <c r="Y129" s="513"/>
      <c r="Z129" s="504"/>
      <c r="AA129" s="245"/>
      <c r="AB129" s="504"/>
      <c r="AC129" s="506"/>
      <c r="AD129" s="506">
        <v>1</v>
      </c>
    </row>
    <row r="130" spans="1:30" s="224" customFormat="1" ht="13.5" customHeight="1">
      <c r="A130" s="225">
        <v>119</v>
      </c>
      <c r="B130" s="217"/>
      <c r="C130" s="217"/>
      <c r="D130" s="217"/>
      <c r="E130" s="241" t="s">
        <v>1410</v>
      </c>
      <c r="F130" s="241"/>
      <c r="G130" s="241"/>
      <c r="H130" s="504" t="s">
        <v>1411</v>
      </c>
      <c r="I130" s="514">
        <v>10000668540</v>
      </c>
      <c r="J130" s="504"/>
      <c r="K130" s="503" t="s">
        <v>1199</v>
      </c>
      <c r="L130" s="504"/>
      <c r="M130" s="504"/>
      <c r="N130" s="504"/>
      <c r="O130" s="504"/>
      <c r="P130" s="505"/>
      <c r="Q130" s="504" t="s">
        <v>817</v>
      </c>
      <c r="R130" s="504"/>
      <c r="S130" s="504" t="s">
        <v>863</v>
      </c>
      <c r="T130" s="506"/>
      <c r="U130" s="374"/>
      <c r="V130" s="260"/>
      <c r="W130" s="260" t="s">
        <v>864</v>
      </c>
      <c r="X130" s="232"/>
      <c r="Y130" s="380" t="s">
        <v>1412</v>
      </c>
      <c r="Z130" s="504" t="s">
        <v>1413</v>
      </c>
      <c r="AA130" s="245"/>
      <c r="AB130" s="504"/>
      <c r="AC130" s="506"/>
      <c r="AD130" s="506">
        <v>1</v>
      </c>
    </row>
    <row r="131" spans="1:30" s="224" customFormat="1" ht="13.5" customHeight="1">
      <c r="A131" s="225">
        <v>120</v>
      </c>
      <c r="B131" s="217"/>
      <c r="C131" s="217"/>
      <c r="D131" s="241"/>
      <c r="E131" s="241" t="s">
        <v>1414</v>
      </c>
      <c r="F131" s="219" t="s">
        <v>1415</v>
      </c>
      <c r="G131" s="241"/>
      <c r="H131" s="504"/>
      <c r="I131" s="514"/>
      <c r="J131" s="504"/>
      <c r="K131" s="503" t="s">
        <v>1403</v>
      </c>
      <c r="L131" s="504"/>
      <c r="M131" s="504"/>
      <c r="N131" s="504"/>
      <c r="O131" s="504"/>
      <c r="P131" s="505"/>
      <c r="Q131" s="504" t="s">
        <v>817</v>
      </c>
      <c r="R131" s="504" t="s">
        <v>864</v>
      </c>
      <c r="S131" s="379" t="s">
        <v>1403</v>
      </c>
      <c r="T131" s="506"/>
      <c r="U131" s="506"/>
      <c r="V131" s="507"/>
      <c r="W131" s="507" t="s">
        <v>864</v>
      </c>
      <c r="X131" s="232"/>
      <c r="Y131" s="513"/>
      <c r="Z131" s="504"/>
      <c r="AA131" s="508"/>
      <c r="AB131" s="504"/>
      <c r="AC131" s="506"/>
      <c r="AD131" s="506">
        <v>1</v>
      </c>
    </row>
    <row r="132" spans="1:30" s="224" customFormat="1" ht="13.5" customHeight="1">
      <c r="A132" s="225">
        <v>121</v>
      </c>
      <c r="B132" s="217"/>
      <c r="C132" s="217"/>
      <c r="D132" s="217"/>
      <c r="E132" s="217" t="s">
        <v>1416</v>
      </c>
      <c r="F132" s="219" t="s">
        <v>1256</v>
      </c>
      <c r="G132" s="241"/>
      <c r="H132" s="504" t="s">
        <v>1398</v>
      </c>
      <c r="I132" s="514"/>
      <c r="J132" s="504"/>
      <c r="K132" s="503" t="s">
        <v>1245</v>
      </c>
      <c r="L132" s="504"/>
      <c r="M132" s="504"/>
      <c r="N132" s="504"/>
      <c r="O132" s="504"/>
      <c r="P132" s="505"/>
      <c r="Q132" s="504" t="s">
        <v>823</v>
      </c>
      <c r="R132" s="504" t="s">
        <v>864</v>
      </c>
      <c r="S132" s="243" t="s">
        <v>1245</v>
      </c>
      <c r="T132" s="506"/>
      <c r="U132" s="259"/>
      <c r="V132" s="260"/>
      <c r="W132" s="260" t="s">
        <v>864</v>
      </c>
      <c r="X132" s="232"/>
      <c r="Y132" s="513"/>
      <c r="Z132" s="504"/>
      <c r="AA132" s="245" t="s">
        <v>1246</v>
      </c>
      <c r="AB132" s="504"/>
      <c r="AC132" s="506"/>
      <c r="AD132" s="506">
        <v>1</v>
      </c>
    </row>
    <row r="133" spans="1:30" s="224" customFormat="1" ht="13.5" customHeight="1">
      <c r="A133" s="225">
        <v>122</v>
      </c>
      <c r="B133" s="217"/>
      <c r="C133" s="217" t="s">
        <v>1417</v>
      </c>
      <c r="D133" s="241"/>
      <c r="E133" s="241"/>
      <c r="F133" s="241"/>
      <c r="G133" s="241"/>
      <c r="H133" s="504" t="s">
        <v>1418</v>
      </c>
      <c r="I133" s="514"/>
      <c r="J133" s="504"/>
      <c r="K133" s="503" t="s">
        <v>1419</v>
      </c>
      <c r="L133" s="504"/>
      <c r="M133" s="504"/>
      <c r="N133" s="504"/>
      <c r="O133" s="504"/>
      <c r="P133" s="505"/>
      <c r="Q133" s="504" t="s">
        <v>817</v>
      </c>
      <c r="R133" s="504" t="s">
        <v>864</v>
      </c>
      <c r="S133" s="243" t="s">
        <v>1420</v>
      </c>
      <c r="T133" s="506"/>
      <c r="U133" s="506"/>
      <c r="V133" s="260" t="s">
        <v>864</v>
      </c>
      <c r="W133" s="260" t="s">
        <v>864</v>
      </c>
      <c r="X133" s="232"/>
      <c r="Y133" s="513"/>
      <c r="Z133" s="504"/>
      <c r="AA133" s="245"/>
      <c r="AB133" s="504"/>
      <c r="AC133" s="506"/>
      <c r="AD133" s="506">
        <v>1</v>
      </c>
    </row>
    <row r="134" spans="1:30" s="224" customFormat="1" ht="13.5" customHeight="1">
      <c r="A134" s="225">
        <v>123</v>
      </c>
      <c r="B134" s="217"/>
      <c r="C134" s="217"/>
      <c r="D134" s="217" t="s">
        <v>1421</v>
      </c>
      <c r="E134" s="241"/>
      <c r="F134" s="241"/>
      <c r="G134" s="241"/>
      <c r="H134" s="504" t="s">
        <v>1422</v>
      </c>
      <c r="I134" s="514"/>
      <c r="J134" s="504"/>
      <c r="K134" s="503" t="s">
        <v>1423</v>
      </c>
      <c r="L134" s="504"/>
      <c r="M134" s="504"/>
      <c r="N134" s="504"/>
      <c r="O134" s="504"/>
      <c r="P134" s="505"/>
      <c r="Q134" s="504" t="s">
        <v>817</v>
      </c>
      <c r="R134" s="504" t="s">
        <v>864</v>
      </c>
      <c r="S134" s="243" t="s">
        <v>1424</v>
      </c>
      <c r="T134" s="506"/>
      <c r="U134" s="259"/>
      <c r="V134" s="260"/>
      <c r="W134" s="260" t="s">
        <v>864</v>
      </c>
      <c r="X134" s="232"/>
      <c r="Y134" s="513"/>
      <c r="Z134" s="504"/>
      <c r="AA134" s="245"/>
      <c r="AB134" s="504"/>
      <c r="AC134" s="506"/>
      <c r="AD134" s="506">
        <v>1</v>
      </c>
    </row>
    <row r="135" spans="1:30" s="224" customFormat="1" ht="13.5" customHeight="1">
      <c r="A135" s="225">
        <v>124</v>
      </c>
      <c r="B135" s="217"/>
      <c r="C135" s="217"/>
      <c r="D135" s="217"/>
      <c r="E135" s="241" t="s">
        <v>1425</v>
      </c>
      <c r="F135" s="241"/>
      <c r="G135" s="241"/>
      <c r="H135" s="504" t="s">
        <v>1422</v>
      </c>
      <c r="I135" s="514"/>
      <c r="J135" s="504"/>
      <c r="K135" s="503" t="s">
        <v>888</v>
      </c>
      <c r="L135" s="504"/>
      <c r="M135" s="504"/>
      <c r="N135" s="504"/>
      <c r="O135" s="504"/>
      <c r="P135" s="505"/>
      <c r="Q135" s="504" t="s">
        <v>817</v>
      </c>
      <c r="R135" s="504"/>
      <c r="S135" s="504" t="s">
        <v>863</v>
      </c>
      <c r="T135" s="506" t="s">
        <v>864</v>
      </c>
      <c r="U135" s="261" t="s">
        <v>1426</v>
      </c>
      <c r="V135" s="507"/>
      <c r="W135" s="260" t="s">
        <v>864</v>
      </c>
      <c r="X135" s="232"/>
      <c r="Y135" s="266" t="s">
        <v>1427</v>
      </c>
      <c r="Z135" s="386" t="s">
        <v>1428</v>
      </c>
      <c r="AA135" s="245"/>
      <c r="AB135" s="504"/>
      <c r="AC135" s="506"/>
      <c r="AD135" s="506">
        <v>1</v>
      </c>
    </row>
    <row r="136" spans="1:30" s="224" customFormat="1" ht="13.5" customHeight="1">
      <c r="A136" s="225">
        <v>125</v>
      </c>
      <c r="B136" s="217"/>
      <c r="C136" s="217"/>
      <c r="D136" s="217"/>
      <c r="E136" s="241" t="s">
        <v>1429</v>
      </c>
      <c r="F136" s="241"/>
      <c r="G136" s="241"/>
      <c r="H136" s="504" t="s">
        <v>1430</v>
      </c>
      <c r="I136" s="514"/>
      <c r="J136" s="504"/>
      <c r="K136" s="503" t="s">
        <v>1431</v>
      </c>
      <c r="L136" s="504"/>
      <c r="M136" s="504"/>
      <c r="N136" s="504"/>
      <c r="O136" s="504"/>
      <c r="P136" s="505"/>
      <c r="Q136" s="504" t="s">
        <v>817</v>
      </c>
      <c r="R136" s="504"/>
      <c r="S136" s="504" t="s">
        <v>863</v>
      </c>
      <c r="T136" s="506" t="s">
        <v>864</v>
      </c>
      <c r="U136" s="261" t="s">
        <v>1432</v>
      </c>
      <c r="V136" s="507"/>
      <c r="W136" s="260" t="s">
        <v>864</v>
      </c>
      <c r="X136" s="232"/>
      <c r="Y136" s="266" t="s">
        <v>1433</v>
      </c>
      <c r="Z136" s="504"/>
      <c r="AA136" s="245"/>
      <c r="AB136" s="504"/>
      <c r="AC136" s="506"/>
      <c r="AD136" s="506">
        <v>1</v>
      </c>
    </row>
    <row r="137" spans="1:30" s="224" customFormat="1" ht="13.5" customHeight="1">
      <c r="A137" s="225">
        <v>126</v>
      </c>
      <c r="B137" s="217"/>
      <c r="C137" s="217"/>
      <c r="D137" s="217" t="s">
        <v>1434</v>
      </c>
      <c r="E137" s="241"/>
      <c r="F137" s="241"/>
      <c r="G137" s="241"/>
      <c r="H137" s="504" t="s">
        <v>1435</v>
      </c>
      <c r="I137" s="514"/>
      <c r="J137" s="504"/>
      <c r="K137" s="503" t="s">
        <v>1073</v>
      </c>
      <c r="L137" s="504"/>
      <c r="M137" s="504"/>
      <c r="N137" s="504"/>
      <c r="O137" s="504"/>
      <c r="P137" s="505"/>
      <c r="Q137" s="504" t="s">
        <v>817</v>
      </c>
      <c r="R137" s="504" t="s">
        <v>864</v>
      </c>
      <c r="S137" s="379" t="s">
        <v>1436</v>
      </c>
      <c r="T137" s="506"/>
      <c r="U137" s="506"/>
      <c r="V137" s="260"/>
      <c r="W137" s="260" t="s">
        <v>864</v>
      </c>
      <c r="X137" s="232"/>
      <c r="Y137" s="513"/>
      <c r="Z137" s="504"/>
      <c r="AA137" s="245"/>
      <c r="AB137" s="504"/>
      <c r="AC137" s="506"/>
      <c r="AD137" s="506">
        <v>1</v>
      </c>
    </row>
    <row r="138" spans="1:30" s="224" customFormat="1" ht="13.5" customHeight="1">
      <c r="A138" s="225">
        <v>127</v>
      </c>
      <c r="B138" s="217"/>
      <c r="C138" s="217"/>
      <c r="D138" s="217"/>
      <c r="E138" s="241" t="s">
        <v>1437</v>
      </c>
      <c r="F138" s="241"/>
      <c r="G138" s="241"/>
      <c r="H138" s="504" t="s">
        <v>1435</v>
      </c>
      <c r="I138" s="514" t="s">
        <v>1438</v>
      </c>
      <c r="J138" s="504"/>
      <c r="K138" s="503" t="s">
        <v>1061</v>
      </c>
      <c r="L138" s="504"/>
      <c r="M138" s="504"/>
      <c r="N138" s="504"/>
      <c r="O138" s="504"/>
      <c r="P138" s="505"/>
      <c r="Q138" s="504" t="s">
        <v>817</v>
      </c>
      <c r="R138" s="504"/>
      <c r="S138" s="504" t="s">
        <v>863</v>
      </c>
      <c r="T138" s="506"/>
      <c r="U138" s="506"/>
      <c r="V138" s="260"/>
      <c r="W138" s="260" t="s">
        <v>864</v>
      </c>
      <c r="X138" s="232"/>
      <c r="Y138" s="380" t="s">
        <v>1439</v>
      </c>
      <c r="Z138" s="504"/>
      <c r="AA138" s="245"/>
      <c r="AB138" s="504"/>
      <c r="AC138" s="506"/>
      <c r="AD138" s="506">
        <v>1</v>
      </c>
    </row>
    <row r="139" spans="1:30" s="224" customFormat="1" ht="13.5" customHeight="1">
      <c r="A139" s="225">
        <v>128</v>
      </c>
      <c r="B139" s="217"/>
      <c r="C139" s="217"/>
      <c r="D139" s="217"/>
      <c r="E139" s="241" t="s">
        <v>1440</v>
      </c>
      <c r="F139" s="241"/>
      <c r="G139" s="241"/>
      <c r="H139" s="504" t="s">
        <v>1441</v>
      </c>
      <c r="I139" s="514" t="s">
        <v>1442</v>
      </c>
      <c r="J139" s="504"/>
      <c r="K139" s="503" t="s">
        <v>1443</v>
      </c>
      <c r="L139" s="504"/>
      <c r="M139" s="504"/>
      <c r="N139" s="504"/>
      <c r="O139" s="504"/>
      <c r="P139" s="505"/>
      <c r="Q139" s="504" t="s">
        <v>817</v>
      </c>
      <c r="R139" s="504"/>
      <c r="S139" s="504" t="s">
        <v>863</v>
      </c>
      <c r="T139" s="506" t="s">
        <v>864</v>
      </c>
      <c r="U139" s="506"/>
      <c r="V139" s="260"/>
      <c r="W139" s="260" t="s">
        <v>864</v>
      </c>
      <c r="X139" s="232"/>
      <c r="Y139" s="380" t="s">
        <v>1444</v>
      </c>
      <c r="Z139" s="504"/>
      <c r="AA139" s="245"/>
      <c r="AB139" s="504"/>
      <c r="AC139" s="506"/>
      <c r="AD139" s="506">
        <v>1</v>
      </c>
    </row>
    <row r="140" spans="1:30" s="224" customFormat="1" ht="13.5" customHeight="1">
      <c r="A140" s="225">
        <v>129</v>
      </c>
      <c r="B140" s="217"/>
      <c r="C140" s="217"/>
      <c r="D140" s="217" t="s">
        <v>1445</v>
      </c>
      <c r="E140" s="241"/>
      <c r="F140" s="241"/>
      <c r="G140" s="241"/>
      <c r="H140" s="504" t="s">
        <v>1446</v>
      </c>
      <c r="I140" s="514"/>
      <c r="J140" s="504"/>
      <c r="K140" s="503" t="s">
        <v>1447</v>
      </c>
      <c r="L140" s="504"/>
      <c r="M140" s="504"/>
      <c r="N140" s="504"/>
      <c r="O140" s="504"/>
      <c r="P140" s="505"/>
      <c r="Q140" s="504" t="s">
        <v>817</v>
      </c>
      <c r="R140" s="504" t="s">
        <v>864</v>
      </c>
      <c r="S140" s="243" t="s">
        <v>1448</v>
      </c>
      <c r="T140" s="506"/>
      <c r="U140" s="259"/>
      <c r="V140" s="260" t="s">
        <v>864</v>
      </c>
      <c r="W140" s="260" t="s">
        <v>864</v>
      </c>
      <c r="X140" s="232"/>
      <c r="Y140" s="513"/>
      <c r="Z140" s="504"/>
      <c r="AA140" s="245"/>
      <c r="AB140" s="504"/>
      <c r="AC140" s="506"/>
      <c r="AD140" s="506">
        <v>1</v>
      </c>
    </row>
    <row r="141" spans="1:30" s="224" customFormat="1" ht="13.5" customHeight="1">
      <c r="A141" s="225">
        <v>130</v>
      </c>
      <c r="B141" s="217"/>
      <c r="C141" s="217"/>
      <c r="D141" s="217"/>
      <c r="E141" s="241" t="s">
        <v>1449</v>
      </c>
      <c r="F141" s="241"/>
      <c r="G141" s="241"/>
      <c r="H141" s="504" t="s">
        <v>1450</v>
      </c>
      <c r="I141" s="514" t="s">
        <v>1115</v>
      </c>
      <c r="J141" s="504"/>
      <c r="K141" s="503" t="s">
        <v>1451</v>
      </c>
      <c r="L141" s="504"/>
      <c r="M141" s="504"/>
      <c r="N141" s="504"/>
      <c r="O141" s="504"/>
      <c r="P141" s="505"/>
      <c r="Q141" s="504" t="s">
        <v>817</v>
      </c>
      <c r="R141" s="504"/>
      <c r="S141" s="504" t="s">
        <v>863</v>
      </c>
      <c r="T141" s="506"/>
      <c r="U141" s="506"/>
      <c r="V141" s="260"/>
      <c r="W141" s="260" t="s">
        <v>864</v>
      </c>
      <c r="X141" s="232"/>
      <c r="Y141" s="513"/>
      <c r="Z141" s="504"/>
      <c r="AA141" s="245"/>
      <c r="AB141" s="504"/>
      <c r="AC141" s="506"/>
      <c r="AD141" s="506">
        <v>1</v>
      </c>
    </row>
    <row r="142" spans="1:30" s="224" customFormat="1" ht="13.5" customHeight="1">
      <c r="A142" s="225">
        <v>131</v>
      </c>
      <c r="B142" s="217"/>
      <c r="C142" s="217"/>
      <c r="D142" s="217"/>
      <c r="E142" s="241" t="s">
        <v>1452</v>
      </c>
      <c r="F142" s="241"/>
      <c r="G142" s="241"/>
      <c r="H142" s="504" t="s">
        <v>1453</v>
      </c>
      <c r="I142" s="514"/>
      <c r="J142" s="504"/>
      <c r="K142" s="503" t="s">
        <v>1454</v>
      </c>
      <c r="L142" s="504"/>
      <c r="M142" s="504"/>
      <c r="N142" s="504"/>
      <c r="O142" s="504"/>
      <c r="P142" s="505"/>
      <c r="Q142" s="504" t="s">
        <v>817</v>
      </c>
      <c r="R142" s="504"/>
      <c r="S142" s="504" t="s">
        <v>863</v>
      </c>
      <c r="T142" s="506"/>
      <c r="U142" s="506"/>
      <c r="V142" s="260"/>
      <c r="W142" s="260" t="s">
        <v>864</v>
      </c>
      <c r="X142" s="232"/>
      <c r="Y142" s="513"/>
      <c r="Z142" s="504"/>
      <c r="AA142" s="245"/>
      <c r="AB142" s="504"/>
      <c r="AC142" s="506"/>
      <c r="AD142" s="506">
        <v>1</v>
      </c>
    </row>
    <row r="143" spans="1:30" s="224" customFormat="1" ht="13.5" customHeight="1">
      <c r="A143" s="225">
        <v>132</v>
      </c>
      <c r="B143" s="217"/>
      <c r="C143" s="217"/>
      <c r="D143" s="217"/>
      <c r="E143" s="241" t="s">
        <v>1455</v>
      </c>
      <c r="F143" s="241"/>
      <c r="G143" s="241"/>
      <c r="H143" s="504" t="s">
        <v>1456</v>
      </c>
      <c r="I143" s="514"/>
      <c r="J143" s="504"/>
      <c r="K143" s="503" t="s">
        <v>1457</v>
      </c>
      <c r="L143" s="504"/>
      <c r="M143" s="504"/>
      <c r="N143" s="504"/>
      <c r="O143" s="504"/>
      <c r="P143" s="505"/>
      <c r="Q143" s="504" t="s">
        <v>817</v>
      </c>
      <c r="R143" s="504"/>
      <c r="S143" s="504" t="s">
        <v>863</v>
      </c>
      <c r="T143" s="506"/>
      <c r="U143" s="506"/>
      <c r="V143" s="260"/>
      <c r="W143" s="260" t="s">
        <v>864</v>
      </c>
      <c r="X143" s="232"/>
      <c r="Y143" s="513"/>
      <c r="Z143" s="504"/>
      <c r="AA143" s="245"/>
      <c r="AB143" s="504"/>
      <c r="AC143" s="506"/>
      <c r="AD143" s="506">
        <v>1</v>
      </c>
    </row>
    <row r="144" spans="1:30" s="224" customFormat="1" ht="13.5" customHeight="1">
      <c r="A144" s="225">
        <v>133</v>
      </c>
      <c r="B144" s="217"/>
      <c r="C144" s="217"/>
      <c r="D144" s="217"/>
      <c r="E144" s="241" t="s">
        <v>1458</v>
      </c>
      <c r="F144" s="241"/>
      <c r="G144" s="241"/>
      <c r="H144" s="504" t="s">
        <v>1459</v>
      </c>
      <c r="I144" s="514"/>
      <c r="J144" s="504"/>
      <c r="K144" s="503" t="s">
        <v>1460</v>
      </c>
      <c r="L144" s="504"/>
      <c r="M144" s="504"/>
      <c r="N144" s="504"/>
      <c r="O144" s="504"/>
      <c r="P144" s="505"/>
      <c r="Q144" s="504" t="s">
        <v>817</v>
      </c>
      <c r="R144" s="504"/>
      <c r="S144" s="504" t="s">
        <v>1461</v>
      </c>
      <c r="T144" s="506"/>
      <c r="U144" s="259"/>
      <c r="V144" s="260" t="s">
        <v>864</v>
      </c>
      <c r="W144" s="260" t="s">
        <v>864</v>
      </c>
      <c r="X144" s="232"/>
      <c r="Y144" s="513"/>
      <c r="Z144" s="504"/>
      <c r="AA144" s="245"/>
      <c r="AB144" s="504"/>
      <c r="AC144" s="506"/>
      <c r="AD144" s="506">
        <v>1</v>
      </c>
    </row>
    <row r="145" spans="1:30" s="224" customFormat="1" ht="13.5" customHeight="1">
      <c r="A145" s="225">
        <v>134</v>
      </c>
      <c r="B145" s="217"/>
      <c r="C145" s="217"/>
      <c r="D145" s="217"/>
      <c r="E145" s="241" t="s">
        <v>1462</v>
      </c>
      <c r="F145" s="241"/>
      <c r="G145" s="241"/>
      <c r="H145" s="504" t="s">
        <v>1463</v>
      </c>
      <c r="I145" s="514" t="s">
        <v>698</v>
      </c>
      <c r="J145" s="504"/>
      <c r="K145" s="503" t="s">
        <v>1464</v>
      </c>
      <c r="L145" s="504"/>
      <c r="M145" s="504"/>
      <c r="N145" s="504"/>
      <c r="O145" s="504"/>
      <c r="P145" s="505"/>
      <c r="Q145" s="504" t="s">
        <v>817</v>
      </c>
      <c r="R145" s="504"/>
      <c r="S145" s="504" t="s">
        <v>863</v>
      </c>
      <c r="T145" s="506" t="s">
        <v>864</v>
      </c>
      <c r="U145" s="506"/>
      <c r="V145" s="260" t="s">
        <v>864</v>
      </c>
      <c r="W145" s="260" t="s">
        <v>864</v>
      </c>
      <c r="X145" s="232"/>
      <c r="Y145" s="387" t="s">
        <v>1465</v>
      </c>
      <c r="Z145" s="504"/>
      <c r="AA145" s="245"/>
      <c r="AB145" s="504"/>
      <c r="AC145" s="506"/>
      <c r="AD145" s="506">
        <v>1</v>
      </c>
    </row>
    <row r="146" spans="1:30" s="224" customFormat="1" ht="13.5" customHeight="1">
      <c r="A146" s="225">
        <v>135</v>
      </c>
      <c r="B146" s="217"/>
      <c r="C146" s="217"/>
      <c r="D146" s="217"/>
      <c r="E146" s="241" t="s">
        <v>1466</v>
      </c>
      <c r="F146" s="241"/>
      <c r="G146" s="241"/>
      <c r="H146" s="504" t="s">
        <v>1467</v>
      </c>
      <c r="I146" s="514"/>
      <c r="J146" s="504"/>
      <c r="K146" s="503" t="s">
        <v>1468</v>
      </c>
      <c r="L146" s="504"/>
      <c r="M146" s="504"/>
      <c r="N146" s="504"/>
      <c r="O146" s="504"/>
      <c r="P146" s="505"/>
      <c r="Q146" s="504" t="s">
        <v>817</v>
      </c>
      <c r="R146" s="504"/>
      <c r="S146" s="504" t="s">
        <v>1073</v>
      </c>
      <c r="T146" s="506"/>
      <c r="U146" s="381"/>
      <c r="V146" s="260"/>
      <c r="W146" s="260" t="s">
        <v>864</v>
      </c>
      <c r="X146" s="232"/>
      <c r="Y146" s="380" t="s">
        <v>1469</v>
      </c>
      <c r="Z146" s="504" t="s">
        <v>1470</v>
      </c>
      <c r="AA146" s="245"/>
      <c r="AB146" s="504"/>
      <c r="AC146" s="506"/>
      <c r="AD146" s="506">
        <v>1</v>
      </c>
    </row>
    <row r="147" spans="1:30" s="224" customFormat="1" ht="13.5" customHeight="1">
      <c r="A147" s="225">
        <v>136</v>
      </c>
      <c r="B147" s="217"/>
      <c r="C147" s="217"/>
      <c r="D147" s="217" t="s">
        <v>1471</v>
      </c>
      <c r="E147" s="241" t="s">
        <v>1472</v>
      </c>
      <c r="F147" s="241"/>
      <c r="G147" s="241"/>
      <c r="H147" s="504" t="s">
        <v>1473</v>
      </c>
      <c r="I147" s="514"/>
      <c r="J147" s="504"/>
      <c r="K147" s="503" t="s">
        <v>1474</v>
      </c>
      <c r="L147" s="504"/>
      <c r="M147" s="504"/>
      <c r="N147" s="504"/>
      <c r="O147" s="504"/>
      <c r="P147" s="505"/>
      <c r="Q147" s="504" t="s">
        <v>817</v>
      </c>
      <c r="R147" s="504" t="s">
        <v>864</v>
      </c>
      <c r="S147" s="243" t="s">
        <v>1284</v>
      </c>
      <c r="T147" s="506"/>
      <c r="U147" s="506"/>
      <c r="V147" s="260" t="s">
        <v>864</v>
      </c>
      <c r="W147" s="260" t="s">
        <v>864</v>
      </c>
      <c r="X147" s="232"/>
      <c r="Y147" s="513"/>
      <c r="Z147" s="504"/>
      <c r="AA147" s="245"/>
      <c r="AB147" s="504"/>
      <c r="AC147" s="506"/>
      <c r="AD147" s="506">
        <v>1</v>
      </c>
    </row>
    <row r="148" spans="1:30" s="224" customFormat="1" ht="13.5" customHeight="1">
      <c r="A148" s="225">
        <v>137</v>
      </c>
      <c r="B148" s="217"/>
      <c r="C148" s="219" t="s">
        <v>986</v>
      </c>
      <c r="D148" s="241" t="s">
        <v>978</v>
      </c>
      <c r="E148" s="241"/>
      <c r="F148" s="241"/>
      <c r="G148" s="241"/>
      <c r="H148" s="504" t="s">
        <v>1475</v>
      </c>
      <c r="I148" s="503"/>
      <c r="J148" s="504"/>
      <c r="K148" s="504" t="s">
        <v>988</v>
      </c>
      <c r="L148" s="504"/>
      <c r="M148" s="504"/>
      <c r="N148" s="504"/>
      <c r="O148" s="504"/>
      <c r="P148" s="505"/>
      <c r="Q148" s="504" t="s">
        <v>817</v>
      </c>
      <c r="R148" s="504" t="s">
        <v>864</v>
      </c>
      <c r="S148" s="243" t="s">
        <v>967</v>
      </c>
      <c r="T148" s="506"/>
      <c r="U148" s="504"/>
      <c r="V148" s="507"/>
      <c r="W148" s="260" t="s">
        <v>864</v>
      </c>
      <c r="X148" s="232"/>
      <c r="Y148" s="387" t="s">
        <v>1476</v>
      </c>
      <c r="Z148" s="504" t="s">
        <v>968</v>
      </c>
      <c r="AA148" s="508"/>
      <c r="AB148" s="504"/>
      <c r="AC148" s="506"/>
      <c r="AD148" s="506">
        <v>1</v>
      </c>
    </row>
    <row r="149" spans="1:30" s="158" customFormat="1" ht="12.75" customHeight="1">
      <c r="A149" s="225">
        <v>138</v>
      </c>
      <c r="B149" s="217"/>
      <c r="C149" s="219" t="s">
        <v>1477</v>
      </c>
      <c r="D149" s="241"/>
      <c r="E149" s="241"/>
      <c r="F149" s="241"/>
      <c r="G149" s="241"/>
      <c r="H149" s="263"/>
      <c r="I149" s="264"/>
      <c r="J149" s="263"/>
      <c r="K149" s="503" t="s">
        <v>1101</v>
      </c>
      <c r="L149" s="504"/>
      <c r="M149" s="504"/>
      <c r="N149" s="504"/>
      <c r="O149" s="504"/>
      <c r="P149" s="505"/>
      <c r="Q149" s="504" t="s">
        <v>817</v>
      </c>
      <c r="R149" s="504" t="s">
        <v>864</v>
      </c>
      <c r="S149" s="379" t="s">
        <v>1478</v>
      </c>
      <c r="T149" s="268"/>
      <c r="U149" s="263"/>
      <c r="V149" s="265"/>
      <c r="W149" s="260" t="s">
        <v>864</v>
      </c>
      <c r="X149" s="232"/>
      <c r="Y149" s="380" t="s">
        <v>1479</v>
      </c>
      <c r="Z149" s="263"/>
      <c r="AA149" s="267" t="s">
        <v>1480</v>
      </c>
      <c r="AB149" s="263"/>
      <c r="AC149" s="506"/>
      <c r="AD149" s="506">
        <v>1</v>
      </c>
    </row>
    <row r="150" spans="1:30" s="224" customFormat="1" ht="13.5" customHeight="1">
      <c r="A150" s="225">
        <v>139</v>
      </c>
      <c r="B150" s="217"/>
      <c r="C150" s="219"/>
      <c r="D150" s="241" t="s">
        <v>1481</v>
      </c>
      <c r="E150" s="241"/>
      <c r="F150" s="241"/>
      <c r="G150" s="241"/>
      <c r="H150" s="504" t="s">
        <v>1482</v>
      </c>
      <c r="I150" s="503">
        <v>31</v>
      </c>
      <c r="J150" s="504"/>
      <c r="K150" s="503" t="s">
        <v>1483</v>
      </c>
      <c r="L150" s="504"/>
      <c r="M150" s="504"/>
      <c r="N150" s="504"/>
      <c r="O150" s="504"/>
      <c r="P150" s="505"/>
      <c r="Q150" s="504" t="s">
        <v>817</v>
      </c>
      <c r="R150" s="504"/>
      <c r="S150" s="504" t="s">
        <v>1362</v>
      </c>
      <c r="T150" s="506"/>
      <c r="U150" s="504"/>
      <c r="V150" s="507"/>
      <c r="W150" s="260" t="s">
        <v>864</v>
      </c>
      <c r="X150" s="232"/>
      <c r="Y150" s="513"/>
      <c r="Z150" s="504"/>
      <c r="AA150" s="508"/>
      <c r="AB150" s="504"/>
      <c r="AC150" s="506"/>
      <c r="AD150" s="506">
        <v>1</v>
      </c>
    </row>
    <row r="151" spans="1:30" s="224" customFormat="1" ht="13.5" customHeight="1">
      <c r="A151" s="225">
        <v>140</v>
      </c>
      <c r="B151" s="217"/>
      <c r="C151" s="219"/>
      <c r="D151" s="241" t="s">
        <v>1484</v>
      </c>
      <c r="E151" s="241"/>
      <c r="F151" s="241"/>
      <c r="G151" s="241"/>
      <c r="H151" s="504" t="s">
        <v>1485</v>
      </c>
      <c r="I151" s="503">
        <v>109</v>
      </c>
      <c r="J151" s="504"/>
      <c r="K151" s="503" t="s">
        <v>1163</v>
      </c>
      <c r="L151" s="504"/>
      <c r="M151" s="504"/>
      <c r="N151" s="504"/>
      <c r="O151" s="504"/>
      <c r="P151" s="505"/>
      <c r="Q151" s="504" t="s">
        <v>817</v>
      </c>
      <c r="R151" s="504"/>
      <c r="S151" s="504" t="s">
        <v>1362</v>
      </c>
      <c r="T151" s="506"/>
      <c r="U151" s="504"/>
      <c r="V151" s="507"/>
      <c r="W151" s="260" t="s">
        <v>864</v>
      </c>
      <c r="X151" s="232"/>
      <c r="Y151" s="513"/>
      <c r="Z151" s="504"/>
      <c r="AA151" s="508"/>
      <c r="AB151" s="504"/>
      <c r="AC151" s="506"/>
      <c r="AD151" s="506">
        <v>1</v>
      </c>
    </row>
    <row r="152" spans="1:30" s="224" customFormat="1" ht="12.75" customHeight="1">
      <c r="A152" s="225">
        <v>141</v>
      </c>
      <c r="B152" s="217"/>
      <c r="C152" s="219"/>
      <c r="D152" s="241" t="s">
        <v>1486</v>
      </c>
      <c r="E152" s="241"/>
      <c r="F152" s="241"/>
      <c r="G152" s="241"/>
      <c r="H152" s="504" t="s">
        <v>1487</v>
      </c>
      <c r="I152" s="503" t="s">
        <v>1488</v>
      </c>
      <c r="J152" s="504"/>
      <c r="K152" s="503" t="s">
        <v>1489</v>
      </c>
      <c r="L152" s="504"/>
      <c r="M152" s="504"/>
      <c r="N152" s="504"/>
      <c r="O152" s="504"/>
      <c r="P152" s="505"/>
      <c r="Q152" s="504" t="s">
        <v>817</v>
      </c>
      <c r="R152" s="504"/>
      <c r="S152" s="515" t="s">
        <v>863</v>
      </c>
      <c r="T152" s="282"/>
      <c r="U152" s="504" t="s">
        <v>1490</v>
      </c>
      <c r="V152" s="507"/>
      <c r="W152" s="260" t="s">
        <v>864</v>
      </c>
      <c r="X152" s="232"/>
      <c r="Y152" s="380"/>
      <c r="Z152" s="504"/>
      <c r="AA152" s="508"/>
      <c r="AB152" s="504"/>
      <c r="AC152" s="506"/>
      <c r="AD152" s="506">
        <v>1</v>
      </c>
    </row>
    <row r="153" spans="1:30" s="224" customFormat="1" ht="13.5" customHeight="1">
      <c r="A153" s="225">
        <v>142</v>
      </c>
      <c r="B153" s="217"/>
      <c r="C153" s="239"/>
      <c r="D153" s="241" t="s">
        <v>1491</v>
      </c>
      <c r="E153" s="241"/>
      <c r="F153" s="241"/>
      <c r="G153" s="241"/>
      <c r="H153" s="504"/>
      <c r="I153" s="503" t="s">
        <v>1492</v>
      </c>
      <c r="J153" s="504"/>
      <c r="K153" s="503" t="s">
        <v>1493</v>
      </c>
      <c r="L153" s="504"/>
      <c r="M153" s="504"/>
      <c r="N153" s="504"/>
      <c r="O153" s="504"/>
      <c r="P153" s="505"/>
      <c r="Q153" s="504" t="s">
        <v>817</v>
      </c>
      <c r="R153" s="504"/>
      <c r="S153" s="504" t="s">
        <v>863</v>
      </c>
      <c r="T153" s="506" t="s">
        <v>864</v>
      </c>
      <c r="U153" s="255"/>
      <c r="V153" s="507"/>
      <c r="W153" s="260" t="s">
        <v>864</v>
      </c>
      <c r="X153" s="232"/>
      <c r="Y153" s="387" t="s">
        <v>1494</v>
      </c>
      <c r="Z153" s="504"/>
      <c r="AA153" s="508"/>
      <c r="AB153" s="504"/>
      <c r="AC153" s="506"/>
      <c r="AD153" s="506">
        <v>1</v>
      </c>
    </row>
    <row r="154" spans="1:30" s="224" customFormat="1" ht="13.5" customHeight="1">
      <c r="A154" s="225">
        <v>143</v>
      </c>
      <c r="B154" s="217"/>
      <c r="C154" s="219" t="s">
        <v>1495</v>
      </c>
      <c r="D154" s="241"/>
      <c r="E154" s="241"/>
      <c r="F154" s="241"/>
      <c r="G154" s="241"/>
      <c r="H154" s="504"/>
      <c r="I154" s="503"/>
      <c r="J154" s="504"/>
      <c r="K154" s="503" t="s">
        <v>1496</v>
      </c>
      <c r="L154" s="504"/>
      <c r="M154" s="504"/>
      <c r="N154" s="504"/>
      <c r="O154" s="504"/>
      <c r="P154" s="505"/>
      <c r="Q154" s="504" t="s">
        <v>817</v>
      </c>
      <c r="R154" s="504" t="s">
        <v>864</v>
      </c>
      <c r="S154" s="379" t="s">
        <v>1496</v>
      </c>
      <c r="T154" s="506"/>
      <c r="U154" s="504"/>
      <c r="V154" s="507"/>
      <c r="W154" s="260" t="s">
        <v>864</v>
      </c>
      <c r="X154" s="232"/>
      <c r="Y154" s="513"/>
      <c r="Z154" s="504"/>
      <c r="AA154" s="508"/>
      <c r="AB154" s="504"/>
      <c r="AC154" s="506"/>
      <c r="AD154" s="506">
        <v>1</v>
      </c>
    </row>
    <row r="155" spans="1:30" s="224" customFormat="1" ht="13.5" customHeight="1">
      <c r="A155" s="225">
        <v>144</v>
      </c>
      <c r="B155" s="217"/>
      <c r="C155" s="219"/>
      <c r="D155" s="241" t="s">
        <v>1497</v>
      </c>
      <c r="E155" s="241" t="s">
        <v>978</v>
      </c>
      <c r="F155" s="241"/>
      <c r="G155" s="241"/>
      <c r="H155" s="504" t="s">
        <v>1498</v>
      </c>
      <c r="I155" s="503"/>
      <c r="J155" s="504"/>
      <c r="K155" s="503" t="s">
        <v>1499</v>
      </c>
      <c r="L155" s="504"/>
      <c r="M155" s="504"/>
      <c r="N155" s="504"/>
      <c r="O155" s="504"/>
      <c r="P155" s="505"/>
      <c r="Q155" s="504" t="s">
        <v>817</v>
      </c>
      <c r="R155" s="504" t="s">
        <v>864</v>
      </c>
      <c r="S155" s="379" t="s">
        <v>967</v>
      </c>
      <c r="T155" s="506" t="s">
        <v>864</v>
      </c>
      <c r="U155" s="504"/>
      <c r="V155" s="507"/>
      <c r="W155" s="260" t="s">
        <v>864</v>
      </c>
      <c r="X155" s="232"/>
      <c r="Y155" s="513" t="s">
        <v>1500</v>
      </c>
      <c r="Z155" s="504"/>
      <c r="AA155" s="508"/>
      <c r="AB155" s="504"/>
      <c r="AC155" s="506"/>
      <c r="AD155" s="506">
        <v>1</v>
      </c>
    </row>
    <row r="156" spans="1:30" s="224" customFormat="1" ht="14.25" customHeight="1">
      <c r="A156" s="225">
        <v>145</v>
      </c>
      <c r="B156" s="217"/>
      <c r="C156" s="219"/>
      <c r="D156" s="241" t="s">
        <v>1501</v>
      </c>
      <c r="E156" s="241" t="s">
        <v>978</v>
      </c>
      <c r="F156" s="241"/>
      <c r="G156" s="241"/>
      <c r="H156" s="504" t="s">
        <v>1502</v>
      </c>
      <c r="I156" s="503"/>
      <c r="J156" s="504"/>
      <c r="K156" s="503" t="s">
        <v>1503</v>
      </c>
      <c r="L156" s="504"/>
      <c r="M156" s="504"/>
      <c r="N156" s="504"/>
      <c r="O156" s="504"/>
      <c r="P156" s="505"/>
      <c r="Q156" s="504" t="s">
        <v>823</v>
      </c>
      <c r="R156" s="504" t="s">
        <v>864</v>
      </c>
      <c r="S156" s="379" t="s">
        <v>967</v>
      </c>
      <c r="T156" s="268" t="s">
        <v>864</v>
      </c>
      <c r="U156" s="255"/>
      <c r="V156" s="507"/>
      <c r="W156" s="260" t="s">
        <v>864</v>
      </c>
      <c r="X156" s="232"/>
      <c r="Y156" s="513" t="s">
        <v>1500</v>
      </c>
      <c r="Z156" s="504"/>
      <c r="AA156" s="508"/>
      <c r="AB156" s="504"/>
      <c r="AC156" s="506"/>
      <c r="AD156" s="506">
        <v>1</v>
      </c>
    </row>
    <row r="157" spans="1:30" s="224" customFormat="1" ht="13.5" customHeight="1">
      <c r="A157" s="225">
        <v>146</v>
      </c>
      <c r="B157" s="217"/>
      <c r="C157" s="219" t="s">
        <v>1504</v>
      </c>
      <c r="D157" s="241" t="s">
        <v>978</v>
      </c>
      <c r="E157" s="241"/>
      <c r="F157" s="241"/>
      <c r="G157" s="241"/>
      <c r="H157" s="504" t="s">
        <v>1505</v>
      </c>
      <c r="I157" s="503"/>
      <c r="J157" s="504"/>
      <c r="K157" s="503" t="s">
        <v>1506</v>
      </c>
      <c r="L157" s="504"/>
      <c r="M157" s="504"/>
      <c r="N157" s="504"/>
      <c r="O157" s="504"/>
      <c r="P157" s="505"/>
      <c r="Q157" s="504" t="s">
        <v>817</v>
      </c>
      <c r="R157" s="504" t="s">
        <v>864</v>
      </c>
      <c r="S157" s="379" t="s">
        <v>967</v>
      </c>
      <c r="T157" s="268" t="s">
        <v>864</v>
      </c>
      <c r="U157" s="504"/>
      <c r="V157" s="507"/>
      <c r="W157" s="507" t="s">
        <v>864</v>
      </c>
      <c r="X157" s="232"/>
      <c r="Y157" s="513" t="s">
        <v>1500</v>
      </c>
      <c r="Z157" s="504"/>
      <c r="AA157" s="508"/>
      <c r="AB157" s="504"/>
      <c r="AC157" s="506"/>
      <c r="AD157" s="506">
        <v>1</v>
      </c>
    </row>
    <row r="158" spans="1:30" s="224" customFormat="1" ht="13.5" customHeight="1">
      <c r="A158" s="225">
        <v>147</v>
      </c>
      <c r="B158" s="219" t="s">
        <v>1507</v>
      </c>
      <c r="C158" s="241"/>
      <c r="D158" s="241"/>
      <c r="E158" s="241"/>
      <c r="F158" s="241"/>
      <c r="G158" s="241"/>
      <c r="H158" s="504" t="s">
        <v>1508</v>
      </c>
      <c r="I158" s="503"/>
      <c r="J158" s="504"/>
      <c r="K158" s="503" t="s">
        <v>1509</v>
      </c>
      <c r="L158" s="504"/>
      <c r="M158" s="504"/>
      <c r="N158" s="504"/>
      <c r="O158" s="504"/>
      <c r="P158" s="505"/>
      <c r="Q158" s="519" t="s">
        <v>823</v>
      </c>
      <c r="R158" s="504" t="s">
        <v>864</v>
      </c>
      <c r="S158" s="379" t="s">
        <v>1509</v>
      </c>
      <c r="T158" s="506"/>
      <c r="U158" s="504"/>
      <c r="V158" s="507"/>
      <c r="W158" s="260" t="s">
        <v>864</v>
      </c>
      <c r="X158" s="232"/>
      <c r="Y158" s="513" t="s">
        <v>1510</v>
      </c>
      <c r="Z158" s="504"/>
      <c r="AA158" s="508"/>
      <c r="AB158" s="504"/>
      <c r="AC158" s="506"/>
      <c r="AD158" s="506">
        <v>1</v>
      </c>
    </row>
    <row r="159" spans="1:30" s="224" customFormat="1" ht="13.5" customHeight="1">
      <c r="A159" s="225">
        <v>155</v>
      </c>
      <c r="B159" s="217"/>
      <c r="C159" s="217" t="s">
        <v>1387</v>
      </c>
      <c r="D159" s="241"/>
      <c r="E159" s="241"/>
      <c r="F159" s="241"/>
      <c r="G159" s="241"/>
      <c r="H159" s="504" t="s">
        <v>1511</v>
      </c>
      <c r="I159" s="503"/>
      <c r="J159" s="504"/>
      <c r="K159" s="503" t="s">
        <v>1199</v>
      </c>
      <c r="L159" s="504"/>
      <c r="M159" s="504"/>
      <c r="N159" s="504"/>
      <c r="O159" s="504"/>
      <c r="P159" s="505"/>
      <c r="Q159" s="504" t="s">
        <v>817</v>
      </c>
      <c r="R159" s="504"/>
      <c r="S159" s="504" t="s">
        <v>863</v>
      </c>
      <c r="T159" s="506"/>
      <c r="U159" s="504"/>
      <c r="V159" s="507"/>
      <c r="W159" s="260" t="s">
        <v>864</v>
      </c>
      <c r="X159" s="232"/>
      <c r="Y159" s="513"/>
      <c r="Z159" s="263"/>
      <c r="AA159" s="508"/>
      <c r="AB159" s="504"/>
      <c r="AC159" s="506"/>
      <c r="AD159" s="506">
        <v>1</v>
      </c>
    </row>
    <row r="160" spans="1:30" s="224" customFormat="1" ht="13.5" customHeight="1">
      <c r="A160" s="225">
        <v>148</v>
      </c>
      <c r="B160" s="219"/>
      <c r="C160" s="241" t="s">
        <v>1512</v>
      </c>
      <c r="D160" s="241" t="s">
        <v>1513</v>
      </c>
      <c r="E160" s="241"/>
      <c r="F160" s="241"/>
      <c r="G160" s="241"/>
      <c r="H160" s="504" t="s">
        <v>1514</v>
      </c>
      <c r="I160" s="503"/>
      <c r="J160" s="504"/>
      <c r="K160" s="503" t="s">
        <v>1377</v>
      </c>
      <c r="L160" s="504"/>
      <c r="M160" s="504"/>
      <c r="N160" s="504"/>
      <c r="O160" s="504"/>
      <c r="P160" s="505"/>
      <c r="Q160" s="504" t="s">
        <v>817</v>
      </c>
      <c r="R160" s="504" t="s">
        <v>864</v>
      </c>
      <c r="S160" s="379" t="s">
        <v>1377</v>
      </c>
      <c r="T160" s="506"/>
      <c r="U160" s="504"/>
      <c r="V160" s="507"/>
      <c r="W160" s="260" t="s">
        <v>864</v>
      </c>
      <c r="X160" s="232"/>
      <c r="Y160" s="513"/>
      <c r="Z160" s="504"/>
      <c r="AA160" s="508"/>
      <c r="AB160" s="504"/>
      <c r="AC160" s="506"/>
      <c r="AD160" s="506">
        <v>1</v>
      </c>
    </row>
    <row r="161" spans="1:30" s="224" customFormat="1" ht="13.5" customHeight="1">
      <c r="A161" s="225">
        <v>149</v>
      </c>
      <c r="B161" s="219"/>
      <c r="C161" s="239" t="s">
        <v>1515</v>
      </c>
      <c r="D161" s="241"/>
      <c r="E161" s="241"/>
      <c r="F161" s="241"/>
      <c r="G161" s="241"/>
      <c r="H161" s="504" t="s">
        <v>1516</v>
      </c>
      <c r="I161" s="503" t="s">
        <v>930</v>
      </c>
      <c r="J161" s="504"/>
      <c r="K161" s="503" t="s">
        <v>931</v>
      </c>
      <c r="L161" s="504"/>
      <c r="M161" s="504"/>
      <c r="N161" s="504"/>
      <c r="O161" s="504"/>
      <c r="P161" s="505"/>
      <c r="Q161" s="504" t="s">
        <v>820</v>
      </c>
      <c r="R161" s="504"/>
      <c r="S161" s="504" t="s">
        <v>879</v>
      </c>
      <c r="T161" s="506"/>
      <c r="U161" s="504" t="s">
        <v>932</v>
      </c>
      <c r="V161" s="507"/>
      <c r="W161" s="507" t="s">
        <v>864</v>
      </c>
      <c r="X161" s="232"/>
      <c r="Y161" s="513"/>
      <c r="Z161" s="504"/>
      <c r="AA161" s="508"/>
      <c r="AB161" s="504"/>
      <c r="AC161" s="506"/>
      <c r="AD161" s="506">
        <v>1</v>
      </c>
    </row>
    <row r="162" spans="1:30" s="224" customFormat="1" ht="13.5" customHeight="1">
      <c r="A162" s="225">
        <v>150</v>
      </c>
      <c r="B162" s="219"/>
      <c r="C162" s="241" t="s">
        <v>1517</v>
      </c>
      <c r="D162" s="241"/>
      <c r="E162" s="241"/>
      <c r="F162" s="241"/>
      <c r="G162" s="241"/>
      <c r="H162" s="504" t="s">
        <v>1518</v>
      </c>
      <c r="I162" s="503"/>
      <c r="J162" s="504"/>
      <c r="K162" s="503" t="s">
        <v>939</v>
      </c>
      <c r="L162" s="504"/>
      <c r="M162" s="504"/>
      <c r="N162" s="504"/>
      <c r="O162" s="504"/>
      <c r="P162" s="505"/>
      <c r="Q162" s="504" t="s">
        <v>820</v>
      </c>
      <c r="R162" s="504"/>
      <c r="S162" s="504" t="s">
        <v>863</v>
      </c>
      <c r="T162" s="506"/>
      <c r="U162" s="504"/>
      <c r="V162" s="507"/>
      <c r="W162" s="260" t="s">
        <v>864</v>
      </c>
      <c r="X162" s="232"/>
      <c r="Y162" s="513"/>
      <c r="Z162" s="504"/>
      <c r="AA162" s="508"/>
      <c r="AB162" s="504"/>
      <c r="AC162" s="506"/>
      <c r="AD162" s="506">
        <v>1</v>
      </c>
    </row>
    <row r="163" spans="1:30" s="224" customFormat="1" ht="13.5" customHeight="1">
      <c r="A163" s="225">
        <v>151</v>
      </c>
      <c r="B163" s="219"/>
      <c r="C163" s="241" t="s">
        <v>1519</v>
      </c>
      <c r="D163" s="241"/>
      <c r="E163" s="241"/>
      <c r="F163" s="241"/>
      <c r="G163" s="241"/>
      <c r="H163" s="504" t="s">
        <v>1520</v>
      </c>
      <c r="I163" s="503"/>
      <c r="J163" s="504"/>
      <c r="K163" s="503" t="s">
        <v>1521</v>
      </c>
      <c r="L163" s="504"/>
      <c r="M163" s="504"/>
      <c r="N163" s="504"/>
      <c r="O163" s="504"/>
      <c r="P163" s="505"/>
      <c r="Q163" s="504" t="s">
        <v>817</v>
      </c>
      <c r="R163" s="504"/>
      <c r="S163" s="504" t="s">
        <v>863</v>
      </c>
      <c r="T163" s="506"/>
      <c r="U163" s="504"/>
      <c r="V163" s="507"/>
      <c r="W163" s="260" t="s">
        <v>864</v>
      </c>
      <c r="X163" s="232"/>
      <c r="Y163" s="513"/>
      <c r="Z163" s="504"/>
      <c r="AA163" s="508"/>
      <c r="AB163" s="504"/>
      <c r="AC163" s="506"/>
      <c r="AD163" s="506">
        <v>1</v>
      </c>
    </row>
    <row r="164" spans="1:30" s="224" customFormat="1" ht="13.5" customHeight="1">
      <c r="A164" s="225">
        <v>152</v>
      </c>
      <c r="B164" s="219"/>
      <c r="C164" s="241" t="s">
        <v>1522</v>
      </c>
      <c r="D164" s="241"/>
      <c r="E164" s="241"/>
      <c r="F164" s="241"/>
      <c r="G164" s="241"/>
      <c r="H164" s="504" t="s">
        <v>1523</v>
      </c>
      <c r="I164" s="503"/>
      <c r="J164" s="504"/>
      <c r="K164" s="503" t="s">
        <v>1524</v>
      </c>
      <c r="L164" s="504"/>
      <c r="M164" s="504"/>
      <c r="N164" s="504"/>
      <c r="O164" s="504"/>
      <c r="P164" s="505"/>
      <c r="Q164" s="504" t="s">
        <v>817</v>
      </c>
      <c r="R164" s="504"/>
      <c r="S164" s="504" t="s">
        <v>863</v>
      </c>
      <c r="T164" s="506"/>
      <c r="U164" s="504"/>
      <c r="V164" s="507"/>
      <c r="W164" s="260" t="s">
        <v>864</v>
      </c>
      <c r="X164" s="232"/>
      <c r="Y164" s="513"/>
      <c r="Z164" s="504"/>
      <c r="AA164" s="508"/>
      <c r="AB164" s="504"/>
      <c r="AC164" s="506"/>
      <c r="AD164" s="506">
        <v>1</v>
      </c>
    </row>
    <row r="165" spans="1:30" s="224" customFormat="1" ht="13.5" customHeight="1">
      <c r="A165" s="225">
        <v>153</v>
      </c>
      <c r="B165" s="219"/>
      <c r="C165" s="241" t="s">
        <v>1525</v>
      </c>
      <c r="D165" s="241"/>
      <c r="E165" s="241"/>
      <c r="F165" s="241"/>
      <c r="G165" s="241"/>
      <c r="H165" s="504" t="s">
        <v>1526</v>
      </c>
      <c r="I165" s="503"/>
      <c r="J165" s="504"/>
      <c r="K165" s="503" t="s">
        <v>1527</v>
      </c>
      <c r="L165" s="504"/>
      <c r="M165" s="504"/>
      <c r="N165" s="504"/>
      <c r="O165" s="504"/>
      <c r="P165" s="505"/>
      <c r="Q165" s="504" t="s">
        <v>817</v>
      </c>
      <c r="R165" s="504"/>
      <c r="S165" s="504" t="s">
        <v>863</v>
      </c>
      <c r="T165" s="506"/>
      <c r="U165" s="504"/>
      <c r="V165" s="507"/>
      <c r="W165" s="260" t="s">
        <v>864</v>
      </c>
      <c r="X165" s="232"/>
      <c r="Y165" s="513"/>
      <c r="Z165" s="504"/>
      <c r="AA165" s="508"/>
      <c r="AB165" s="504"/>
      <c r="AC165" s="506"/>
      <c r="AD165" s="506">
        <v>1</v>
      </c>
    </row>
    <row r="166" spans="1:30" s="224" customFormat="1" ht="13.5" customHeight="1">
      <c r="A166" s="225">
        <v>154</v>
      </c>
      <c r="B166" s="217" t="s">
        <v>1528</v>
      </c>
      <c r="C166" s="219"/>
      <c r="D166" s="241"/>
      <c r="E166" s="241"/>
      <c r="F166" s="241"/>
      <c r="G166" s="241"/>
      <c r="H166" s="269" t="s">
        <v>1529</v>
      </c>
      <c r="I166" s="503"/>
      <c r="J166" s="504"/>
      <c r="K166" s="503" t="s">
        <v>1530</v>
      </c>
      <c r="L166" s="504"/>
      <c r="M166" s="504"/>
      <c r="N166" s="504"/>
      <c r="O166" s="504"/>
      <c r="P166" s="505"/>
      <c r="Q166" s="504" t="s">
        <v>823</v>
      </c>
      <c r="R166" s="504" t="s">
        <v>864</v>
      </c>
      <c r="S166" s="243" t="s">
        <v>1530</v>
      </c>
      <c r="T166" s="506"/>
      <c r="U166" s="504"/>
      <c r="V166" s="507" t="s">
        <v>864</v>
      </c>
      <c r="W166" s="260" t="s">
        <v>864</v>
      </c>
      <c r="X166" s="232"/>
      <c r="Y166" s="266" t="s">
        <v>1531</v>
      </c>
      <c r="Z166" s="263" t="s">
        <v>1532</v>
      </c>
      <c r="AA166" s="508"/>
      <c r="AB166" s="504"/>
      <c r="AC166" s="506"/>
      <c r="AD166" s="506">
        <v>1</v>
      </c>
    </row>
    <row r="167" spans="1:30" s="224" customFormat="1" ht="13.5" customHeight="1">
      <c r="A167" s="225">
        <v>155</v>
      </c>
      <c r="B167" s="217"/>
      <c r="C167" s="217" t="s">
        <v>1387</v>
      </c>
      <c r="D167" s="241"/>
      <c r="E167" s="241"/>
      <c r="F167" s="241"/>
      <c r="G167" s="241"/>
      <c r="H167" s="504" t="s">
        <v>1511</v>
      </c>
      <c r="I167" s="503"/>
      <c r="J167" s="504"/>
      <c r="K167" s="503" t="s">
        <v>1199</v>
      </c>
      <c r="L167" s="504"/>
      <c r="M167" s="504"/>
      <c r="N167" s="504"/>
      <c r="O167" s="504"/>
      <c r="P167" s="505"/>
      <c r="Q167" s="504" t="s">
        <v>817</v>
      </c>
      <c r="R167" s="504"/>
      <c r="S167" s="504" t="s">
        <v>863</v>
      </c>
      <c r="T167" s="506"/>
      <c r="U167" s="504"/>
      <c r="V167" s="507" t="s">
        <v>864</v>
      </c>
      <c r="W167" s="260" t="s">
        <v>864</v>
      </c>
      <c r="X167" s="232"/>
      <c r="Y167" s="513"/>
      <c r="Z167" s="263"/>
      <c r="AA167" s="508"/>
      <c r="AB167" s="504"/>
      <c r="AC167" s="506"/>
      <c r="AD167" s="506">
        <v>1</v>
      </c>
    </row>
    <row r="168" spans="1:30" s="158" customFormat="1" ht="12.75" customHeight="1">
      <c r="A168" s="225">
        <v>157</v>
      </c>
      <c r="B168" s="217"/>
      <c r="C168" s="241" t="s">
        <v>1533</v>
      </c>
      <c r="D168" s="241"/>
      <c r="E168" s="241"/>
      <c r="F168" s="241"/>
      <c r="G168" s="241"/>
      <c r="H168" s="504" t="s">
        <v>1534</v>
      </c>
      <c r="I168" s="503" t="s">
        <v>930</v>
      </c>
      <c r="J168" s="504"/>
      <c r="K168" s="503" t="s">
        <v>931</v>
      </c>
      <c r="L168" s="504"/>
      <c r="M168" s="504"/>
      <c r="N168" s="504"/>
      <c r="O168" s="504"/>
      <c r="P168" s="505"/>
      <c r="Q168" s="504" t="s">
        <v>820</v>
      </c>
      <c r="R168" s="504"/>
      <c r="S168" s="504" t="s">
        <v>879</v>
      </c>
      <c r="T168" s="506"/>
      <c r="U168" s="504"/>
      <c r="V168" s="507" t="s">
        <v>864</v>
      </c>
      <c r="W168" s="507" t="s">
        <v>864</v>
      </c>
      <c r="X168" s="232"/>
      <c r="Y168" s="513"/>
      <c r="Z168" s="263"/>
      <c r="AA168" s="508"/>
      <c r="AB168" s="504"/>
      <c r="AC168" s="506"/>
      <c r="AD168" s="506">
        <v>1</v>
      </c>
    </row>
    <row r="169" spans="1:30" s="158" customFormat="1" ht="12.75" customHeight="1">
      <c r="A169" s="225">
        <v>158</v>
      </c>
      <c r="B169" s="217"/>
      <c r="C169" s="241" t="s">
        <v>1535</v>
      </c>
      <c r="D169" s="241"/>
      <c r="E169" s="241"/>
      <c r="F169" s="241"/>
      <c r="G169" s="241"/>
      <c r="H169" s="520" t="s">
        <v>1536</v>
      </c>
      <c r="I169" s="503" t="s">
        <v>1537</v>
      </c>
      <c r="J169" s="504"/>
      <c r="K169" s="503" t="s">
        <v>999</v>
      </c>
      <c r="L169" s="504"/>
      <c r="M169" s="504"/>
      <c r="N169" s="504"/>
      <c r="O169" s="504"/>
      <c r="P169" s="505"/>
      <c r="Q169" s="519" t="s">
        <v>817</v>
      </c>
      <c r="R169" s="504"/>
      <c r="S169" s="504" t="s">
        <v>863</v>
      </c>
      <c r="T169" s="374" t="s">
        <v>864</v>
      </c>
      <c r="U169" s="374"/>
      <c r="V169" s="507" t="s">
        <v>864</v>
      </c>
      <c r="W169" s="260" t="s">
        <v>864</v>
      </c>
      <c r="X169" s="232"/>
      <c r="Y169" s="387" t="s">
        <v>1538</v>
      </c>
      <c r="Z169" s="390" t="s">
        <v>1539</v>
      </c>
      <c r="AA169" s="508" t="s">
        <v>1540</v>
      </c>
      <c r="AB169" s="504"/>
      <c r="AC169" s="506"/>
      <c r="AD169" s="506">
        <v>1</v>
      </c>
    </row>
    <row r="170" spans="1:30" s="158" customFormat="1" ht="12.75" customHeight="1">
      <c r="A170" s="225">
        <v>159</v>
      </c>
      <c r="B170" s="217"/>
      <c r="C170" s="241" t="s">
        <v>1541</v>
      </c>
      <c r="D170" s="241"/>
      <c r="E170" s="241"/>
      <c r="F170" s="241"/>
      <c r="G170" s="241"/>
      <c r="H170" s="266" t="s">
        <v>1542</v>
      </c>
      <c r="I170" s="264" t="s">
        <v>1543</v>
      </c>
      <c r="J170" s="263"/>
      <c r="K170" s="503" t="s">
        <v>1544</v>
      </c>
      <c r="L170" s="504"/>
      <c r="M170" s="504"/>
      <c r="N170" s="504"/>
      <c r="O170" s="504"/>
      <c r="P170" s="505"/>
      <c r="Q170" s="504" t="s">
        <v>817</v>
      </c>
      <c r="R170" s="504"/>
      <c r="S170" s="504" t="s">
        <v>863</v>
      </c>
      <c r="T170" s="374" t="s">
        <v>864</v>
      </c>
      <c r="U170" s="374"/>
      <c r="V170" s="265" t="s">
        <v>864</v>
      </c>
      <c r="W170" s="260" t="s">
        <v>864</v>
      </c>
      <c r="X170" s="232"/>
      <c r="Y170" s="388" t="s">
        <v>1545</v>
      </c>
      <c r="Z170" s="390" t="s">
        <v>1539</v>
      </c>
      <c r="AA170" s="267" t="s">
        <v>1546</v>
      </c>
      <c r="AB170" s="263"/>
      <c r="AC170" s="506"/>
      <c r="AD170" s="506">
        <v>1</v>
      </c>
    </row>
    <row r="171" spans="1:30" s="588" customFormat="1" ht="12.75" customHeight="1">
      <c r="A171" s="571">
        <v>160</v>
      </c>
      <c r="B171" s="572"/>
      <c r="C171" s="573" t="s">
        <v>2258</v>
      </c>
      <c r="D171" s="573"/>
      <c r="E171" s="573"/>
      <c r="F171" s="573"/>
      <c r="G171" s="573"/>
      <c r="H171" s="574" t="s">
        <v>1547</v>
      </c>
      <c r="I171" s="575" t="s">
        <v>1548</v>
      </c>
      <c r="J171" s="576"/>
      <c r="K171" s="577" t="s">
        <v>1549</v>
      </c>
      <c r="L171" s="386"/>
      <c r="M171" s="386"/>
      <c r="N171" s="386"/>
      <c r="O171" s="386"/>
      <c r="P171" s="578"/>
      <c r="Q171" s="579" t="s">
        <v>823</v>
      </c>
      <c r="R171" s="386"/>
      <c r="S171" s="386" t="s">
        <v>863</v>
      </c>
      <c r="T171" s="580"/>
      <c r="U171" s="580"/>
      <c r="V171" s="581" t="s">
        <v>864</v>
      </c>
      <c r="W171" s="582" t="s">
        <v>864</v>
      </c>
      <c r="X171" s="583"/>
      <c r="Y171" s="584" t="s">
        <v>1550</v>
      </c>
      <c r="Z171" s="585" t="s">
        <v>1551</v>
      </c>
      <c r="AA171" s="586"/>
      <c r="AB171" s="576"/>
      <c r="AC171" s="587"/>
      <c r="AD171" s="587">
        <v>1</v>
      </c>
    </row>
    <row r="172" spans="1:30" s="249" customFormat="1" ht="12.75" customHeight="1">
      <c r="A172" s="255"/>
      <c r="B172" s="218"/>
      <c r="C172" s="218" t="s">
        <v>2256</v>
      </c>
      <c r="D172" s="218"/>
      <c r="E172" s="218"/>
      <c r="F172" s="218"/>
      <c r="G172" s="218"/>
      <c r="H172" s="509" t="s">
        <v>2257</v>
      </c>
      <c r="I172" s="501"/>
      <c r="J172" s="255"/>
      <c r="K172" s="501" t="s">
        <v>1552</v>
      </c>
      <c r="L172" s="255"/>
      <c r="M172" s="255"/>
      <c r="N172" s="255"/>
      <c r="O172" s="255"/>
      <c r="P172" s="377"/>
      <c r="Q172" s="255" t="s">
        <v>817</v>
      </c>
      <c r="R172" s="255"/>
      <c r="S172" s="255" t="s">
        <v>863</v>
      </c>
      <c r="T172" s="374"/>
      <c r="U172" s="255"/>
      <c r="V172" s="375" t="s">
        <v>864</v>
      </c>
      <c r="W172" s="375" t="s">
        <v>864</v>
      </c>
      <c r="X172" s="510"/>
      <c r="Y172" s="511" t="s">
        <v>1553</v>
      </c>
      <c r="Z172" s="255"/>
      <c r="AA172" s="245"/>
      <c r="AB172" s="255"/>
      <c r="AC172" s="374"/>
      <c r="AD172" s="374"/>
    </row>
    <row r="173" spans="1:30" s="158" customFormat="1" ht="12.75" customHeight="1">
      <c r="A173" s="225">
        <v>161.46666666666701</v>
      </c>
      <c r="B173" s="217"/>
      <c r="C173" s="241" t="s">
        <v>1554</v>
      </c>
      <c r="D173" s="241"/>
      <c r="E173" s="241"/>
      <c r="F173" s="241"/>
      <c r="G173" s="241"/>
      <c r="H173" s="269" t="s">
        <v>1555</v>
      </c>
      <c r="I173" s="264" t="s">
        <v>1556</v>
      </c>
      <c r="J173" s="263"/>
      <c r="K173" s="503" t="s">
        <v>1557</v>
      </c>
      <c r="L173" s="504"/>
      <c r="M173" s="504"/>
      <c r="N173" s="504"/>
      <c r="O173" s="504"/>
      <c r="P173" s="505"/>
      <c r="Q173" s="504" t="s">
        <v>817</v>
      </c>
      <c r="R173" s="504"/>
      <c r="S173" s="504" t="s">
        <v>863</v>
      </c>
      <c r="T173" s="268"/>
      <c r="U173" s="377"/>
      <c r="V173" s="265" t="s">
        <v>864</v>
      </c>
      <c r="W173" s="260" t="s">
        <v>864</v>
      </c>
      <c r="X173" s="232"/>
      <c r="Y173" s="389" t="s">
        <v>1558</v>
      </c>
      <c r="Z173" s="390" t="s">
        <v>1539</v>
      </c>
      <c r="AA173" s="267"/>
      <c r="AB173" s="263"/>
      <c r="AC173" s="506"/>
      <c r="AD173" s="506">
        <v>1</v>
      </c>
    </row>
    <row r="174" spans="1:30" s="158" customFormat="1" ht="12.75" customHeight="1">
      <c r="A174" s="225">
        <v>162.69523809523801</v>
      </c>
      <c r="B174" s="217"/>
      <c r="C174" s="241" t="s">
        <v>1559</v>
      </c>
      <c r="D174" s="241"/>
      <c r="E174" s="241"/>
      <c r="F174" s="241"/>
      <c r="G174" s="241"/>
      <c r="H174" s="269"/>
      <c r="I174" s="264"/>
      <c r="J174" s="263"/>
      <c r="K174" s="503" t="s">
        <v>1560</v>
      </c>
      <c r="L174" s="504"/>
      <c r="M174" s="504"/>
      <c r="N174" s="504"/>
      <c r="O174" s="504"/>
      <c r="P174" s="505"/>
      <c r="Q174" s="519" t="s">
        <v>817</v>
      </c>
      <c r="R174" s="504" t="s">
        <v>864</v>
      </c>
      <c r="S174" s="379" t="s">
        <v>1560</v>
      </c>
      <c r="T174" s="268"/>
      <c r="U174" s="263"/>
      <c r="V174" s="265" t="s">
        <v>864</v>
      </c>
      <c r="W174" s="260" t="s">
        <v>864</v>
      </c>
      <c r="X174" s="232"/>
      <c r="Y174" s="266" t="s">
        <v>1561</v>
      </c>
      <c r="Z174" s="263"/>
      <c r="AA174" s="261"/>
      <c r="AB174" s="263"/>
      <c r="AC174" s="506"/>
      <c r="AD174" s="506">
        <v>1</v>
      </c>
    </row>
    <row r="175" spans="1:30" s="158" customFormat="1" ht="12.75" customHeight="1">
      <c r="A175" s="225">
        <v>163.78952380952401</v>
      </c>
      <c r="B175" s="217"/>
      <c r="C175" s="241"/>
      <c r="D175" s="241" t="s">
        <v>1562</v>
      </c>
      <c r="E175" s="241"/>
      <c r="F175" s="241"/>
      <c r="G175" s="241"/>
      <c r="H175" s="269" t="s">
        <v>1563</v>
      </c>
      <c r="I175" s="264"/>
      <c r="J175" s="263"/>
      <c r="K175" s="503" t="s">
        <v>999</v>
      </c>
      <c r="L175" s="504"/>
      <c r="M175" s="504"/>
      <c r="N175" s="504"/>
      <c r="O175" s="504"/>
      <c r="P175" s="505"/>
      <c r="Q175" s="519" t="s">
        <v>817</v>
      </c>
      <c r="R175" s="504"/>
      <c r="S175" s="504" t="s">
        <v>863</v>
      </c>
      <c r="T175" s="268" t="s">
        <v>864</v>
      </c>
      <c r="U175" s="263" t="s">
        <v>1564</v>
      </c>
      <c r="V175" s="265" t="s">
        <v>864</v>
      </c>
      <c r="W175" s="260" t="s">
        <v>864</v>
      </c>
      <c r="X175" s="232"/>
      <c r="Y175" s="266"/>
      <c r="Z175" s="263"/>
      <c r="AA175" s="261"/>
      <c r="AB175" s="263"/>
      <c r="AC175" s="506"/>
      <c r="AD175" s="506">
        <v>1</v>
      </c>
    </row>
    <row r="176" spans="1:30" s="158" customFormat="1" ht="12.75" customHeight="1">
      <c r="A176" s="498">
        <v>164.97523809523801</v>
      </c>
      <c r="B176" s="499"/>
      <c r="C176" s="500"/>
      <c r="D176" s="500" t="s">
        <v>1565</v>
      </c>
      <c r="E176" s="217" t="s">
        <v>1566</v>
      </c>
      <c r="F176" s="217"/>
      <c r="G176" s="217"/>
      <c r="H176" s="520"/>
      <c r="I176" s="503"/>
      <c r="J176" s="504"/>
      <c r="K176" s="503" t="s">
        <v>1567</v>
      </c>
      <c r="L176" s="504"/>
      <c r="M176" s="504"/>
      <c r="N176" s="504"/>
      <c r="O176" s="504"/>
      <c r="P176" s="505"/>
      <c r="Q176" s="519" t="s">
        <v>817</v>
      </c>
      <c r="R176" s="504" t="s">
        <v>864</v>
      </c>
      <c r="S176" s="243" t="s">
        <v>1035</v>
      </c>
      <c r="T176" s="506"/>
      <c r="U176" s="504"/>
      <c r="V176" s="507" t="s">
        <v>864</v>
      </c>
      <c r="W176" s="507" t="s">
        <v>864</v>
      </c>
      <c r="X176" s="232"/>
      <c r="Y176" s="513"/>
      <c r="Z176" s="504"/>
      <c r="AA176" s="508"/>
      <c r="AB176" s="504"/>
      <c r="AC176" s="506"/>
      <c r="AD176" s="506">
        <v>1</v>
      </c>
    </row>
    <row r="177" spans="1:1017" s="224" customFormat="1" ht="14.25" customHeight="1">
      <c r="A177" s="225">
        <v>172.089523809524</v>
      </c>
      <c r="B177" s="217" t="s">
        <v>1568</v>
      </c>
      <c r="C177" s="217" t="s">
        <v>1569</v>
      </c>
      <c r="D177" s="270"/>
      <c r="E177" s="217"/>
      <c r="F177" s="217"/>
      <c r="G177" s="217"/>
      <c r="H177" s="504" t="s">
        <v>1570</v>
      </c>
      <c r="I177" s="503"/>
      <c r="J177" s="504" t="s">
        <v>1571</v>
      </c>
      <c r="K177" s="503" t="s">
        <v>1572</v>
      </c>
      <c r="L177" s="504"/>
      <c r="M177" s="504"/>
      <c r="N177" s="504"/>
      <c r="O177" s="504"/>
      <c r="P177" s="505">
        <v>1</v>
      </c>
      <c r="Q177" s="504" t="s">
        <v>823</v>
      </c>
      <c r="R177" s="504" t="s">
        <v>864</v>
      </c>
      <c r="S177" s="243" t="s">
        <v>1215</v>
      </c>
      <c r="T177" s="281"/>
      <c r="U177" s="504"/>
      <c r="V177" s="507" t="s">
        <v>864</v>
      </c>
      <c r="W177" s="507" t="s">
        <v>864</v>
      </c>
      <c r="X177" s="232"/>
      <c r="Y177" s="513"/>
      <c r="Z177" s="504"/>
      <c r="AA177" s="508"/>
      <c r="AB177" s="504"/>
      <c r="AC177" s="506"/>
      <c r="AD177" s="506">
        <v>1</v>
      </c>
    </row>
    <row r="178" spans="1:1017" s="249" customFormat="1" ht="12.95" customHeight="1">
      <c r="A178" s="225">
        <v>173.275238095238</v>
      </c>
      <c r="B178" s="217" t="s">
        <v>1573</v>
      </c>
      <c r="C178" s="221"/>
      <c r="D178" s="241"/>
      <c r="E178" s="241"/>
      <c r="F178" s="241"/>
      <c r="G178" s="241"/>
      <c r="H178" s="504"/>
      <c r="I178" s="503"/>
      <c r="J178" s="504"/>
      <c r="K178" s="504" t="s">
        <v>1574</v>
      </c>
      <c r="L178" s="504"/>
      <c r="M178" s="504"/>
      <c r="N178" s="504"/>
      <c r="O178" s="504"/>
      <c r="P178" s="505"/>
      <c r="Q178" s="504" t="s">
        <v>817</v>
      </c>
      <c r="R178" s="504" t="s">
        <v>864</v>
      </c>
      <c r="S178" s="504" t="s">
        <v>1574</v>
      </c>
      <c r="T178" s="506"/>
      <c r="U178" s="504"/>
      <c r="V178" s="507" t="s">
        <v>864</v>
      </c>
      <c r="W178" s="507" t="s">
        <v>864</v>
      </c>
      <c r="X178" s="232"/>
      <c r="Y178" s="513"/>
      <c r="Z178" s="504"/>
      <c r="AA178" s="508"/>
      <c r="AB178" s="504"/>
      <c r="AC178" s="506">
        <v>1</v>
      </c>
      <c r="AD178" s="506">
        <v>1</v>
      </c>
    </row>
    <row r="179" spans="1:1017" s="249" customFormat="1" ht="12.95" customHeight="1">
      <c r="A179" s="225">
        <v>174.46095238095299</v>
      </c>
      <c r="B179" s="217"/>
      <c r="C179" s="221" t="s">
        <v>1575</v>
      </c>
      <c r="D179" s="221"/>
      <c r="E179" s="241"/>
      <c r="F179" s="241"/>
      <c r="G179" s="241"/>
      <c r="H179" s="504" t="s">
        <v>1576</v>
      </c>
      <c r="I179" s="503"/>
      <c r="J179" s="504"/>
      <c r="K179" s="503" t="s">
        <v>1577</v>
      </c>
      <c r="L179" s="504"/>
      <c r="M179" s="504"/>
      <c r="N179" s="504"/>
      <c r="O179" s="504"/>
      <c r="P179" s="505"/>
      <c r="Q179" s="504" t="s">
        <v>1578</v>
      </c>
      <c r="R179" s="504" t="s">
        <v>864</v>
      </c>
      <c r="S179" s="243" t="s">
        <v>1577</v>
      </c>
      <c r="T179" s="506"/>
      <c r="U179" s="504"/>
      <c r="V179" s="507" t="s">
        <v>864</v>
      </c>
      <c r="W179" s="507" t="s">
        <v>864</v>
      </c>
      <c r="X179" s="232"/>
      <c r="Y179" s="513"/>
      <c r="Z179" s="504"/>
      <c r="AA179" s="508"/>
      <c r="AB179" s="504"/>
      <c r="AC179" s="506">
        <v>1</v>
      </c>
      <c r="AD179" s="506">
        <v>1</v>
      </c>
    </row>
    <row r="180" spans="1:1017" s="249" customFormat="1" ht="12.95" customHeight="1">
      <c r="A180" s="225">
        <v>175.64666666666699</v>
      </c>
      <c r="B180" s="217"/>
      <c r="C180" s="221"/>
      <c r="D180" s="241" t="s">
        <v>1579</v>
      </c>
      <c r="E180" s="221"/>
      <c r="F180" s="241"/>
      <c r="G180" s="241"/>
      <c r="H180" s="504" t="s">
        <v>1580</v>
      </c>
      <c r="I180" s="503" t="s">
        <v>1581</v>
      </c>
      <c r="J180" s="504"/>
      <c r="K180" s="503" t="s">
        <v>1582</v>
      </c>
      <c r="L180" s="504"/>
      <c r="M180" s="504"/>
      <c r="N180" s="504"/>
      <c r="O180" s="504"/>
      <c r="P180" s="505"/>
      <c r="Q180" s="504" t="s">
        <v>820</v>
      </c>
      <c r="R180" s="504"/>
      <c r="S180" s="504" t="s">
        <v>863</v>
      </c>
      <c r="T180" s="506"/>
      <c r="U180" s="504"/>
      <c r="V180" s="507" t="s">
        <v>864</v>
      </c>
      <c r="W180" s="507" t="s">
        <v>864</v>
      </c>
      <c r="X180" s="232"/>
      <c r="Y180" s="513"/>
      <c r="Z180" s="504"/>
      <c r="AA180" s="508"/>
      <c r="AB180" s="504"/>
      <c r="AC180" s="506">
        <v>1</v>
      </c>
      <c r="AD180" s="506">
        <v>1</v>
      </c>
    </row>
    <row r="181" spans="1:1017" s="249" customFormat="1" ht="12.95" customHeight="1">
      <c r="A181" s="225">
        <v>176.83238095238099</v>
      </c>
      <c r="B181" s="217"/>
      <c r="C181" s="221"/>
      <c r="D181" s="241" t="s">
        <v>972</v>
      </c>
      <c r="E181" s="221"/>
      <c r="F181" s="241"/>
      <c r="G181" s="241"/>
      <c r="H181" s="504" t="s">
        <v>1583</v>
      </c>
      <c r="I181" s="503" t="s">
        <v>399</v>
      </c>
      <c r="J181" s="504"/>
      <c r="K181" s="503" t="s">
        <v>975</v>
      </c>
      <c r="L181" s="504"/>
      <c r="M181" s="504"/>
      <c r="N181" s="504"/>
      <c r="O181" s="504"/>
      <c r="P181" s="505"/>
      <c r="Q181" s="504" t="s">
        <v>817</v>
      </c>
      <c r="R181" s="504"/>
      <c r="S181" s="504" t="s">
        <v>863</v>
      </c>
      <c r="T181" s="506"/>
      <c r="U181" s="504"/>
      <c r="V181" s="507" t="s">
        <v>864</v>
      </c>
      <c r="W181" s="507" t="s">
        <v>864</v>
      </c>
      <c r="X181" s="232"/>
      <c r="Y181" s="513"/>
      <c r="Z181" s="504"/>
      <c r="AA181" s="508"/>
      <c r="AB181" s="504"/>
      <c r="AC181" s="506">
        <v>1</v>
      </c>
      <c r="AD181" s="506">
        <v>1</v>
      </c>
    </row>
    <row r="182" spans="1:1017" s="249" customFormat="1" ht="12.95" customHeight="1">
      <c r="A182" s="225">
        <v>178.01809523809601</v>
      </c>
      <c r="B182" s="217"/>
      <c r="C182" s="221"/>
      <c r="D182" s="241" t="s">
        <v>1584</v>
      </c>
      <c r="E182" s="221"/>
      <c r="F182" s="241"/>
      <c r="G182" s="241"/>
      <c r="H182" s="504" t="s">
        <v>1585</v>
      </c>
      <c r="I182" s="503" t="s">
        <v>1586</v>
      </c>
      <c r="J182" s="504"/>
      <c r="K182" s="503" t="s">
        <v>1061</v>
      </c>
      <c r="L182" s="504"/>
      <c r="M182" s="504"/>
      <c r="N182" s="504"/>
      <c r="O182" s="504"/>
      <c r="P182" s="505"/>
      <c r="Q182" s="504" t="s">
        <v>820</v>
      </c>
      <c r="R182" s="504"/>
      <c r="S182" s="504" t="s">
        <v>863</v>
      </c>
      <c r="T182" s="506"/>
      <c r="U182" s="504"/>
      <c r="V182" s="507" t="s">
        <v>864</v>
      </c>
      <c r="W182" s="507" t="s">
        <v>864</v>
      </c>
      <c r="X182" s="232"/>
      <c r="Y182" s="513"/>
      <c r="Z182" s="504"/>
      <c r="AA182" s="508"/>
      <c r="AB182" s="504"/>
      <c r="AC182" s="506">
        <v>1</v>
      </c>
      <c r="AD182" s="506">
        <v>1</v>
      </c>
    </row>
    <row r="183" spans="1:1017" s="249" customFormat="1" ht="12.95" customHeight="1">
      <c r="A183" s="225">
        <v>179.20380952381001</v>
      </c>
      <c r="B183" s="217"/>
      <c r="C183" s="262"/>
      <c r="D183" s="221" t="s">
        <v>1587</v>
      </c>
      <c r="E183" s="221"/>
      <c r="F183" s="241"/>
      <c r="G183" s="241"/>
      <c r="H183" s="504" t="s">
        <v>1588</v>
      </c>
      <c r="I183" s="503" t="s">
        <v>1589</v>
      </c>
      <c r="J183" s="504"/>
      <c r="K183" s="503" t="s">
        <v>939</v>
      </c>
      <c r="L183" s="504"/>
      <c r="M183" s="504"/>
      <c r="N183" s="504"/>
      <c r="O183" s="504"/>
      <c r="P183" s="505"/>
      <c r="Q183" s="504" t="s">
        <v>817</v>
      </c>
      <c r="R183" s="504"/>
      <c r="S183" s="504" t="s">
        <v>863</v>
      </c>
      <c r="T183" s="506"/>
      <c r="U183" s="504"/>
      <c r="V183" s="507" t="s">
        <v>864</v>
      </c>
      <c r="W183" s="507" t="s">
        <v>864</v>
      </c>
      <c r="X183" s="232"/>
      <c r="Y183" s="513"/>
      <c r="Z183" s="504"/>
      <c r="AA183" s="508"/>
      <c r="AB183" s="504"/>
      <c r="AC183" s="506">
        <v>1</v>
      </c>
      <c r="AD183" s="506">
        <v>1</v>
      </c>
    </row>
    <row r="184" spans="1:1017" s="249" customFormat="1" ht="12.95" customHeight="1">
      <c r="A184" s="225">
        <v>180.38952380952401</v>
      </c>
      <c r="B184" s="217" t="s">
        <v>1590</v>
      </c>
      <c r="C184" s="262"/>
      <c r="D184" s="241"/>
      <c r="E184" s="241"/>
      <c r="F184" s="241"/>
      <c r="G184" s="241"/>
      <c r="H184" s="504" t="s">
        <v>1591</v>
      </c>
      <c r="I184" s="503"/>
      <c r="J184" s="504"/>
      <c r="K184" s="503" t="s">
        <v>939</v>
      </c>
      <c r="L184" s="504"/>
      <c r="M184" s="504"/>
      <c r="N184" s="504"/>
      <c r="O184" s="504"/>
      <c r="P184" s="505"/>
      <c r="Q184" s="504" t="s">
        <v>817</v>
      </c>
      <c r="R184" s="504"/>
      <c r="S184" s="504" t="s">
        <v>863</v>
      </c>
      <c r="T184" s="506"/>
      <c r="U184" s="504"/>
      <c r="V184" s="506" t="s">
        <v>864</v>
      </c>
      <c r="W184" s="506" t="s">
        <v>864</v>
      </c>
      <c r="X184" s="232"/>
      <c r="Y184" s="513"/>
      <c r="Z184" s="504"/>
      <c r="AA184" s="504"/>
      <c r="AB184" s="504"/>
      <c r="AC184" s="506"/>
      <c r="AD184" s="506">
        <v>1</v>
      </c>
    </row>
    <row r="185" spans="1:1017" s="224" customFormat="1" ht="12" customHeight="1">
      <c r="A185" s="225">
        <f>SUBTOTAL(103,createCase[ID])</f>
        <v>175</v>
      </c>
      <c r="C185" s="225">
        <f>SUBTOTAL(103,createCase[Donnée (Niveau 2)])</f>
        <v>54</v>
      </c>
      <c r="D185" s="225">
        <f>SUBTOTAL(103,createCase[Donnée (Niveau 3)])</f>
        <v>82</v>
      </c>
      <c r="E185" s="225">
        <f>SUBTOTAL(103,createCase[Donnée (Niveau 4)])</f>
        <v>35</v>
      </c>
      <c r="F185" s="225">
        <f>SUBTOTAL(103,createCase[Donnée (Niveau 5)])</f>
        <v>10</v>
      </c>
      <c r="G185" s="225">
        <f>SUBTOTAL(103,createCase[Donnée (Niveau 6)])</f>
        <v>0</v>
      </c>
      <c r="H185" s="225">
        <f>SUBTOTAL(103,createCase[Description])</f>
        <v>154</v>
      </c>
      <c r="I185" s="225">
        <f>SUBTOTAL(103,createCase[Exemples])</f>
        <v>94</v>
      </c>
      <c r="J185" s="225">
        <f>SUBTOTAL(103,createCase[Balise NexSIS])</f>
        <v>61</v>
      </c>
      <c r="K185" s="239">
        <f>SUBTOTAL(103,createCase[Nouvelle balise])</f>
        <v>152</v>
      </c>
      <c r="L185" s="225">
        <f>SUBTOTAL(103,createCase[Nantes - balise])</f>
        <v>22</v>
      </c>
      <c r="M185" s="225">
        <f>SUBTOTAL(103,createCase[Nantes - description])</f>
        <v>22</v>
      </c>
      <c r="N185" s="225">
        <f>SUBTOTAL(103,createCase[GT399])</f>
        <v>0</v>
      </c>
      <c r="O185" s="225">
        <f>SUBTOTAL(103,createCase[GT399 description])</f>
        <v>0</v>
      </c>
      <c r="P185" s="234">
        <f>SUBTOTAL(103,createCase[Priorisation])</f>
        <v>16</v>
      </c>
      <c r="Q185" s="225"/>
      <c r="R185" s="225">
        <f>SUBTOTAL(103,createCase[Objet])</f>
        <v>60</v>
      </c>
      <c r="S185" s="225">
        <f>SUBTOTAL(103,createCase[Format (ou type)])</f>
        <v>176</v>
      </c>
      <c r="T185" s="274"/>
      <c r="U185" s="225"/>
      <c r="V185" s="225"/>
      <c r="W185" s="225"/>
      <c r="Y185" s="271">
        <f>SUBTOTAL(103,createCase[Commentaire Hub Santé])</f>
        <v>36</v>
      </c>
      <c r="Z185" s="225">
        <f>SUBTOTAL(103,createCase[Commentaire Philippe Dreyfus])</f>
        <v>40</v>
      </c>
      <c r="AA185" s="239"/>
      <c r="AB185" s="225">
        <f>SUBTOTAL(103,createCase[Commentaire Yann Penverne])</f>
        <v>0</v>
      </c>
      <c r="AC185" s="225">
        <f>SUBTOTAL(103,createCase[NexSIS])-COUNTIFS(createCase[NexSIS],"=X")</f>
        <v>84</v>
      </c>
      <c r="AD185" s="225">
        <f>SUBTOTAL(103,createCase[Métier])-COUNTIFS(createCase[Métier],"=X")</f>
        <v>168</v>
      </c>
    </row>
    <row r="186" spans="1:1017" s="128" customFormat="1" ht="12" customHeight="1">
      <c r="A186" s="3"/>
      <c r="B186" s="3"/>
      <c r="C186" s="131"/>
      <c r="D186" s="131"/>
      <c r="E186" s="131"/>
      <c r="F186" s="131"/>
      <c r="G186" s="5"/>
      <c r="H186" s="155"/>
      <c r="I186" s="225"/>
      <c r="J186" s="5"/>
      <c r="K186" s="155"/>
      <c r="L186" s="5"/>
      <c r="M186" s="5"/>
      <c r="N186" s="5"/>
      <c r="O186" s="5"/>
      <c r="P186" s="188"/>
      <c r="Q186" s="5"/>
      <c r="R186" s="5"/>
      <c r="S186" s="5"/>
      <c r="T186" s="56"/>
      <c r="U186" s="56"/>
      <c r="V186" s="56"/>
      <c r="W186" s="56"/>
      <c r="X186"/>
      <c r="Y186" s="178"/>
      <c r="Z186" s="5"/>
      <c r="AA186" s="159"/>
      <c r="AB186" s="56"/>
      <c r="AD186" s="56"/>
      <c r="AMA186"/>
      <c r="AMB186"/>
      <c r="AMC186"/>
    </row>
    <row r="187" spans="1:1017" s="128" customFormat="1" ht="12" customHeight="1">
      <c r="A187" s="129"/>
      <c r="B187" s="129"/>
      <c r="C187" s="129"/>
      <c r="D187" s="129"/>
      <c r="E187" s="129"/>
      <c r="F187" s="129"/>
      <c r="G187" s="96"/>
      <c r="H187" s="96"/>
      <c r="I187" s="225"/>
      <c r="J187" s="96"/>
      <c r="K187" s="159"/>
      <c r="L187" s="96"/>
      <c r="M187" s="96"/>
      <c r="N187" s="96"/>
      <c r="O187" s="96"/>
      <c r="P187" s="173"/>
      <c r="Q187" s="96"/>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ht="12" customHeight="1">
      <c r="G192" s="128"/>
      <c r="H192" s="128"/>
      <c r="I192" s="224"/>
      <c r="J192" s="128"/>
      <c r="K192" s="128"/>
      <c r="L192" s="128"/>
      <c r="M192" s="128"/>
      <c r="N192" s="128"/>
      <c r="O192" s="128"/>
      <c r="P192" s="174"/>
      <c r="Q192" s="128"/>
    </row>
    <row r="193" spans="1:1016" s="117" customFormat="1" ht="12" customHeight="1">
      <c r="A193" s="128"/>
      <c r="B193" s="128"/>
      <c r="C193" s="128"/>
      <c r="D193" s="128"/>
      <c r="E193" s="128"/>
      <c r="F193" s="128"/>
      <c r="G193" s="96"/>
      <c r="H193" s="96"/>
      <c r="I193" s="225"/>
      <c r="J193" s="96"/>
      <c r="K193" s="159"/>
      <c r="L193" s="96"/>
      <c r="M193" s="96"/>
      <c r="N193" s="96"/>
      <c r="O193" s="96"/>
      <c r="P193" s="173"/>
      <c r="Q193" s="96"/>
      <c r="R193" s="96"/>
      <c r="S193" s="96"/>
      <c r="T193" s="278"/>
      <c r="U193" s="96"/>
      <c r="V193" s="96"/>
      <c r="W193" s="96"/>
      <c r="X193"/>
      <c r="Y193" s="179"/>
      <c r="Z193" s="96"/>
      <c r="AA193" s="161"/>
      <c r="AB193" s="96"/>
      <c r="AD193" s="96"/>
      <c r="AMB193"/>
    </row>
    <row r="194" spans="1:1016" ht="12" customHeight="1">
      <c r="A194" s="117"/>
      <c r="B194" s="117"/>
      <c r="C194" s="117"/>
      <c r="D194" s="117"/>
      <c r="E194" s="117"/>
      <c r="F194" s="117"/>
      <c r="G194" s="117"/>
      <c r="H194" s="117"/>
      <c r="I194" s="251"/>
      <c r="J194" s="117"/>
      <c r="K194" s="117"/>
      <c r="L194" s="117"/>
      <c r="M194" s="117"/>
      <c r="N194" s="117"/>
      <c r="O194" s="117"/>
      <c r="P194" s="189"/>
      <c r="Q194" s="117"/>
    </row>
    <row r="195" spans="1:1016" ht="12" customHeight="1">
      <c r="R195" s="112"/>
      <c r="S195" s="112"/>
      <c r="T195" s="125"/>
      <c r="U195" s="112"/>
      <c r="V195" s="112"/>
      <c r="W195" s="112"/>
      <c r="Y195" s="180"/>
      <c r="Z195" s="112"/>
      <c r="AB195" s="112"/>
      <c r="AD195" s="112"/>
    </row>
    <row r="207" spans="1:1016" ht="12" customHeight="1">
      <c r="A207" s="130"/>
      <c r="B207" s="130"/>
      <c r="C207" s="130"/>
      <c r="D207" s="130"/>
      <c r="E207" s="130"/>
      <c r="F207" s="130"/>
    </row>
    <row r="208" spans="1:10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s="117" customFormat="1" ht="12" customHeight="1">
      <c r="A222" s="129"/>
      <c r="B222" s="129"/>
      <c r="C222" s="129"/>
      <c r="D222" s="129"/>
      <c r="E222" s="129"/>
      <c r="F222" s="129"/>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30"/>
      <c r="B223" s="130"/>
      <c r="C223" s="130"/>
      <c r="D223" s="130"/>
      <c r="E223" s="130"/>
      <c r="F223" s="130"/>
      <c r="G223" s="96"/>
      <c r="H223" s="96"/>
      <c r="I223" s="225"/>
      <c r="J223" s="96"/>
      <c r="K223" s="159"/>
      <c r="L223" s="96"/>
      <c r="M223" s="96"/>
      <c r="N223" s="96"/>
      <c r="O223" s="96"/>
      <c r="P223" s="173"/>
      <c r="Q223" s="96"/>
      <c r="R223" s="96"/>
      <c r="S223" s="96"/>
      <c r="T223" s="278"/>
      <c r="U223" s="96"/>
      <c r="V223" s="96"/>
      <c r="W223" s="96"/>
      <c r="X223"/>
      <c r="Y223" s="179"/>
      <c r="Z223" s="96"/>
      <c r="AA223" s="161"/>
      <c r="AB223" s="96"/>
      <c r="AD223" s="96"/>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Y230" s="180"/>
      <c r="Z230" s="112"/>
      <c r="AB230" s="112"/>
      <c r="AD230" s="112"/>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0"/>
      <c r="B233" s="130"/>
      <c r="C233" s="130"/>
      <c r="D233" s="130"/>
      <c r="E233" s="130"/>
      <c r="F233" s="130"/>
    </row>
    <row r="234" spans="1:1016" ht="12" customHeight="1">
      <c r="A234" s="136"/>
      <c r="B234" s="136"/>
      <c r="C234" s="136"/>
      <c r="D234" s="136"/>
      <c r="E234" s="136"/>
      <c r="F234" s="136"/>
    </row>
    <row r="235" spans="1:1016" ht="12" customHeight="1">
      <c r="A235" s="136"/>
      <c r="B235" s="136"/>
      <c r="C235" s="136"/>
      <c r="D235" s="136"/>
      <c r="E235" s="136"/>
      <c r="F235" s="136"/>
    </row>
  </sheetData>
  <mergeCells count="5">
    <mergeCell ref="H1:J2"/>
    <mergeCell ref="O1:P1"/>
    <mergeCell ref="L7:O7"/>
    <mergeCell ref="AC7:AD7"/>
    <mergeCell ref="V7:W7"/>
  </mergeCells>
  <phoneticPr fontId="80" type="noConversion"/>
  <conditionalFormatting sqref="A186:F187 A207:F1047">
    <cfRule type="expression" dxfId="348" priority="440">
      <formula>$AD186=1</formula>
    </cfRule>
    <cfRule type="expression" dxfId="347" priority="441">
      <formula>$AB186=1</formula>
    </cfRule>
    <cfRule type="expression" dxfId="346" priority="439">
      <formula>AND($AD186=1,$AB186=1)</formula>
    </cfRule>
    <cfRule type="expression" dxfId="345" priority="438">
      <formula>OR($AD186="X",$AB186="X")</formula>
    </cfRule>
  </conditionalFormatting>
  <conditionalFormatting sqref="A9:G9 A10:A158 B26:G34 D34:D36 B35:B36 F35:G36 B98:G121 E121:G125 B122:C132 F126:G127 E128:G132 E134:G147 B148:G158 A159:G159 D160:G160 B160:D165 A160:A184 F161:G165 B166:G184 B37:G83 B85:G96">
    <cfRule type="expression" dxfId="344" priority="822">
      <formula>$AC9=1</formula>
    </cfRule>
  </conditionalFormatting>
  <conditionalFormatting sqref="A9:G9 A10:A158 D34:D36 B35:B36 F35:G36 E121:G125 B122:C132 F126:G127 E128:G132 E134:G147 B148:G158 A159:G159 D160:G160 B160:D165 A160:A184 F161:G165 B166:G184">
    <cfRule type="expression" dxfId="343" priority="821">
      <formula>$AD9=1</formula>
    </cfRule>
  </conditionalFormatting>
  <conditionalFormatting sqref="A9:G9 B35:B36 E121:G125 B122:C132 F126:G127 E128:G132 E134:G147 B148:G158 B166:G184 D34:D36 D160:G160 B160:D165 A10:A158 F35:G36 A159:G159 A160:A184 F161:G165">
    <cfRule type="expression" dxfId="342" priority="820">
      <formula>AND($AD9=1,$AC9=1)</formula>
    </cfRule>
  </conditionalFormatting>
  <conditionalFormatting sqref="A9:G33 D34:G34 A34:D36 F35:G36 B37:G125 A37:A158 B126:D127 F126:G127 B128:G132 B134:G158 A159:G159 D160:G160 B160:D165 A160:A184 F161:G165 B166:G184">
    <cfRule type="expression" dxfId="341" priority="823">
      <formula>AND(NOT(ISBLANK($W9)),ISBLANK($AC9),ISBLANK($AD9))</formula>
    </cfRule>
  </conditionalFormatting>
  <conditionalFormatting sqref="B114:B117">
    <cfRule type="expression" dxfId="340" priority="300">
      <formula>AND($R114="X",#REF!&lt;&gt;"")</formula>
    </cfRule>
  </conditionalFormatting>
  <conditionalFormatting sqref="B158 B160:B165">
    <cfRule type="expression" dxfId="339" priority="1037">
      <formula>AND($R158="X",#REF!&lt;&gt;"")</formula>
    </cfRule>
  </conditionalFormatting>
  <conditionalFormatting sqref="B133:C147 B148:G158 B166:G184 B26:G33 A159:G159 D160:G160 B160:D165 D34:D36 A10:A158 B34:C34 F35:G36 E133:G133 A160:A184 F161:G165">
    <cfRule type="expression" dxfId="338" priority="167">
      <formula>OR($AD10="X",$AC10="X")</formula>
    </cfRule>
  </conditionalFormatting>
  <conditionalFormatting sqref="B10:G25 D122:D131 E132">
    <cfRule type="expression" dxfId="337" priority="279">
      <formula>OR($AD10="X",$AC10="X")</formula>
    </cfRule>
    <cfRule type="expression" dxfId="336" priority="282">
      <formula>$AC10=1</formula>
    </cfRule>
  </conditionalFormatting>
  <conditionalFormatting sqref="B10:G33 B34:D34 D122:D131 E132">
    <cfRule type="expression" dxfId="335" priority="281">
      <formula>$AD10=1</formula>
    </cfRule>
  </conditionalFormatting>
  <conditionalFormatting sqref="B10:G33 D122:D131 E132 B34:D34">
    <cfRule type="expression" dxfId="334" priority="280">
      <formula>AND($AD10=1,$AC10=1)</formula>
    </cfRule>
  </conditionalFormatting>
  <conditionalFormatting sqref="B37:G121 E121:G125 E128:G132 F126:G127 E134:G147 A9:G9 B122:C132 B35:B36">
    <cfRule type="expression" dxfId="333" priority="819">
      <formula>OR($AD9="X",$AC9="X")</formula>
    </cfRule>
  </conditionalFormatting>
  <conditionalFormatting sqref="B37:G121">
    <cfRule type="expression" dxfId="332" priority="298">
      <formula>$AD37=1</formula>
    </cfRule>
    <cfRule type="expression" dxfId="331" priority="297">
      <formula>AND($AD37=1,$AC37=1)</formula>
    </cfRule>
  </conditionalFormatting>
  <conditionalFormatting sqref="B133:G133">
    <cfRule type="expression" dxfId="330" priority="175">
      <formula>AND(NOT(ISBLANK($W133)),ISBLANK($AC133),ISBLANK($AD133))</formula>
    </cfRule>
  </conditionalFormatting>
  <conditionalFormatting sqref="C34 D34:D36">
    <cfRule type="expression" dxfId="329" priority="1075">
      <formula>AND($R34="X",OR($B34&lt;&gt;"",#REF!&lt;&gt;""))</formula>
    </cfRule>
  </conditionalFormatting>
  <conditionalFormatting sqref="C35:C36">
    <cfRule type="expression" dxfId="328" priority="32">
      <formula>$AC35=1</formula>
    </cfRule>
    <cfRule type="expression" dxfId="327" priority="27">
      <formula>AND($R35="X",OR(#REF!&lt;&gt;"",$B35&lt;&gt;""))</formula>
    </cfRule>
    <cfRule type="expression" dxfId="326" priority="29">
      <formula>OR($AD35="X",$AC35="X")</formula>
    </cfRule>
    <cfRule type="expression" dxfId="325" priority="30">
      <formula>AND($AD35=1,$AC35=1)</formula>
    </cfRule>
    <cfRule type="expression" dxfId="324" priority="31">
      <formula>$AD35=1</formula>
    </cfRule>
  </conditionalFormatting>
  <conditionalFormatting sqref="C133">
    <cfRule type="expression" dxfId="323" priority="154">
      <formula>OR($AD133="X",$AC133="X")</formula>
    </cfRule>
    <cfRule type="expression" dxfId="322" priority="155">
      <formula>AND($AD133=1,$AC133=1)</formula>
    </cfRule>
    <cfRule type="expression" dxfId="321" priority="156">
      <formula>$AD133=1</formula>
    </cfRule>
    <cfRule type="expression" dxfId="320" priority="157">
      <formula>$AC133=1</formula>
    </cfRule>
  </conditionalFormatting>
  <conditionalFormatting sqref="C159">
    <cfRule type="expression" dxfId="319" priority="71">
      <formula>OR($AD159="X",$AC159="X")</formula>
    </cfRule>
    <cfRule type="expression" dxfId="318" priority="72">
      <formula>AND($AD159=1,$AC159=1)</formula>
    </cfRule>
    <cfRule type="expression" dxfId="317" priority="73">
      <formula>$AD159=1</formula>
    </cfRule>
    <cfRule type="expression" dxfId="316" priority="74">
      <formula>AND($R159="X",$B159&lt;&gt;"")</formula>
    </cfRule>
  </conditionalFormatting>
  <conditionalFormatting sqref="C160:C165">
    <cfRule type="expression" dxfId="315" priority="1039">
      <formula>AND($R160="X",OR(#REF!&lt;&gt;"",$B160&lt;&gt;""))</formula>
    </cfRule>
  </conditionalFormatting>
  <conditionalFormatting sqref="C161">
    <cfRule type="expression" dxfId="314" priority="143">
      <formula>OR($AD161="X",$AC161="X")</formula>
    </cfRule>
  </conditionalFormatting>
  <conditionalFormatting sqref="C166:C167 D132:E132 C9:C33 C148:C157 C177:C184 C37:C113 C118:C132 D124:D131">
    <cfRule type="expression" dxfId="313" priority="275">
      <formula>AND($R9="X",$B9&lt;&gt;"")</formula>
    </cfRule>
  </conditionalFormatting>
  <conditionalFormatting sqref="C167">
    <cfRule type="expression" dxfId="312" priority="223">
      <formula>$AD167=1</formula>
    </cfRule>
    <cfRule type="expression" dxfId="311" priority="222">
      <formula>AND($AD167=1,$AC167=1)</formula>
    </cfRule>
    <cfRule type="expression" dxfId="310" priority="221">
      <formula>OR($AD167="X",$AC167="X")</formula>
    </cfRule>
  </conditionalFormatting>
  <conditionalFormatting sqref="C168:C176">
    <cfRule type="expression" dxfId="309" priority="984">
      <formula>AND($R168="X",OR($B168&lt;&gt;"",#REF!&lt;&gt;""))</formula>
    </cfRule>
  </conditionalFormatting>
  <conditionalFormatting sqref="C172">
    <cfRule type="expression" dxfId="308" priority="2">
      <formula>AND($AD172=1,$AC172=1)</formula>
    </cfRule>
    <cfRule type="expression" dxfId="307" priority="3">
      <formula>$AD172=1</formula>
    </cfRule>
    <cfRule type="expression" dxfId="306" priority="4">
      <formula>AND($R172="X",$B172&lt;&gt;"")</formula>
    </cfRule>
    <cfRule type="expression" dxfId="305" priority="1">
      <formula>OR($AD172="X",$AC172="X")</formula>
    </cfRule>
  </conditionalFormatting>
  <conditionalFormatting sqref="C115:D117">
    <cfRule type="expression" dxfId="304" priority="301">
      <formula>AND($R115="X",OR(#REF!&lt;&gt;"",$B115&lt;&gt;""))</formula>
    </cfRule>
  </conditionalFormatting>
  <conditionalFormatting sqref="C133:D147">
    <cfRule type="expression" dxfId="303" priority="162">
      <formula>AND($R133="X",$B133&lt;&gt;"")</formula>
    </cfRule>
  </conditionalFormatting>
  <conditionalFormatting sqref="C114:G114">
    <cfRule type="expression" dxfId="302" priority="285">
      <formula>AND($R114="X",$B114&lt;&gt;"")</formula>
    </cfRule>
  </conditionalFormatting>
  <conditionalFormatting sqref="D9:D33 C158:G158">
    <cfRule type="expression" dxfId="301" priority="78">
      <formula>AND($R9="X",OR($B9&lt;&gt;"",$C9&lt;&gt;""))</formula>
    </cfRule>
  </conditionalFormatting>
  <conditionalFormatting sqref="D24:D25">
    <cfRule type="expression" dxfId="300" priority="176">
      <formula>AND($R24="X",$B24&lt;&gt;"")</formula>
    </cfRule>
  </conditionalFormatting>
  <conditionalFormatting sqref="D34">
    <cfRule type="expression" dxfId="299" priority="1086">
      <formula>$AC34=1</formula>
    </cfRule>
    <cfRule type="expression" dxfId="298" priority="1085">
      <formula>AND($R34="X",OR($B34&lt;&gt;"",#REF!&lt;&gt;"",$D34&lt;&gt;"",#REF!&lt;&gt;""))</formula>
    </cfRule>
    <cfRule type="expression" dxfId="297" priority="1084">
      <formula>AND($R34="X",OR($B34&lt;&gt;"",#REF!&lt;&gt;"",$C34&lt;&gt;"",$D34&lt;&gt;""))</formula>
    </cfRule>
    <cfRule type="expression" dxfId="296" priority="1082">
      <formula>AND($R34="X",OR($B34&lt;&gt;"",#REF!&lt;&gt;"",$C34&lt;&gt;""))</formula>
    </cfRule>
    <cfRule type="expression" dxfId="295" priority="1091">
      <formula>AND($R34="X",OR($B34&lt;&gt;"",#REF!&lt;&gt;""))</formula>
    </cfRule>
    <cfRule type="expression" dxfId="294" priority="1090">
      <formula>AND($R34="X",$B34&lt;&gt;"")</formula>
    </cfRule>
    <cfRule type="expression" dxfId="293" priority="1089">
      <formula>$AD34=1</formula>
    </cfRule>
    <cfRule type="expression" dxfId="292" priority="1088">
      <formula>AND($AD34=1,$AC34=1)</formula>
    </cfRule>
    <cfRule type="expression" dxfId="291" priority="1087">
      <formula>AND($R34="X",OR($B34&lt;&gt;"",#REF!&lt;&gt;"",$C34&lt;&gt;""))</formula>
    </cfRule>
  </conditionalFormatting>
  <conditionalFormatting sqref="D115 D177:D184">
    <cfRule type="expression" dxfId="290" priority="145">
      <formula>AND($R115="X",OR($B115&lt;&gt;"",$C115&lt;&gt;""))</formula>
    </cfRule>
  </conditionalFormatting>
  <conditionalFormatting sqref="D118:D121 D120:G120 D166:D167 D154:D157 C177">
    <cfRule type="expression" dxfId="289" priority="308">
      <formula>AND($R118="X",OR($B118&lt;&gt;"",$C118&lt;&gt;""))</formula>
    </cfRule>
  </conditionalFormatting>
  <conditionalFormatting sqref="D122:D123">
    <cfRule type="expression" dxfId="288" priority="252">
      <formula>AND($R122="X",OR(#REF!&lt;&gt;"",$B122&lt;&gt;""))</formula>
    </cfRule>
  </conditionalFormatting>
  <conditionalFormatting sqref="D132">
    <cfRule type="expression" dxfId="287" priority="213">
      <formula>OR($AD132="X",$AC132="X")</formula>
    </cfRule>
    <cfRule type="expression" dxfId="286" priority="215">
      <formula>$AD132=1</formula>
    </cfRule>
    <cfRule type="expression" dxfId="285" priority="214">
      <formula>AND($AD132=1,$AC132=1)</formula>
    </cfRule>
  </conditionalFormatting>
  <conditionalFormatting sqref="D132:D147">
    <cfRule type="expression" dxfId="284" priority="166">
      <formula>$AC132=1</formula>
    </cfRule>
  </conditionalFormatting>
  <conditionalFormatting sqref="D133">
    <cfRule type="expression" dxfId="283" priority="153">
      <formula>$AC133=1</formula>
    </cfRule>
    <cfRule type="expression" dxfId="282" priority="152">
      <formula>$AD133=1</formula>
    </cfRule>
    <cfRule type="expression" dxfId="281" priority="151">
      <formula>AND($AD133=1,$AC133=1)</formula>
    </cfRule>
    <cfRule type="expression" dxfId="280" priority="150">
      <formula>AND($R133="X",OR($B133&lt;&gt;"",$C133&lt;&gt;"",$D133&lt;&gt;""))</formula>
    </cfRule>
    <cfRule type="expression" dxfId="279" priority="149">
      <formula>OR($AD133="X",$AC133="X")</formula>
    </cfRule>
  </conditionalFormatting>
  <conditionalFormatting sqref="D133:D147">
    <cfRule type="expression" dxfId="278" priority="165">
      <formula>$AD133=1</formula>
    </cfRule>
    <cfRule type="expression" dxfId="277" priority="163">
      <formula>OR($AD133="X",$AC133="X")</formula>
    </cfRule>
    <cfRule type="expression" dxfId="276" priority="164">
      <formula>AND($AD133=1,$AC133=1)</formula>
    </cfRule>
  </conditionalFormatting>
  <conditionalFormatting sqref="D148:D152 E121:E123 D37:D113">
    <cfRule type="expression" dxfId="275" priority="270">
      <formula>AND($R37="X",OR($B37&lt;&gt;"",$C37&lt;&gt;""))</formula>
    </cfRule>
  </conditionalFormatting>
  <conditionalFormatting sqref="D153">
    <cfRule type="expression" dxfId="274" priority="836">
      <formula>AND($R153="X",OR($B153&lt;&gt;"",#REF!&lt;&gt;""))</formula>
    </cfRule>
  </conditionalFormatting>
  <conditionalFormatting sqref="D157">
    <cfRule type="expression" dxfId="273" priority="205">
      <formula>AND($AD157=1,$AC157=1)</formula>
    </cfRule>
    <cfRule type="expression" dxfId="272" priority="206">
      <formula>$AD157=1</formula>
    </cfRule>
    <cfRule type="expression" dxfId="271" priority="207">
      <formula>AND($R157="X",OR($B157&lt;&gt;"",$C157&lt;&gt;"",$D157&lt;&gt;""))</formula>
    </cfRule>
    <cfRule type="expression" dxfId="270" priority="198">
      <formula>AND($R157="X",OR($B157&lt;&gt;"",$C157&lt;&gt;"",$D157&lt;&gt;"",$E157&lt;&gt;""))</formula>
    </cfRule>
    <cfRule type="expression" dxfId="269" priority="197">
      <formula>$AC157=1</formula>
    </cfRule>
    <cfRule type="expression" dxfId="268" priority="199">
      <formula>AND($AD157=1,$AC157=1)</formula>
    </cfRule>
    <cfRule type="expression" dxfId="267" priority="200">
      <formula>$AD157=1</formula>
    </cfRule>
    <cfRule type="expression" dxfId="266" priority="201">
      <formula>AND($R157="X",OR($B157&lt;&gt;"",$C157&lt;&gt;"",$D157&lt;&gt;""))</formula>
    </cfRule>
    <cfRule type="expression" dxfId="265" priority="203">
      <formula>$AC157=1</formula>
    </cfRule>
    <cfRule type="expression" dxfId="264" priority="61">
      <formula>AND($R157="X",OR($B157&lt;&gt;"",$C157&lt;&gt;""))</formula>
    </cfRule>
    <cfRule type="expression" dxfId="263" priority="204">
      <formula>AND($R157="X",OR($B157&lt;&gt;"",$C157&lt;&gt;"",$D157&lt;&gt;"",$E157&lt;&gt;""))</formula>
    </cfRule>
  </conditionalFormatting>
  <conditionalFormatting sqref="D159">
    <cfRule type="expression" dxfId="262" priority="75">
      <formula>AND($R159="X",OR($B159&lt;&gt;"",$C159&lt;&gt;""))</formula>
    </cfRule>
    <cfRule type="expression" dxfId="261" priority="70">
      <formula>$AD159=1</formula>
    </cfRule>
    <cfRule type="expression" dxfId="260" priority="69">
      <formula>AND($AD159=1,$AC159=1)</formula>
    </cfRule>
    <cfRule type="expression" dxfId="259" priority="67">
      <formula>AND($R159="X",$B159&lt;&gt;"")</formula>
    </cfRule>
    <cfRule type="expression" dxfId="258" priority="48">
      <formula>AND($R159="X",OR($B159&lt;&gt;"",$C159&lt;&gt;""))</formula>
    </cfRule>
    <cfRule type="expression" dxfId="257" priority="51">
      <formula>AND($R159="X",OR($B159&lt;&gt;"",$C159&lt;&gt;"",$D159&lt;&gt;"",$E159&lt;&gt;""))</formula>
    </cfRule>
    <cfRule type="expression" dxfId="256" priority="52">
      <formula>AND($AD159=1,$AC159=1)</formula>
    </cfRule>
    <cfRule type="expression" dxfId="255" priority="53">
      <formula>$AD159=1</formula>
    </cfRule>
    <cfRule type="expression" dxfId="254" priority="54">
      <formula>AND($R159="X",OR($B159&lt;&gt;"",$C159&lt;&gt;"",$D159&lt;&gt;""))</formula>
    </cfRule>
    <cfRule type="expression" dxfId="253" priority="50">
      <formula>$AC159=1</formula>
    </cfRule>
    <cfRule type="expression" dxfId="252" priority="55">
      <formula>$AC159=1</formula>
    </cfRule>
    <cfRule type="expression" dxfId="251" priority="56">
      <formula>AND($R159="X",OR($B159&lt;&gt;"",$C159&lt;&gt;"",$D159&lt;&gt;"",$E159&lt;&gt;""))</formula>
    </cfRule>
    <cfRule type="expression" dxfId="250" priority="57">
      <formula>AND($AD159=1,$AC159=1)</formula>
    </cfRule>
    <cfRule type="expression" dxfId="249" priority="58">
      <formula>$AD159=1</formula>
    </cfRule>
    <cfRule type="expression" dxfId="248" priority="59">
      <formula>AND($R159="X",OR($B159&lt;&gt;"",$C159&lt;&gt;"",$D159&lt;&gt;""))</formula>
    </cfRule>
    <cfRule type="expression" dxfId="247" priority="60">
      <formula>AND($R159="X",OR($B159&lt;&gt;"",$C159&lt;&gt;""))</formula>
    </cfRule>
    <cfRule type="expression" dxfId="246" priority="64">
      <formula>OR($AD159="X",$AC159="X")</formula>
    </cfRule>
  </conditionalFormatting>
  <conditionalFormatting sqref="D159:D161">
    <cfRule type="expression" dxfId="245" priority="68">
      <formula>OR($AD159="X",$AC159="X")</formula>
    </cfRule>
  </conditionalFormatting>
  <conditionalFormatting sqref="D160:D161">
    <cfRule type="expression" dxfId="244" priority="225">
      <formula>AND($AD160=1,$AC160=1)</formula>
    </cfRule>
    <cfRule type="expression" dxfId="243" priority="228">
      <formula>AND($R160="X",#REF!&lt;&gt;"")</formula>
    </cfRule>
    <cfRule type="expression" dxfId="242" priority="227">
      <formula>$AC160=1</formula>
    </cfRule>
    <cfRule type="expression" dxfId="241" priority="226">
      <formula>$AD160=1</formula>
    </cfRule>
  </conditionalFormatting>
  <conditionalFormatting sqref="D160:D165">
    <cfRule type="expression" dxfId="240" priority="1041">
      <formula>AND($R160="X",OR(#REF!&lt;&gt;"",$B160&lt;&gt;"",$C160&lt;&gt;""))</formula>
    </cfRule>
  </conditionalFormatting>
  <conditionalFormatting sqref="D167">
    <cfRule type="expression" dxfId="239" priority="220">
      <formula>$AD167=1</formula>
    </cfRule>
    <cfRule type="expression" dxfId="238" priority="219">
      <formula>AND($AD167=1,$AC167=1)</formula>
    </cfRule>
    <cfRule type="expression" dxfId="237" priority="218">
      <formula>OR($AD167="X",$AC167="X")</formula>
    </cfRule>
    <cfRule type="expression" dxfId="236" priority="217">
      <formula>AND($R167="X",$B167&lt;&gt;"")</formula>
    </cfRule>
  </conditionalFormatting>
  <conditionalFormatting sqref="D168:D176">
    <cfRule type="expression" dxfId="235" priority="1004">
      <formula>AND($R168="X",OR($B168&lt;&gt;"",#REF!&lt;&gt;"",$C168&lt;&gt;""))</formula>
    </cfRule>
  </conditionalFormatting>
  <conditionalFormatting sqref="D120:E120">
    <cfRule type="expression" dxfId="234" priority="100">
      <formula>AND($R120="X",OR($B120&lt;&gt;"",$C120&lt;&gt;"",$D120&lt;&gt;"",$E120&lt;&gt;""))</formula>
    </cfRule>
    <cfRule type="expression" dxfId="233" priority="101">
      <formula>AND($R120="X",OR($B120&lt;&gt;"",$C120&lt;&gt;"",$E120&lt;&gt;"",#REF!&lt;&gt;""))</formula>
    </cfRule>
    <cfRule type="expression" dxfId="232" priority="102">
      <formula>$AC120=1</formula>
    </cfRule>
    <cfRule type="expression" dxfId="231" priority="103">
      <formula>AND($R120="X",OR($B120&lt;&gt;"",$C120&lt;&gt;"",$D120&lt;&gt;""))</formula>
    </cfRule>
    <cfRule type="expression" dxfId="230" priority="104">
      <formula>AND($AD120=1,$AC120=1)</formula>
    </cfRule>
    <cfRule type="expression" dxfId="229" priority="105">
      <formula>$AD120=1</formula>
    </cfRule>
  </conditionalFormatting>
  <conditionalFormatting sqref="D34:G34">
    <cfRule type="expression" dxfId="228" priority="7">
      <formula>$AD34=1</formula>
    </cfRule>
    <cfRule type="expression" dxfId="227" priority="8">
      <formula>OR($AD34="X",$AC34="X")</formula>
    </cfRule>
    <cfRule type="expression" dxfId="226" priority="6">
      <formula>AND($AD34=1,$AC34=1)</formula>
    </cfRule>
    <cfRule type="expression" dxfId="225" priority="5">
      <formula>AND($R34="X",OR($B34&lt;&gt;"",$C34&lt;&gt;"",$D34&lt;&gt;"",$E34&lt;&gt;"",$F34&lt;&gt;""))</formula>
    </cfRule>
  </conditionalFormatting>
  <conditionalFormatting sqref="D118:G118">
    <cfRule type="expression" dxfId="224" priority="116">
      <formula>AND($R118="X",$B118&lt;&gt;"")</formula>
    </cfRule>
  </conditionalFormatting>
  <conditionalFormatting sqref="D120:G120">
    <cfRule type="expression" dxfId="223" priority="114">
      <formula>AND($R120="X",$B120&lt;&gt;"")</formula>
    </cfRule>
  </conditionalFormatting>
  <conditionalFormatting sqref="D159:G159">
    <cfRule type="expression" dxfId="222" priority="66">
      <formula>AND($R159="X",OR($B159&lt;&gt;"",$C159&lt;&gt;""))</formula>
    </cfRule>
  </conditionalFormatting>
  <conditionalFormatting sqref="E9:E33">
    <cfRule type="expression" dxfId="221" priority="36">
      <formula>AND($R9="X",OR($B9&lt;&gt;"",$C9&lt;&gt;"",$D9&lt;&gt;""))</formula>
    </cfRule>
  </conditionalFormatting>
  <conditionalFormatting sqref="E35:E36">
    <cfRule type="expression" dxfId="220" priority="9">
      <formula>OR($AD35="X",$AC35="X")</formula>
    </cfRule>
    <cfRule type="expression" dxfId="219" priority="10">
      <formula>AND($AD35=1,$AC35=1)</formula>
    </cfRule>
    <cfRule type="expression" dxfId="218" priority="11">
      <formula>$AD35=1</formula>
    </cfRule>
    <cfRule type="expression" dxfId="217" priority="12">
      <formula>$AC35=1</formula>
    </cfRule>
    <cfRule type="expression" dxfId="216" priority="13">
      <formula>AND(NOT(ISBLANK($W35)),ISBLANK($AC35),ISBLANK($AD35))</formula>
    </cfRule>
    <cfRule type="expression" dxfId="215" priority="14">
      <formula>AND($R35="X",OR($B35&lt;&gt;"",#REF!&lt;&gt;"",$D35&lt;&gt;"",#REF!&lt;&gt;""))</formula>
    </cfRule>
  </conditionalFormatting>
  <conditionalFormatting sqref="E82">
    <cfRule type="expression" dxfId="214" priority="187">
      <formula>$AD82=1</formula>
    </cfRule>
    <cfRule type="expression" dxfId="213" priority="185">
      <formula>AND($R82="X",OR($B82&lt;&gt;"",$C82&lt;&gt;"",$D82&lt;&gt;"",$E82&lt;&gt;""))</formula>
    </cfRule>
    <cfRule type="expression" dxfId="212" priority="186">
      <formula>AND($AD82=1,$AC82=1)</formula>
    </cfRule>
    <cfRule type="expression" dxfId="211" priority="188">
      <formula>AND($R82="X",OR($B82&lt;&gt;"",$C82&lt;&gt;"",$E82&lt;&gt;"",#REF!&lt;&gt;""))</formula>
    </cfRule>
  </conditionalFormatting>
  <conditionalFormatting sqref="E85">
    <cfRule type="expression" dxfId="210" priority="179">
      <formula>AND($R85="X",OR($B85&lt;&gt;"",$C85&lt;&gt;"",$D85&lt;&gt;"",$E85&lt;&gt;""))</formula>
    </cfRule>
    <cfRule type="expression" dxfId="209" priority="180">
      <formula>AND($AD85=1,$AC85=1)</formula>
    </cfRule>
    <cfRule type="expression" dxfId="208" priority="181">
      <formula>$AD85=1</formula>
    </cfRule>
    <cfRule type="expression" dxfId="207" priority="182">
      <formula>$AC85=1</formula>
    </cfRule>
    <cfRule type="expression" dxfId="206" priority="183">
      <formula>AND($R85="X",OR($B85&lt;&gt;"",$C85&lt;&gt;"",$E85&lt;&gt;"",#REF!&lt;&gt;""))</formula>
    </cfRule>
    <cfRule type="expression" dxfId="205" priority="184">
      <formula>$AC85=1</formula>
    </cfRule>
  </conditionalFormatting>
  <conditionalFormatting sqref="E104">
    <cfRule type="expression" dxfId="204" priority="189">
      <formula>AND($R104="X",OR($B104&lt;&gt;"",$C104&lt;&gt;"",$D104&lt;&gt;"",$E104&lt;&gt;""))</formula>
    </cfRule>
    <cfRule type="expression" dxfId="203" priority="190">
      <formula>AND($AD104=1,$AC104=1)</formula>
    </cfRule>
    <cfRule type="expression" dxfId="202" priority="192">
      <formula>$AC104=1</formula>
    </cfRule>
    <cfRule type="expression" dxfId="201" priority="193">
      <formula>AND($R104="X",OR($B104&lt;&gt;"",$C104&lt;&gt;"",$E104&lt;&gt;"",#REF!&lt;&gt;""))</formula>
    </cfRule>
    <cfRule type="expression" dxfId="200" priority="191">
      <formula>$AD104=1</formula>
    </cfRule>
  </conditionalFormatting>
  <conditionalFormatting sqref="E115 E148:E152 E154:E157 E166 E177:E184">
    <cfRule type="expression" dxfId="199" priority="146">
      <formula>AND($R115="X",OR($B115&lt;&gt;"",$C115&lt;&gt;"",$D115&lt;&gt;""))</formula>
    </cfRule>
  </conditionalFormatting>
  <conditionalFormatting sqref="E115:E117">
    <cfRule type="expression" dxfId="198" priority="302">
      <formula>AND($R115="X",OR(#REF!&lt;&gt;"",$B115&lt;&gt;"",$C115&lt;&gt;""))</formula>
    </cfRule>
  </conditionalFormatting>
  <conditionalFormatting sqref="E118:E121">
    <cfRule type="expression" dxfId="197" priority="320">
      <formula>AND($R118="X",OR($B118&lt;&gt;"",$C118&lt;&gt;"",$D118&lt;&gt;""))</formula>
    </cfRule>
  </conditionalFormatting>
  <conditionalFormatting sqref="E119">
    <cfRule type="expression" dxfId="196" priority="106">
      <formula>AND($R119="X",OR($B119&lt;&gt;"",$C119&lt;&gt;"",$D119&lt;&gt;"",$E119&lt;&gt;""))</formula>
    </cfRule>
    <cfRule type="expression" dxfId="195" priority="107">
      <formula>AND($R119="X",OR($B119&lt;&gt;"",$C119&lt;&gt;"",$E119&lt;&gt;"",#REF!&lt;&gt;""))</formula>
    </cfRule>
    <cfRule type="expression" dxfId="194" priority="108">
      <formula>$AC119=1</formula>
    </cfRule>
    <cfRule type="expression" dxfId="193" priority="109">
      <formula>AND($R119="X",OR($B119&lt;&gt;"",$C119&lt;&gt;"",$D119&lt;&gt;""))</formula>
    </cfRule>
  </conditionalFormatting>
  <conditionalFormatting sqref="E124">
    <cfRule type="expression" dxfId="192" priority="194">
      <formula>AND($R124="X",OR($B124&lt;&gt;"",$C124&lt;&gt;"",$D124&lt;&gt;"",$E124&lt;&gt;""))</formula>
    </cfRule>
    <cfRule type="expression" dxfId="191" priority="195">
      <formula>AND($R124="X",OR($B124&lt;&gt;"",$C124&lt;&gt;"",$E124&lt;&gt;"",#REF!&lt;&gt;""))</formula>
    </cfRule>
    <cfRule type="expression" dxfId="190" priority="196">
      <formula>$AC124=1</formula>
    </cfRule>
  </conditionalFormatting>
  <conditionalFormatting sqref="E124:E125 E37:E113 F126:F127 E128:E131">
    <cfRule type="expression" dxfId="189" priority="276">
      <formula>AND($R37="X",OR($B37&lt;&gt;"",$C37&lt;&gt;"",$D37&lt;&gt;""))</formula>
    </cfRule>
  </conditionalFormatting>
  <conditionalFormatting sqref="E126:E127">
    <cfRule type="expression" dxfId="188" priority="125">
      <formula>AND($R126="X",$B126&lt;&gt;"")</formula>
    </cfRule>
    <cfRule type="expression" dxfId="187" priority="130">
      <formula>AND(NOT(ISBLANK($W126)),ISBLANK($AC126),ISBLANK($AD126))</formula>
    </cfRule>
    <cfRule type="expression" dxfId="186" priority="129">
      <formula>$AC126=1</formula>
    </cfRule>
    <cfRule type="expression" dxfId="185" priority="128">
      <formula>OR($AD126="X",$AC126="X")</formula>
    </cfRule>
    <cfRule type="expression" dxfId="184" priority="127">
      <formula>$AD126=1</formula>
    </cfRule>
    <cfRule type="expression" dxfId="183" priority="126">
      <formula>AND($AD126=1,$AC126=1)</formula>
    </cfRule>
  </conditionalFormatting>
  <conditionalFormatting sqref="E133:E147">
    <cfRule type="expression" dxfId="182" priority="168">
      <formula>AND($R133="X",OR($B133&lt;&gt;"",$C133&lt;&gt;"",$D133&lt;&gt;""))</formula>
    </cfRule>
  </conditionalFormatting>
  <conditionalFormatting sqref="E153">
    <cfRule type="expression" dxfId="181" priority="854">
      <formula>AND($R153="X",OR($B153&lt;&gt;"",#REF!&lt;&gt;"",$D153&lt;&gt;""))</formula>
    </cfRule>
  </conditionalFormatting>
  <conditionalFormatting sqref="E156">
    <cfRule type="expression" dxfId="180" priority="211">
      <formula>$AD156=1</formula>
    </cfRule>
    <cfRule type="expression" dxfId="179" priority="210">
      <formula>AND($AD156=1,$AC156=1)</formula>
    </cfRule>
    <cfRule type="expression" dxfId="178" priority="209">
      <formula>AND($R156="X",OR($B156&lt;&gt;"",$C156&lt;&gt;"",$D156&lt;&gt;"",$E156&lt;&gt;""))</formula>
    </cfRule>
    <cfRule type="expression" dxfId="177" priority="208">
      <formula>$AC156=1</formula>
    </cfRule>
  </conditionalFormatting>
  <conditionalFormatting sqref="E159">
    <cfRule type="expression" dxfId="176" priority="65">
      <formula>AND($R159="X",OR($B159&lt;&gt;"",$C159&lt;&gt;"",$D159&lt;&gt;""))</formula>
    </cfRule>
  </conditionalFormatting>
  <conditionalFormatting sqref="E161:E165">
    <cfRule type="expression" dxfId="175" priority="42">
      <formula>OR($AD161="X",$AC161="X")</formula>
    </cfRule>
    <cfRule type="expression" dxfId="174" priority="43">
      <formula>AND($AD161=1,$AC161=1)</formula>
    </cfRule>
    <cfRule type="expression" dxfId="173" priority="44">
      <formula>$AD161=1</formula>
    </cfRule>
    <cfRule type="expression" dxfId="172" priority="45">
      <formula>$AC161=1</formula>
    </cfRule>
    <cfRule type="expression" dxfId="171" priority="46">
      <formula>AND(NOT(ISBLANK($W161)),ISBLANK($AC161),ISBLANK($AD161))</formula>
    </cfRule>
    <cfRule type="expression" dxfId="170" priority="47">
      <formula>AND($R161="X",OR(#REF!&lt;&gt;"",$B161&lt;&gt;"",$C161&lt;&gt;"",$D161&lt;&gt;""))</formula>
    </cfRule>
  </conditionalFormatting>
  <conditionalFormatting sqref="E168:E176">
    <cfRule type="expression" dxfId="169" priority="117">
      <formula>AND($R168="X",OR($B168&lt;&gt;"",#REF!&lt;&gt;"",$C168&lt;&gt;"",$D168&lt;&gt;""))</formula>
    </cfRule>
  </conditionalFormatting>
  <conditionalFormatting sqref="E159:F159">
    <cfRule type="expression" dxfId="168" priority="76">
      <formula>AND($R159="X",OR($B159&lt;&gt;"",$C159&lt;&gt;"",$D159&lt;&gt;"",#REF!&lt;&gt;""))</formula>
    </cfRule>
  </conditionalFormatting>
  <conditionalFormatting sqref="E167:F167">
    <cfRule type="expression" dxfId="167" priority="1019">
      <formula>AND($R167="X",OR($B167&lt;&gt;"",$C167&lt;&gt;"",$D167&lt;&gt;"",#REF!&lt;&gt;""))</formula>
    </cfRule>
  </conditionalFormatting>
  <conditionalFormatting sqref="E119:G119">
    <cfRule type="expression" dxfId="166" priority="113">
      <formula>$AD119=1</formula>
    </cfRule>
    <cfRule type="expression" dxfId="165" priority="112">
      <formula>AND($AD119=1,$AC119=1)</formula>
    </cfRule>
  </conditionalFormatting>
  <conditionalFormatting sqref="E121:G121">
    <cfRule type="expression" dxfId="164" priority="87">
      <formula>AND($AD121=1,$AC121=1)</formula>
    </cfRule>
    <cfRule type="expression" dxfId="163" priority="83">
      <formula>AND($R121="X",OR($B121&lt;&gt;"",$C121&lt;&gt;"",$D121&lt;&gt;"",$E121&lt;&gt;""))</formula>
    </cfRule>
    <cfRule type="expression" dxfId="162" priority="84">
      <formula>AND($R121="X",OR($B121&lt;&gt;"",$C121&lt;&gt;"",$E121&lt;&gt;"",#REF!&lt;&gt;""))</formula>
    </cfRule>
    <cfRule type="expression" dxfId="161" priority="85">
      <formula>$AC121=1</formula>
    </cfRule>
    <cfRule type="expression" dxfId="160" priority="86">
      <formula>AND($R121="X",OR($B121&lt;&gt;"",$C121&lt;&gt;"",$D121&lt;&gt;""))</formula>
    </cfRule>
    <cfRule type="expression" dxfId="159" priority="88">
      <formula>$AD121=1</formula>
    </cfRule>
    <cfRule type="expression" dxfId="158" priority="89">
      <formula>AND($R121="X",$B121&lt;&gt;"")</formula>
    </cfRule>
    <cfRule type="expression" dxfId="157" priority="91">
      <formula>AND($R121="X",OR($B121&lt;&gt;"",$C121&lt;&gt;""))</formula>
    </cfRule>
  </conditionalFormatting>
  <conditionalFormatting sqref="E133:G133 B133:C147">
    <cfRule type="expression" dxfId="156" priority="173">
      <formula>$AD133=1</formula>
    </cfRule>
    <cfRule type="expression" dxfId="155" priority="172">
      <formula>AND($AD133=1,$AC133=1)</formula>
    </cfRule>
    <cfRule type="expression" dxfId="154" priority="174">
      <formula>$AC133=1</formula>
    </cfRule>
  </conditionalFormatting>
  <conditionalFormatting sqref="F1:F2">
    <cfRule type="dataBar" priority="43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33 E176 G176">
    <cfRule type="expression" dxfId="153" priority="39">
      <formula>AND($R9="X",OR($B9&lt;&gt;"",$C9&lt;&gt;"",$D9&lt;&gt;"",$E9&lt;&gt;""))</formula>
    </cfRule>
  </conditionalFormatting>
  <conditionalFormatting sqref="F35:F36">
    <cfRule type="expression" dxfId="152" priority="1102">
      <formula>AND($R35="X",OR($B35&lt;&gt;"",#REF!&lt;&gt;"",$D35&lt;&gt;"",#REF!&lt;&gt;""))</formula>
    </cfRule>
  </conditionalFormatting>
  <conditionalFormatting sqref="F115 F154:F157 F166 F177:F184">
    <cfRule type="expression" dxfId="151" priority="147">
      <formula>AND($R115="X",OR($B115&lt;&gt;"",$C115&lt;&gt;"",$D115&lt;&gt;"",$E115&lt;&gt;""))</formula>
    </cfRule>
  </conditionalFormatting>
  <conditionalFormatting sqref="F115:F117">
    <cfRule type="expression" dxfId="150" priority="303">
      <formula>AND($R115="X",OR(#REF!&lt;&gt;"",$B115&lt;&gt;"",$C115&lt;&gt;"",$E115&lt;&gt;""))</formula>
    </cfRule>
  </conditionalFormatting>
  <conditionalFormatting sqref="F118:F121">
    <cfRule type="expression" dxfId="149" priority="321">
      <formula>AND($R118="X",OR($B118&lt;&gt;"",$C118&lt;&gt;"",$D118&lt;&gt;"",$E118&lt;&gt;""))</formula>
    </cfRule>
  </conditionalFormatting>
  <conditionalFormatting sqref="F119">
    <cfRule type="expression" dxfId="148" priority="110">
      <formula>AND($R119="X",OR($B119&lt;&gt;"",$C119&lt;&gt;"",$D119&lt;&gt;"",$E119&lt;&gt;""))</formula>
    </cfRule>
  </conditionalFormatting>
  <conditionalFormatting sqref="F120 G154:G157 G166">
    <cfRule type="expression" dxfId="147" priority="92">
      <formula>AND($R120="X",OR($B120&lt;&gt;"",$C120&lt;&gt;"",$D120&lt;&gt;"",$E120&lt;&gt;"",$F120&lt;&gt;""))</formula>
    </cfRule>
  </conditionalFormatting>
  <conditionalFormatting sqref="F121:F123 F132:G132">
    <cfRule type="expression" dxfId="146" priority="306">
      <formula>AND($R121="X",OR($B121&lt;&gt;"",$C121&lt;&gt;"",$E121&lt;&gt;"",#REF!&lt;&gt;""))</formula>
    </cfRule>
  </conditionalFormatting>
  <conditionalFormatting sqref="F124:F152 F37:F113">
    <cfRule type="expression" dxfId="145" priority="277">
      <formula>AND($R37="X",OR($B37&lt;&gt;"",$C37&lt;&gt;"",$D37&lt;&gt;"",$E37&lt;&gt;""))</formula>
    </cfRule>
  </conditionalFormatting>
  <conditionalFormatting sqref="F131">
    <cfRule type="expression" dxfId="144" priority="178">
      <formula>AND($R131="X",OR($B131&lt;&gt;"",$C131&lt;&gt;"",$E131&lt;&gt;"",#REF!&lt;&gt;""))</formula>
    </cfRule>
  </conditionalFormatting>
  <conditionalFormatting sqref="F153">
    <cfRule type="expression" dxfId="143" priority="855">
      <formula>AND($R153="X",OR($B153&lt;&gt;"",#REF!&lt;&gt;"",$D153&lt;&gt;"",$E153&lt;&gt;""))</formula>
    </cfRule>
  </conditionalFormatting>
  <conditionalFormatting sqref="F161:F165">
    <cfRule type="expression" dxfId="142" priority="1043">
      <formula>AND($R161="X",OR(#REF!&lt;&gt;"",$B161&lt;&gt;"",$C161&lt;&gt;"",$D161&lt;&gt;""))</formula>
    </cfRule>
  </conditionalFormatting>
  <conditionalFormatting sqref="F168:F176">
    <cfRule type="expression" dxfId="141" priority="118">
      <formula>AND($R168="X",OR($B168&lt;&gt;"",#REF!&lt;&gt;"",$C168&lt;&gt;"",$D168&lt;&gt;"",$F168&lt;&gt;""))</formula>
    </cfRule>
    <cfRule type="expression" dxfId="140" priority="1009">
      <formula>AND($R168="X",OR($B168&lt;&gt;"",#REF!&lt;&gt;"",$C168&lt;&gt;"",$D168&lt;&gt;""))</formula>
    </cfRule>
  </conditionalFormatting>
  <conditionalFormatting sqref="F176">
    <cfRule type="expression" dxfId="139" priority="40">
      <formula>AND($R176="X",OR($B176&lt;&gt;"",$C176&lt;&gt;"",$D176&lt;&gt;"",$E176&lt;&gt;"",$F176&lt;&gt;""))</formula>
    </cfRule>
  </conditionalFormatting>
  <conditionalFormatting sqref="F120:G120">
    <cfRule type="expression" dxfId="138" priority="94">
      <formula>AND($R120="X",OR($B120&lt;&gt;"",$C120&lt;&gt;"",$E120&lt;&gt;"",#REF!&lt;&gt;""))</formula>
    </cfRule>
    <cfRule type="expression" dxfId="137" priority="96">
      <formula>AND($R120="X",OR($B120&lt;&gt;"",$C120&lt;&gt;"",$D120&lt;&gt;""))</formula>
    </cfRule>
    <cfRule type="expression" dxfId="136" priority="95">
      <formula>$AC120=1</formula>
    </cfRule>
    <cfRule type="expression" dxfId="135" priority="99">
      <formula>AND($R120="X",OR($B120&lt;&gt;"",$C120&lt;&gt;"",$D120&lt;&gt;""))</formula>
    </cfRule>
    <cfRule type="expression" dxfId="134" priority="98">
      <formula>$AD120=1</formula>
    </cfRule>
    <cfRule type="expression" dxfId="133" priority="97">
      <formula>AND($AD120=1,$AC120=1)</formula>
    </cfRule>
    <cfRule type="expression" dxfId="132" priority="93">
      <formula>AND($R120="X",OR($B120&lt;&gt;"",$C120&lt;&gt;"",$D120&lt;&gt;"",$E120&lt;&gt;""))</formula>
    </cfRule>
  </conditionalFormatting>
  <conditionalFormatting sqref="F121:G121">
    <cfRule type="expression" dxfId="131" priority="82">
      <formula>AND($R121="X",OR($B121&lt;&gt;"",$C121&lt;&gt;"",$D121&lt;&gt;""))</formula>
    </cfRule>
    <cfRule type="expression" dxfId="130" priority="81">
      <formula>AND($R121="X",OR($B121&lt;&gt;"",$C121&lt;&gt;""))</formula>
    </cfRule>
  </conditionalFormatting>
  <conditionalFormatting sqref="F159:G159">
    <cfRule type="expression" dxfId="129" priority="77">
      <formula>AND($R159="X",OR($B159&lt;&gt;"",$C159&lt;&gt;"",$D159&lt;&gt;"",#REF!&lt;&gt;"",$F159&lt;&gt;""))</formula>
    </cfRule>
  </conditionalFormatting>
  <conditionalFormatting sqref="F167:G167">
    <cfRule type="expression" dxfId="128" priority="1020">
      <formula>AND($R167="X",OR($B167&lt;&gt;"",$C167&lt;&gt;"",$D167&lt;&gt;"",#REF!&lt;&gt;"",$F167&lt;&gt;""))</formula>
    </cfRule>
  </conditionalFormatting>
  <conditionalFormatting sqref="G9:G33 D160:G160">
    <cfRule type="expression" dxfId="127" priority="41">
      <formula>AND($R9="X",OR($B9&lt;&gt;"",$C9&lt;&gt;"",$D9&lt;&gt;"",$E9&lt;&gt;"",$F9&lt;&gt;""))</formula>
    </cfRule>
  </conditionalFormatting>
  <conditionalFormatting sqref="G35:G36">
    <cfRule type="expression" dxfId="126" priority="1109">
      <formula>AND($R35="X",OR($B35&lt;&gt;"",#REF!&lt;&gt;"",$D35&lt;&gt;"",#REF!&lt;&gt;"",$F35&lt;&gt;""))</formula>
    </cfRule>
  </conditionalFormatting>
  <conditionalFormatting sqref="G115">
    <cfRule type="expression" dxfId="125" priority="148">
      <formula>AND($R115="X",OR($B115&lt;&gt;"",$C115&lt;&gt;"",$D115&lt;&gt;"",$E115&lt;&gt;"",$F115&lt;&gt;""))</formula>
    </cfRule>
  </conditionalFormatting>
  <conditionalFormatting sqref="G115:G117">
    <cfRule type="expression" dxfId="124" priority="304">
      <formula>AND($R115="X",OR(#REF!&lt;&gt;"",$B115&lt;&gt;"",$C115&lt;&gt;"",$E115&lt;&gt;"",$F115&lt;&gt;""))</formula>
    </cfRule>
  </conditionalFormatting>
  <conditionalFormatting sqref="G118:G121">
    <cfRule type="expression" dxfId="123" priority="322">
      <formula>AND($R118="X",OR($B118&lt;&gt;"",$C118&lt;&gt;"",$D118&lt;&gt;"",$E118&lt;&gt;"",$F118&lt;&gt;""))</formula>
    </cfRule>
  </conditionalFormatting>
  <conditionalFormatting sqref="G119">
    <cfRule type="expression" dxfId="122" priority="111">
      <formula>AND($R119="X",OR($B119&lt;&gt;"",$C119&lt;&gt;"",$D119&lt;&gt;"",$E119&lt;&gt;"",$F119&lt;&gt;""))</formula>
    </cfRule>
  </conditionalFormatting>
  <conditionalFormatting sqref="G121">
    <cfRule type="expression" dxfId="121" priority="79">
      <formula>AND($R121="X",OR($B121&lt;&gt;"",$C121&lt;&gt;"",$E121&lt;&gt;"",#REF!&lt;&gt;""))</formula>
    </cfRule>
    <cfRule type="expression" dxfId="120" priority="80">
      <formula>AND($R121="X",OR($B121&lt;&gt;"",$C121&lt;&gt;"",$D121&lt;&gt;"",$E121&lt;&gt;""))</formula>
    </cfRule>
  </conditionalFormatting>
  <conditionalFormatting sqref="G121:G123">
    <cfRule type="expression" dxfId="119" priority="307">
      <formula>AND($R121="X",OR($B121&lt;&gt;"",$C121&lt;&gt;"",$E121&lt;&gt;"",#REF!&lt;&gt;"",$F121&lt;&gt;""))</formula>
    </cfRule>
  </conditionalFormatting>
  <conditionalFormatting sqref="G132">
    <cfRule type="expression" dxfId="118" priority="878">
      <formula>AND($R132="X",OR($B132&lt;&gt;"",$C132&lt;&gt;"",$E132&lt;&gt;"",#REF!&lt;&gt;"",$F132&lt;&gt;""))</formula>
    </cfRule>
    <cfRule type="expression" dxfId="117" priority="216">
      <formula>AND($R132="X",OR($B132&lt;&gt;"",$C132&lt;&gt;"",$D132&lt;&gt;"",$E132&lt;&gt;""))</formula>
    </cfRule>
  </conditionalFormatting>
  <conditionalFormatting sqref="G133:G152">
    <cfRule type="expression" dxfId="116" priority="170">
      <formula>AND($R133="X",OR($B133&lt;&gt;"",$C133&lt;&gt;"",$D133&lt;&gt;"",$E133&lt;&gt;"",$F133&lt;&gt;""))</formula>
    </cfRule>
  </conditionalFormatting>
  <conditionalFormatting sqref="G153">
    <cfRule type="expression" dxfId="115" priority="856">
      <formula>AND($R153="X",OR($B153&lt;&gt;"",#REF!&lt;&gt;"",$D153&lt;&gt;"",$E153&lt;&gt;"",$F153&lt;&gt;""))</formula>
    </cfRule>
  </conditionalFormatting>
  <conditionalFormatting sqref="G161:G165">
    <cfRule type="expression" dxfId="114" priority="1045">
      <formula>AND($R161="X",OR(#REF!&lt;&gt;"",$B161&lt;&gt;"",$C161&lt;&gt;"",$D161&lt;&gt;"",$F161&lt;&gt;""))</formula>
    </cfRule>
  </conditionalFormatting>
  <conditionalFormatting sqref="G168:G176">
    <cfRule type="expression" dxfId="113" priority="1013">
      <formula>AND($R168="X",OR($B168&lt;&gt;"",#REF!&lt;&gt;"",$C168&lt;&gt;"",$D168&lt;&gt;"",$F168&lt;&gt;""))</formula>
    </cfRule>
  </conditionalFormatting>
  <conditionalFormatting sqref="G177:G184 G37:G113 G124:G131">
    <cfRule type="expression" dxfId="112" priority="278">
      <formula>AND($R37="X",OR($B37&lt;&gt;"",$C37&lt;&gt;"",$D37&lt;&gt;"",$E37&lt;&gt;"",$F37&lt;&gt;""))</formula>
    </cfRule>
  </conditionalFormatting>
  <conditionalFormatting sqref="H186:H187 H207:H1047">
    <cfRule type="expression" dxfId="111" priority="437">
      <formula>$Q186="X"</formula>
    </cfRule>
  </conditionalFormatting>
  <conditionalFormatting sqref="I11:I23 I25:I184">
    <cfRule type="expression" dxfId="110" priority="274">
      <formula>$R11="X"</formula>
    </cfRule>
  </conditionalFormatting>
  <conditionalFormatting sqref="Q9:Q184">
    <cfRule type="cellIs" dxfId="109" priority="159" operator="equal">
      <formula>"0..n"</formula>
    </cfRule>
    <cfRule type="cellIs" dxfId="108" priority="160" operator="equal">
      <formula>"0..1"</formula>
    </cfRule>
    <cfRule type="cellIs" dxfId="107" priority="158" operator="equal">
      <formula>"1..1"</formula>
    </cfRule>
  </conditionalFormatting>
  <hyperlinks>
    <hyperlink ref="I110"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http://purl.org/dc/dcmitype/"/>
    <ds:schemaRef ds:uri="http://purl.org/dc/elements/1.1/"/>
    <ds:schemaRef ds:uri="1720d4e8-2b1e-4bd1-aad5-1b4debf9b56d"/>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f6ca01e7-bd19-41f1-999c-e032ef5104c3"/>
    <ds:schemaRef ds:uri="http://schemas.microsoft.com/sharepoint/v3"/>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22</vt:i4>
      </vt:variant>
      <vt:variant>
        <vt:lpstr>Plages nommées</vt:lpstr>
      </vt:variant>
      <vt:variant>
        <vt:i4>1</vt:i4>
      </vt:variant>
    </vt:vector>
  </HeadingPairs>
  <TitlesOfParts>
    <vt:vector size="23" baseType="lpstr">
      <vt:lpstr>Données_attributaires</vt:lpstr>
      <vt:lpstr>Processus_CISU</vt:lpstr>
      <vt:lpstr>Type_de_message</vt:lpstr>
      <vt:lpstr>Distribution</vt:lpstr>
      <vt:lpstr>Sommaire</vt:lpstr>
      <vt:lpstr>Mode d'emploi</vt:lpstr>
      <vt:lpstr>RC-DE</vt:lpstr>
      <vt:lpstr>RC-COM</vt:lpstr>
      <vt:lpstr>RC-EDA</vt:lpstr>
      <vt:lpstr>EMSI</vt:lpstr>
      <vt:lpstr>RC-BPV</vt:lpstr>
      <vt:lpstr>RC-RPIS</vt:lpstr>
      <vt:lpstr>ACK</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2024-03-25T13:02:00Z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